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P_participation" sheetId="1" r:id="rId1"/>
    <sheet name="Orgs_summary" sheetId="2" r:id="rId2"/>
    <sheet name="FP_projects" sheetId="3" r:id="rId3"/>
    <sheet name="Countries_summary" sheetId="4" r:id="rId4"/>
  </sheets>
  <definedNames>
    <definedName name="_xlnm._FilterDatabase" localSheetId="3" hidden="1">'Countries_summary'!$A$1:$O$9</definedName>
    <definedName name="_xlnm._FilterDatabase" localSheetId="0" hidden="1">'FP_participation'!$A$1:$U$1019</definedName>
    <definedName name="_xlnm._FilterDatabase" localSheetId="2" hidden="1">'FP_projects'!$A$1:$M$812</definedName>
    <definedName name="_xlnm._FilterDatabase" localSheetId="1" hidden="1">'Orgs_summary'!$A$1:$S$247</definedName>
  </definedNames>
  <calcPr calcId="124519" fullCalcOnLoad="1"/>
</workbook>
</file>

<file path=xl/sharedStrings.xml><?xml version="1.0" encoding="utf-8"?>
<sst xmlns="http://schemas.openxmlformats.org/spreadsheetml/2006/main" count="23188" uniqueCount="4088">
  <si>
    <t>frameworkProgramme</t>
  </si>
  <si>
    <t>projectID</t>
  </si>
  <si>
    <t>projectAcronym</t>
  </si>
  <si>
    <t>title</t>
  </si>
  <si>
    <t>ecSignatureDate</t>
  </si>
  <si>
    <t>startDate</t>
  </si>
  <si>
    <t>endDate</t>
  </si>
  <si>
    <t>country</t>
  </si>
  <si>
    <t>countryName</t>
  </si>
  <si>
    <t>PIC</t>
  </si>
  <si>
    <t>Organisation</t>
  </si>
  <si>
    <t>shortName</t>
  </si>
  <si>
    <t>activityType</t>
  </si>
  <si>
    <t>SME</t>
  </si>
  <si>
    <t>Type of action</t>
  </si>
  <si>
    <t>subCall</t>
  </si>
  <si>
    <t>order</t>
  </si>
  <si>
    <t>role</t>
  </si>
  <si>
    <t>ecContribution</t>
  </si>
  <si>
    <t>netEcContribution</t>
  </si>
  <si>
    <t>totalCost</t>
  </si>
  <si>
    <t>FP7</t>
  </si>
  <si>
    <t>H2020</t>
  </si>
  <si>
    <t>HORIZON</t>
  </si>
  <si>
    <t>DECODER</t>
  </si>
  <si>
    <t>INFOCON</t>
  </si>
  <si>
    <t>HAIC</t>
  </si>
  <si>
    <t>CENTER-TBI</t>
  </si>
  <si>
    <t>STOP</t>
  </si>
  <si>
    <t>SAFEGUARD</t>
  </si>
  <si>
    <t>NANOMINING</t>
  </si>
  <si>
    <t>ERADICATION</t>
  </si>
  <si>
    <t>PrinCE</t>
  </si>
  <si>
    <t>SWARP</t>
  </si>
  <si>
    <t>REWARD</t>
  </si>
  <si>
    <t>AIM</t>
  </si>
  <si>
    <t>ACCESS4EU:NZ</t>
  </si>
  <si>
    <t>STAR-IDAZ</t>
  </si>
  <si>
    <t>ERCOSAM</t>
  </si>
  <si>
    <t>T-AP</t>
  </si>
  <si>
    <t>ACCESS2CANADA</t>
  </si>
  <si>
    <t>ERA-CAN II</t>
  </si>
  <si>
    <t>PACE-NET</t>
  </si>
  <si>
    <t>ERACAPS</t>
  </si>
  <si>
    <t>MSV</t>
  </si>
  <si>
    <t>CHIC</t>
  </si>
  <si>
    <t>WINTHER</t>
  </si>
  <si>
    <t>MAARBLE</t>
  </si>
  <si>
    <t>QBOL</t>
  </si>
  <si>
    <t>SITEX</t>
  </si>
  <si>
    <t>BIO CIRCLE 2</t>
  </si>
  <si>
    <t>PACE-NET PLUS</t>
  </si>
  <si>
    <t>TOPS</t>
  </si>
  <si>
    <t>DEEP</t>
  </si>
  <si>
    <t>SI-DRIVE</t>
  </si>
  <si>
    <t>PRATIQUE</t>
  </si>
  <si>
    <t>D3i4AD</t>
  </si>
  <si>
    <t>SELFMEM</t>
  </si>
  <si>
    <t>CIT-PART</t>
  </si>
  <si>
    <t>CALTICA</t>
  </si>
  <si>
    <t>CLIMB</t>
  </si>
  <si>
    <t>POLYZION</t>
  </si>
  <si>
    <t>CO2CARE</t>
  </si>
  <si>
    <t>MIRACLE</t>
  </si>
  <si>
    <t>HITT-2008</t>
  </si>
  <si>
    <t>REFRESH</t>
  </si>
  <si>
    <t>DIRECT</t>
  </si>
  <si>
    <t>MATRIX</t>
  </si>
  <si>
    <t>IHMS</t>
  </si>
  <si>
    <t>ICON</t>
  </si>
  <si>
    <t>EURORIS-NET</t>
  </si>
  <si>
    <t>GUSTO</t>
  </si>
  <si>
    <t>EURESCL</t>
  </si>
  <si>
    <t>RAMSES</t>
  </si>
  <si>
    <t>EPOCH</t>
  </si>
  <si>
    <t>ERA-CAN PLUS</t>
  </si>
  <si>
    <t>GENDER-NET</t>
  </si>
  <si>
    <t>BIO-COMET</t>
  </si>
  <si>
    <t>ELIMOX</t>
  </si>
  <si>
    <t>CREATE</t>
  </si>
  <si>
    <t>ECOPAS</t>
  </si>
  <si>
    <t>TICD</t>
  </si>
  <si>
    <t>outGRID</t>
  </si>
  <si>
    <t>BRAIN-I-NETS</t>
  </si>
  <si>
    <t>TANDEM</t>
  </si>
  <si>
    <t>MalOnco</t>
  </si>
  <si>
    <t>LOWINPUTBREEDS</t>
  </si>
  <si>
    <t>PARAVAC</t>
  </si>
  <si>
    <t>TRANSLINK</t>
  </si>
  <si>
    <t>ERA-NET NEURON II</t>
  </si>
  <si>
    <t>CAUSCOG</t>
  </si>
  <si>
    <t>ISMS</t>
  </si>
  <si>
    <t>NIW</t>
  </si>
  <si>
    <t>PALs</t>
  </si>
  <si>
    <t>CumuloNimbo</t>
  </si>
  <si>
    <t>OPCARE9</t>
  </si>
  <si>
    <t>CALLISTO</t>
  </si>
  <si>
    <t>FLEXWOOD</t>
  </si>
  <si>
    <t>INNOSHADE</t>
  </si>
  <si>
    <t>EELICON</t>
  </si>
  <si>
    <t>ATHENA</t>
  </si>
  <si>
    <t>CANNAPE</t>
  </si>
  <si>
    <t>TOICA</t>
  </si>
  <si>
    <t>NIOPLEX</t>
  </si>
  <si>
    <t>MODULUSHCA</t>
  </si>
  <si>
    <t>META-PREDICT</t>
  </si>
  <si>
    <t>SURE</t>
  </si>
  <si>
    <t>N4U</t>
  </si>
  <si>
    <t>PREGVAX</t>
  </si>
  <si>
    <t>FIRE</t>
  </si>
  <si>
    <t>SYSMEDIBD</t>
  </si>
  <si>
    <t>SYMBIOSIS-EU</t>
  </si>
  <si>
    <t>EURECA</t>
  </si>
  <si>
    <t>IMMUNOGENE</t>
  </si>
  <si>
    <t>I-DCC</t>
  </si>
  <si>
    <t>GRIP</t>
  </si>
  <si>
    <t>FISICA</t>
  </si>
  <si>
    <t>NeuroSeeker</t>
  </si>
  <si>
    <t>SUSTA-SMART</t>
  </si>
  <si>
    <t>ESSenTIAL</t>
  </si>
  <si>
    <t>FORESTTRAC</t>
  </si>
  <si>
    <t>PLASMON</t>
  </si>
  <si>
    <t>NANOVALID</t>
  </si>
  <si>
    <t>ADVANCEETV</t>
  </si>
  <si>
    <t>CIPRNET</t>
  </si>
  <si>
    <t>ANIMALCHANGE</t>
  </si>
  <si>
    <t>LIMPID</t>
  </si>
  <si>
    <t>ROUTES</t>
  </si>
  <si>
    <t>INFRACOMP</t>
  </si>
  <si>
    <t>SME-SAT</t>
  </si>
  <si>
    <t>EUCELLEX</t>
  </si>
  <si>
    <t>THE HIP TRIAL</t>
  </si>
  <si>
    <t>ENLIGHTENMENT</t>
  </si>
  <si>
    <t>NTM-IMPACT</t>
  </si>
  <si>
    <t>FRUIT BREEDOMICS</t>
  </si>
  <si>
    <t>EU-GRASP</t>
  </si>
  <si>
    <t>WHERE</t>
  </si>
  <si>
    <t>WHERE2</t>
  </si>
  <si>
    <t>PREPSKA</t>
  </si>
  <si>
    <t>ArtESun</t>
  </si>
  <si>
    <t>FRIENZ</t>
  </si>
  <si>
    <t>IN-LIGHT</t>
  </si>
  <si>
    <t>ANASTASIA</t>
  </si>
  <si>
    <t>FIGARO</t>
  </si>
  <si>
    <t>IntelLeo</t>
  </si>
  <si>
    <t>EURASIAPAC</t>
  </si>
  <si>
    <t>Prosperity4All</t>
  </si>
  <si>
    <t>RISCS</t>
  </si>
  <si>
    <t>WILDTECH</t>
  </si>
  <si>
    <t>eGovPoliNet</t>
  </si>
  <si>
    <t>OpenLab</t>
  </si>
  <si>
    <t>APROPOS</t>
  </si>
  <si>
    <t>COMET</t>
  </si>
  <si>
    <t>CAGEKID</t>
  </si>
  <si>
    <t>SARNET2</t>
  </si>
  <si>
    <t>SpeDial</t>
  </si>
  <si>
    <t>4WARD</t>
  </si>
  <si>
    <t>TBSUSGENT</t>
  </si>
  <si>
    <t>4D4Life</t>
  </si>
  <si>
    <t>MED-SUV</t>
  </si>
  <si>
    <t>INFRAFRONTIER</t>
  </si>
  <si>
    <t>CARBOCHANGE</t>
  </si>
  <si>
    <t>ARCRISK</t>
  </si>
  <si>
    <t>HIPERCAP</t>
  </si>
  <si>
    <t>MYNEWGUT</t>
  </si>
  <si>
    <t>PAST4FUTURE</t>
  </si>
  <si>
    <t>PUMA MIND</t>
  </si>
  <si>
    <t>CAOLING</t>
  </si>
  <si>
    <t>INFRAFRONTIER-I3</t>
  </si>
  <si>
    <t>ITFoM</t>
  </si>
  <si>
    <t>STEMCAM</t>
  </si>
  <si>
    <t>VPH-Share</t>
  </si>
  <si>
    <t>DROPSA</t>
  </si>
  <si>
    <t>BIOMARCARE</t>
  </si>
  <si>
    <t>EPIC-CVD</t>
  </si>
  <si>
    <t>CORE</t>
  </si>
  <si>
    <t>CLOUD4all</t>
  </si>
  <si>
    <t>MODSAFE</t>
  </si>
  <si>
    <t>ABACUS</t>
  </si>
  <si>
    <t>NGTC</t>
  </si>
  <si>
    <t>FORTISSIMO</t>
  </si>
  <si>
    <t>GLOBAQUA</t>
  </si>
  <si>
    <t>SYSVASC</t>
  </si>
  <si>
    <t>IPODD</t>
  </si>
  <si>
    <t>EINS</t>
  </si>
  <si>
    <t>GigaWaM</t>
  </si>
  <si>
    <t>NANOLYSE</t>
  </si>
  <si>
    <t>PHARMASEA</t>
  </si>
  <si>
    <t>MYOCEAN</t>
  </si>
  <si>
    <t>RICORDO</t>
  </si>
  <si>
    <t>POLAR ICE</t>
  </si>
  <si>
    <t>ORECCA</t>
  </si>
  <si>
    <t>SOPHIE</t>
  </si>
  <si>
    <t>MOBI-KIDS</t>
  </si>
  <si>
    <t>SOS</t>
  </si>
  <si>
    <t>INEF</t>
  </si>
  <si>
    <t>MAREFRAME</t>
  </si>
  <si>
    <t>PERMED</t>
  </si>
  <si>
    <t>BIOSHARE-EU</t>
  </si>
  <si>
    <t>HBP</t>
  </si>
  <si>
    <t>PREVIEW</t>
  </si>
  <si>
    <t>INTERACT</t>
  </si>
  <si>
    <t>ECOKNOWS</t>
  </si>
  <si>
    <t>INTERCONNECT</t>
  </si>
  <si>
    <t>REPOPA</t>
  </si>
  <si>
    <t>Locomorph</t>
  </si>
  <si>
    <t>MICREAGENTS</t>
  </si>
  <si>
    <t>SYN-ENERGENE</t>
  </si>
  <si>
    <t>ENGAGE</t>
  </si>
  <si>
    <t>PROCOGEN</t>
  </si>
  <si>
    <t>VPH NoE</t>
  </si>
  <si>
    <t>TIRCON</t>
  </si>
  <si>
    <t>BBMRI-LPC</t>
  </si>
  <si>
    <t>SIFEM</t>
  </si>
  <si>
    <t>ALFA-BIRD</t>
  </si>
  <si>
    <t>SCY</t>
  </si>
  <si>
    <t>MAMBA</t>
  </si>
  <si>
    <t>INFOPOL</t>
  </si>
  <si>
    <t>MAGICPAH</t>
  </si>
  <si>
    <t>ULTRA-DD</t>
  </si>
  <si>
    <t>PRIMES</t>
  </si>
  <si>
    <t>AEGIS</t>
  </si>
  <si>
    <t>NUTRITECH</t>
  </si>
  <si>
    <t>CLEAR</t>
  </si>
  <si>
    <t>SUCCESS</t>
  </si>
  <si>
    <t>GO4HEALTH</t>
  </si>
  <si>
    <t>GRAPHENICS</t>
  </si>
  <si>
    <t>FRENZ</t>
  </si>
  <si>
    <t>ICRI 2020</t>
  </si>
  <si>
    <t>IDIH</t>
  </si>
  <si>
    <t>TRANSCAN-3</t>
  </si>
  <si>
    <t>IF-EBOla</t>
  </si>
  <si>
    <t>EPIC</t>
  </si>
  <si>
    <t>NAFTI</t>
  </si>
  <si>
    <t>E-Rare-3</t>
  </si>
  <si>
    <t>J-Age II</t>
  </si>
  <si>
    <t>CSA JPI HDHL 2.0</t>
  </si>
  <si>
    <t>AVIATOR</t>
  </si>
  <si>
    <t>CAMERA</t>
  </si>
  <si>
    <t>AsthmaPhenotypes</t>
  </si>
  <si>
    <t>JPCOFUND2</t>
  </si>
  <si>
    <t>ERA PerMed</t>
  </si>
  <si>
    <t>NanoEX</t>
  </si>
  <si>
    <t>EDJ</t>
  </si>
  <si>
    <t>ARCSAR</t>
  </si>
  <si>
    <t>JPIAMR-ACTION</t>
  </si>
  <si>
    <t>EuroNanoMed III</t>
  </si>
  <si>
    <t>Widow Spider Mating</t>
  </si>
  <si>
    <t>IceMelt3D</t>
  </si>
  <si>
    <t>ANXINT</t>
  </si>
  <si>
    <t>WAMSISE</t>
  </si>
  <si>
    <t>SABER CULTURAL</t>
  </si>
  <si>
    <t>BITRECS</t>
  </si>
  <si>
    <t>TICLAUS</t>
  </si>
  <si>
    <t>DiaEthic</t>
  </si>
  <si>
    <t>SONINURB</t>
  </si>
  <si>
    <t>FISHEARS</t>
  </si>
  <si>
    <t>SMART POP</t>
  </si>
  <si>
    <t>WoMent</t>
  </si>
  <si>
    <t>URBENV</t>
  </si>
  <si>
    <t>N2N</t>
  </si>
  <si>
    <t>SUBIMAP</t>
  </si>
  <si>
    <t>REALE</t>
  </si>
  <si>
    <t>IDEM</t>
  </si>
  <si>
    <t>NONORMOPERA</t>
  </si>
  <si>
    <t>QUABODYP</t>
  </si>
  <si>
    <t>GALSIZE</t>
  </si>
  <si>
    <t>T.A.MA</t>
  </si>
  <si>
    <t>QUANTUM LOOP</t>
  </si>
  <si>
    <t>AGORAs</t>
  </si>
  <si>
    <t>GrindCore</t>
  </si>
  <si>
    <t>MUSES</t>
  </si>
  <si>
    <t>EuroCult</t>
  </si>
  <si>
    <t>MOVE-NBS</t>
  </si>
  <si>
    <t>QUMATTO</t>
  </si>
  <si>
    <t>ArcTec</t>
  </si>
  <si>
    <t>Si4DM</t>
  </si>
  <si>
    <t>GloSoilBio</t>
  </si>
  <si>
    <t>DUNAMICS</t>
  </si>
  <si>
    <t>Inventing GPS</t>
  </si>
  <si>
    <t>ITACA</t>
  </si>
  <si>
    <t>DIALOGUES</t>
  </si>
  <si>
    <t>EGERNIALIZARDS</t>
  </si>
  <si>
    <t>CANT</t>
  </si>
  <si>
    <t>BeyondOpposition</t>
  </si>
  <si>
    <t>InDeV</t>
  </si>
  <si>
    <t>ELAASTIC</t>
  </si>
  <si>
    <t>TREASURE</t>
  </si>
  <si>
    <t>EnTimeMent</t>
  </si>
  <si>
    <t>MELASAT</t>
  </si>
  <si>
    <t>DISCOVERY</t>
  </si>
  <si>
    <t>ThermaSMART</t>
  </si>
  <si>
    <t>MASTER</t>
  </si>
  <si>
    <t>FUNGLASS</t>
  </si>
  <si>
    <t>SALEACOM</t>
  </si>
  <si>
    <t>DEMOSTAF</t>
  </si>
  <si>
    <t>WE-TRANSFORM</t>
  </si>
  <si>
    <t>AGILE</t>
  </si>
  <si>
    <t>AGILE 4.0</t>
  </si>
  <si>
    <t>OptArch</t>
  </si>
  <si>
    <t>RUMIC</t>
  </si>
  <si>
    <t>UViMCA</t>
  </si>
  <si>
    <t>ISAC</t>
  </si>
  <si>
    <t>FASTQUANTUM</t>
  </si>
  <si>
    <t>QuantumSolarFuels</t>
  </si>
  <si>
    <t>IPUOIPV</t>
  </si>
  <si>
    <t>PJ07-W2 OAUO</t>
  </si>
  <si>
    <t>CERESiS</t>
  </si>
  <si>
    <t>LoGov</t>
  </si>
  <si>
    <t>THaCH</t>
  </si>
  <si>
    <t>ePIcenter</t>
  </si>
  <si>
    <t>SITEX-II</t>
  </si>
  <si>
    <t>C4U</t>
  </si>
  <si>
    <t>SuperPests</t>
  </si>
  <si>
    <t>INCIPIT</t>
  </si>
  <si>
    <t>Combat_ALS</t>
  </si>
  <si>
    <t>TePaChe</t>
  </si>
  <si>
    <t>Build-in-Wood</t>
  </si>
  <si>
    <t>PlastiSol</t>
  </si>
  <si>
    <t>OPTWET</t>
  </si>
  <si>
    <t>DRAMATIC</t>
  </si>
  <si>
    <t>FINDER</t>
  </si>
  <si>
    <t>CTFF</t>
  </si>
  <si>
    <t>ALFF</t>
  </si>
  <si>
    <t>CoPEC</t>
  </si>
  <si>
    <t>FALAH</t>
  </si>
  <si>
    <t>CHRONOTEC</t>
  </si>
  <si>
    <t>EcoScope</t>
  </si>
  <si>
    <t>iMARECULTURE</t>
  </si>
  <si>
    <t>ECC-SMART</t>
  </si>
  <si>
    <t>RECYCLES</t>
  </si>
  <si>
    <t>GENDER NET Plus</t>
  </si>
  <si>
    <t>ARICE</t>
  </si>
  <si>
    <t>VPH-CaSE</t>
  </si>
  <si>
    <t>EmorphProject</t>
  </si>
  <si>
    <t>SK2HK</t>
  </si>
  <si>
    <t>AMHYCO</t>
  </si>
  <si>
    <t>MIM</t>
  </si>
  <si>
    <t>IMPACT</t>
  </si>
  <si>
    <t>GENDER STI</t>
  </si>
  <si>
    <t>CaPer</t>
  </si>
  <si>
    <t>ROAM</t>
  </si>
  <si>
    <t>DC FlexMIL</t>
  </si>
  <si>
    <t>ONTOMUSIC</t>
  </si>
  <si>
    <t>ArcticHubs</t>
  </si>
  <si>
    <t>iLIVE</t>
  </si>
  <si>
    <t>EDEN ISS</t>
  </si>
  <si>
    <t>MUSA</t>
  </si>
  <si>
    <t>FASTNET</t>
  </si>
  <si>
    <t>IMBALS</t>
  </si>
  <si>
    <t>ERA-MIN3</t>
  </si>
  <si>
    <t>GISCAD-OV</t>
  </si>
  <si>
    <t>RobotUnion</t>
  </si>
  <si>
    <t>CITYSOLAR</t>
  </si>
  <si>
    <t>GeoRes</t>
  </si>
  <si>
    <t>ShipFC</t>
  </si>
  <si>
    <t>RDC2MT</t>
  </si>
  <si>
    <t>QUANTUM DYNAMICS</t>
  </si>
  <si>
    <t>DigiScore</t>
  </si>
  <si>
    <t>CoSP</t>
  </si>
  <si>
    <t>FORMILK</t>
  </si>
  <si>
    <t>FUS-REPLAY</t>
  </si>
  <si>
    <t>XSPECT</t>
  </si>
  <si>
    <t>TRANSFORM</t>
  </si>
  <si>
    <t>SPRING</t>
  </si>
  <si>
    <t>DISC</t>
  </si>
  <si>
    <t>OCTA</t>
  </si>
  <si>
    <t>PLATYPUS</t>
  </si>
  <si>
    <t>DYNAVOLC</t>
  </si>
  <si>
    <t>CleanHME</t>
  </si>
  <si>
    <t>BATON</t>
  </si>
  <si>
    <t>ERA-HDHL</t>
  </si>
  <si>
    <t>HealthPros</t>
  </si>
  <si>
    <t>IQubits</t>
  </si>
  <si>
    <t>HIVACAR</t>
  </si>
  <si>
    <t>M-ERA.NET3</t>
  </si>
  <si>
    <t>FASTGRID</t>
  </si>
  <si>
    <t>RADIOFREPOLIS</t>
  </si>
  <si>
    <t>SENSIBLE</t>
  </si>
  <si>
    <t>CO-COOL</t>
  </si>
  <si>
    <t>KEEPFISH</t>
  </si>
  <si>
    <t>ICEPRINT</t>
  </si>
  <si>
    <t>SCALE</t>
  </si>
  <si>
    <t>GEMCLIME</t>
  </si>
  <si>
    <t>EUCANwin</t>
  </si>
  <si>
    <t>CALENDARS</t>
  </si>
  <si>
    <t>HOMED</t>
  </si>
  <si>
    <t>INVASIoN</t>
  </si>
  <si>
    <t>ALL-Ready</t>
  </si>
  <si>
    <t>REPTARQ</t>
  </si>
  <si>
    <t>SAMOSAFER</t>
  </si>
  <si>
    <t>EVOLMARIN</t>
  </si>
  <si>
    <t>CoastCarb</t>
  </si>
  <si>
    <t>EDUHEALTH</t>
  </si>
  <si>
    <t>GENEVABREED</t>
  </si>
  <si>
    <t>SMARTER</t>
  </si>
  <si>
    <t>INMARE</t>
  </si>
  <si>
    <t>MICMAC</t>
  </si>
  <si>
    <t>SCORA</t>
  </si>
  <si>
    <t>CINECA</t>
  </si>
  <si>
    <t>SponGES</t>
  </si>
  <si>
    <t>ExACT</t>
  </si>
  <si>
    <t>HiFreq</t>
  </si>
  <si>
    <t>Dynamics</t>
  </si>
  <si>
    <t>TO-REACH</t>
  </si>
  <si>
    <t>ESPERANTO</t>
  </si>
  <si>
    <t>EventRights</t>
  </si>
  <si>
    <t>STRUDEL</t>
  </si>
  <si>
    <t>PJ02-W2 AART</t>
  </si>
  <si>
    <t>PJ03a SUMO</t>
  </si>
  <si>
    <t>PJ05 Remote Tower</t>
  </si>
  <si>
    <t>SMILE</t>
  </si>
  <si>
    <t>PJ02 EARTH</t>
  </si>
  <si>
    <t>EurofleetsPlus</t>
  </si>
  <si>
    <t>LAAA</t>
  </si>
  <si>
    <t>AENEAS</t>
  </si>
  <si>
    <t>CHiPS</t>
  </si>
  <si>
    <t>ONCOBIOME</t>
  </si>
  <si>
    <t>StronGrHEP</t>
  </si>
  <si>
    <t>RealVision</t>
  </si>
  <si>
    <t>EUREST-PLUS</t>
  </si>
  <si>
    <t>RISEinFAMILY</t>
  </si>
  <si>
    <t>B-CAST</t>
  </si>
  <si>
    <t>DEFEND</t>
  </si>
  <si>
    <t>Womenswriting</t>
  </si>
  <si>
    <t>VIGO</t>
  </si>
  <si>
    <t>HemAcure</t>
  </si>
  <si>
    <t>TUdi</t>
  </si>
  <si>
    <t>SYNCHRONICS</t>
  </si>
  <si>
    <t>MolDesign</t>
  </si>
  <si>
    <t>MICACT</t>
  </si>
  <si>
    <t>SMART-Plant</t>
  </si>
  <si>
    <t>GAIN</t>
  </si>
  <si>
    <t>ACCESS</t>
  </si>
  <si>
    <t>DiCoMI</t>
  </si>
  <si>
    <t>PACIFIC</t>
  </si>
  <si>
    <t>GaNOMIC</t>
  </si>
  <si>
    <t>SmartAnswer</t>
  </si>
  <si>
    <t>MakEY</t>
  </si>
  <si>
    <t>HALT</t>
  </si>
  <si>
    <t>PANGAIA</t>
  </si>
  <si>
    <t>Extending MEDT</t>
  </si>
  <si>
    <t>NonMinimalHiggs</t>
  </si>
  <si>
    <t>EJP RD</t>
  </si>
  <si>
    <t>BIOMASS-CCU</t>
  </si>
  <si>
    <t>GRACE</t>
  </si>
  <si>
    <t>PIONEERS</t>
  </si>
  <si>
    <t>FairTax</t>
  </si>
  <si>
    <t>FACE-IT</t>
  </si>
  <si>
    <t>DIGITENS</t>
  </si>
  <si>
    <t>FAIR-PARK-II</t>
  </si>
  <si>
    <t>HEMERA</t>
  </si>
  <si>
    <t>NaMeS</t>
  </si>
  <si>
    <t>iAtlantic</t>
  </si>
  <si>
    <t>artes EUmanities</t>
  </si>
  <si>
    <t>CONNECT</t>
  </si>
  <si>
    <t>EURAD</t>
  </si>
  <si>
    <t>RADNEXT</t>
  </si>
  <si>
    <t>Quantropy</t>
  </si>
  <si>
    <t>Blue-Action</t>
  </si>
  <si>
    <t>LANDMARC</t>
  </si>
  <si>
    <t>EUthyroid</t>
  </si>
  <si>
    <t>ENCLUDE</t>
  </si>
  <si>
    <t>GEOCEP</t>
  </si>
  <si>
    <t>BovReg</t>
  </si>
  <si>
    <t>GoNEXUS</t>
  </si>
  <si>
    <t>REFINTEG</t>
  </si>
  <si>
    <t>Governmigration</t>
  </si>
  <si>
    <t>Im.magine</t>
  </si>
  <si>
    <t>Whole-COMM</t>
  </si>
  <si>
    <t>PROTECT</t>
  </si>
  <si>
    <t>QuantMig</t>
  </si>
  <si>
    <t>ConsenCUS</t>
  </si>
  <si>
    <t>PhotoFluo</t>
  </si>
  <si>
    <t>DeMANS</t>
  </si>
  <si>
    <t>MIRed Streak</t>
  </si>
  <si>
    <t>Tendon Therapy Train</t>
  </si>
  <si>
    <t>MAT4TREAT</t>
  </si>
  <si>
    <t>MAIA</t>
  </si>
  <si>
    <t>IMOTHEP</t>
  </si>
  <si>
    <t>COMFORT</t>
  </si>
  <si>
    <t>RadoNorm</t>
  </si>
  <si>
    <t>NEIGHBOURCHANGE</t>
  </si>
  <si>
    <t>SURGE</t>
  </si>
  <si>
    <t>GlobalKnoT</t>
  </si>
  <si>
    <t>INTRAW</t>
  </si>
  <si>
    <t>STRCHANGEINEQ</t>
  </si>
  <si>
    <t>COPERNICUS</t>
  </si>
  <si>
    <t>ICE GENESIS</t>
  </si>
  <si>
    <t>SENS4ICE</t>
  </si>
  <si>
    <t>NEWS</t>
  </si>
  <si>
    <t>DiasporaLink</t>
  </si>
  <si>
    <t>CRiceS</t>
  </si>
  <si>
    <t>CID</t>
  </si>
  <si>
    <t>InSiTe-LandGov</t>
  </si>
  <si>
    <t>RISE</t>
  </si>
  <si>
    <t>AquaSpace</t>
  </si>
  <si>
    <t>WaterWorks2015</t>
  </si>
  <si>
    <t>INCREASE</t>
  </si>
  <si>
    <t>AgPro4CSA</t>
  </si>
  <si>
    <t>ISEBI</t>
  </si>
  <si>
    <t>VIDEC</t>
  </si>
  <si>
    <t>SMART PROTEIN</t>
  </si>
  <si>
    <t>IMAGE</t>
  </si>
  <si>
    <t>BestPass</t>
  </si>
  <si>
    <t>SAFEMILK</t>
  </si>
  <si>
    <t>DynaTweezers</t>
  </si>
  <si>
    <t>Vacc-iNTS</t>
  </si>
  <si>
    <t>HoloRuminant</t>
  </si>
  <si>
    <t>MicroPhan</t>
  </si>
  <si>
    <t>EARTHBLOOM</t>
  </si>
  <si>
    <t>GHRELMIGRA</t>
  </si>
  <si>
    <t>GHaNA</t>
  </si>
  <si>
    <t>GenTree</t>
  </si>
  <si>
    <t>DecisionES</t>
  </si>
  <si>
    <t>ASD-carillon</t>
  </si>
  <si>
    <t>SALAMANDRA</t>
  </si>
  <si>
    <t>NEURON Cofund</t>
  </si>
  <si>
    <t>JPco-fuND</t>
  </si>
  <si>
    <t>HYSOTIB</t>
  </si>
  <si>
    <t>ISOMET</t>
  </si>
  <si>
    <t>MarshFlux</t>
  </si>
  <si>
    <t>PullEd-MS</t>
  </si>
  <si>
    <t>ATTOCHEM</t>
  </si>
  <si>
    <t>MICROSCOPE</t>
  </si>
  <si>
    <t>Remediate</t>
  </si>
  <si>
    <t>ANSWER</t>
  </si>
  <si>
    <t>CMB-INFLATE</t>
  </si>
  <si>
    <t>MORPH</t>
  </si>
  <si>
    <t>SAFELiMOVE</t>
  </si>
  <si>
    <t>TIPPING.plus</t>
  </si>
  <si>
    <t>PIMS</t>
  </si>
  <si>
    <t>PRIISM-HD</t>
  </si>
  <si>
    <t>EU4HIVCURE</t>
  </si>
  <si>
    <t>Impentri</t>
  </si>
  <si>
    <t>RISING</t>
  </si>
  <si>
    <t>HERCULES</t>
  </si>
  <si>
    <t>INTAROS</t>
  </si>
  <si>
    <t>MISSION ATLANTIC</t>
  </si>
  <si>
    <t>FlexSNG</t>
  </si>
  <si>
    <t>EXCHANGE-Risk</t>
  </si>
  <si>
    <t>GHAIA</t>
  </si>
  <si>
    <t>Spatialec</t>
  </si>
  <si>
    <t>GRU</t>
  </si>
  <si>
    <t>ARPOEXMUS</t>
  </si>
  <si>
    <t>RandNET</t>
  </si>
  <si>
    <t>VITALISE</t>
  </si>
  <si>
    <t>EUCAN-Connect</t>
  </si>
  <si>
    <t>VIVIR</t>
  </si>
  <si>
    <t>ArthritisHeal</t>
  </si>
  <si>
    <t>QUEST</t>
  </si>
  <si>
    <t>Halo modelling</t>
  </si>
  <si>
    <t>CLUES-DECEB</t>
  </si>
  <si>
    <t>PROTINUS</t>
  </si>
  <si>
    <t>GCP-GEOTARCTIC</t>
  </si>
  <si>
    <t>SATBIOFUN</t>
  </si>
  <si>
    <t>EXPOWER</t>
  </si>
  <si>
    <t>IPaDEGAN</t>
  </si>
  <si>
    <t>FINSEIS</t>
  </si>
  <si>
    <t>High level CDFT</t>
  </si>
  <si>
    <t>EVOIMMECH</t>
  </si>
  <si>
    <t>MicroEcoEvol</t>
  </si>
  <si>
    <t>BIG4</t>
  </si>
  <si>
    <t>SAL-MOVE</t>
  </si>
  <si>
    <t>MicrobiomeSupport</t>
  </si>
  <si>
    <t>EXEDRA</t>
  </si>
  <si>
    <t>EAVI2020</t>
  </si>
  <si>
    <t>FURTHER-FC</t>
  </si>
  <si>
    <t>BOOSTER</t>
  </si>
  <si>
    <t>EMPHASIS</t>
  </si>
  <si>
    <t>TACTILENet</t>
  </si>
  <si>
    <t>ConFlex</t>
  </si>
  <si>
    <t>PROVIDE</t>
  </si>
  <si>
    <t>ASTROSTAT-II</t>
  </si>
  <si>
    <t>EuroMix</t>
  </si>
  <si>
    <t>GOLD</t>
  </si>
  <si>
    <t>EUREST-RISE</t>
  </si>
  <si>
    <t>PERICO</t>
  </si>
  <si>
    <t>ORBITAL</t>
  </si>
  <si>
    <t>PROMISS</t>
  </si>
  <si>
    <t>BETA-BACT</t>
  </si>
  <si>
    <t>FirEUrisk</t>
  </si>
  <si>
    <t>INTERWASTE</t>
  </si>
  <si>
    <t>Nunataryuk</t>
  </si>
  <si>
    <t>MINDMAP</t>
  </si>
  <si>
    <t>PARADIGM</t>
  </si>
  <si>
    <t>I-CARE4OLD</t>
  </si>
  <si>
    <t>FRACTESUS</t>
  </si>
  <si>
    <t>BASE-LiNE Earth</t>
  </si>
  <si>
    <t>PredProkDef</t>
  </si>
  <si>
    <t>AtlantOS</t>
  </si>
  <si>
    <t>EuroSea</t>
  </si>
  <si>
    <t>OPTIMISE</t>
  </si>
  <si>
    <t>WEGO</t>
  </si>
  <si>
    <t>SeaChanges</t>
  </si>
  <si>
    <t>EdgeStress</t>
  </si>
  <si>
    <t>FR and ENG Petrarch</t>
  </si>
  <si>
    <t>INTERPHIL</t>
  </si>
  <si>
    <t>BIVIUM</t>
  </si>
  <si>
    <t>Ceratina</t>
  </si>
  <si>
    <t>OCSEAN</t>
  </si>
  <si>
    <t>VERTEXCULT</t>
  </si>
  <si>
    <t>ISLANDPALECO</t>
  </si>
  <si>
    <t>SYNTHESYS PLUS</t>
  </si>
  <si>
    <t>GEM-STONES</t>
  </si>
  <si>
    <t>NOMAD-Outcome</t>
  </si>
  <si>
    <t>NewHuman</t>
  </si>
  <si>
    <t>CLIMGROWTH</t>
  </si>
  <si>
    <t>VIETNAMICA</t>
  </si>
  <si>
    <t>ATRA</t>
  </si>
  <si>
    <t>PAST</t>
  </si>
  <si>
    <t>FAB-MOVE</t>
  </si>
  <si>
    <t>iDAPT</t>
  </si>
  <si>
    <t>AYURYOG</t>
  </si>
  <si>
    <t>AIDE</t>
  </si>
  <si>
    <t>HERILAND</t>
  </si>
  <si>
    <t>POLYPLOID</t>
  </si>
  <si>
    <t>CALCULATORES</t>
  </si>
  <si>
    <t>NEURON Cofund2</t>
  </si>
  <si>
    <t>METAFRAX</t>
  </si>
  <si>
    <t>BEAMED</t>
  </si>
  <si>
    <t>LIFESPAN</t>
  </si>
  <si>
    <t>DCPM</t>
  </si>
  <si>
    <t>euCanSHare</t>
  </si>
  <si>
    <t>RECODID</t>
  </si>
  <si>
    <t>BRIDGES</t>
  </si>
  <si>
    <t>MAESTRIA</t>
  </si>
  <si>
    <t>PRECeDI</t>
  </si>
  <si>
    <t>IPAD-MD</t>
  </si>
  <si>
    <t>SYNPARK</t>
  </si>
  <si>
    <t>ClieNFarms</t>
  </si>
  <si>
    <t>FFSize</t>
  </si>
  <si>
    <t>CIRCASA</t>
  </si>
  <si>
    <t>INFRAFRONTIER2020</t>
  </si>
  <si>
    <t>PESTNET</t>
  </si>
  <si>
    <t>COLLDENSE</t>
  </si>
  <si>
    <t>InterTAU</t>
  </si>
  <si>
    <t>Bio4Med</t>
  </si>
  <si>
    <t>IMPED</t>
  </si>
  <si>
    <t>SI</t>
  </si>
  <si>
    <t>EUCANCan</t>
  </si>
  <si>
    <t>BITCAT</t>
  </si>
  <si>
    <t>ESCALON</t>
  </si>
  <si>
    <t>SISAQOL-IMI</t>
  </si>
  <si>
    <t>EUbOPEN</t>
  </si>
  <si>
    <t>iReceptor Plus</t>
  </si>
  <si>
    <t>CAR ART</t>
  </si>
  <si>
    <t>CONTRA</t>
  </si>
  <si>
    <t>FourCmodelling</t>
  </si>
  <si>
    <t>InCeM</t>
  </si>
  <si>
    <t>Arctic PASSION</t>
  </si>
  <si>
    <t>DiscardLess</t>
  </si>
  <si>
    <t>AFFECT-EU</t>
  </si>
  <si>
    <t>PrimeFish</t>
  </si>
  <si>
    <t>ClimeFish</t>
  </si>
  <si>
    <t>AquaVitae</t>
  </si>
  <si>
    <t>TULIPS</t>
  </si>
  <si>
    <t>SONAR</t>
  </si>
  <si>
    <t>ATHOR</t>
  </si>
  <si>
    <t>MaritimeImagination</t>
  </si>
  <si>
    <t>TIQ</t>
  </si>
  <si>
    <t>VULNER</t>
  </si>
  <si>
    <t>POLITICO</t>
  </si>
  <si>
    <t>PREVENT</t>
  </si>
  <si>
    <t>VIPER</t>
  </si>
  <si>
    <t>CompSafeNano</t>
  </si>
  <si>
    <t>SENSOFT</t>
  </si>
  <si>
    <t>EXPERT</t>
  </si>
  <si>
    <t>Nano-OligoMed</t>
  </si>
  <si>
    <t>CarbonNeutralLNG</t>
  </si>
  <si>
    <t>GAMMA</t>
  </si>
  <si>
    <t>ENRICH</t>
  </si>
  <si>
    <t>2D-InTune</t>
  </si>
  <si>
    <t>DIVE IN</t>
  </si>
  <si>
    <t>BattleCap-CO2</t>
  </si>
  <si>
    <t>e-Authopia</t>
  </si>
  <si>
    <t>ARCHEM</t>
  </si>
  <si>
    <t>CHArT</t>
  </si>
  <si>
    <t>ECoSync</t>
  </si>
  <si>
    <t>FESTWAR FM</t>
  </si>
  <si>
    <t>LEXIS</t>
  </si>
  <si>
    <t>SAYcrifice</t>
  </si>
  <si>
    <t>MUSICIAN</t>
  </si>
  <si>
    <t>BioPSy</t>
  </si>
  <si>
    <t>FutureData4EU</t>
  </si>
  <si>
    <t>M3DEA</t>
  </si>
  <si>
    <t>MarinePlan</t>
  </si>
  <si>
    <t>REWRITE</t>
  </si>
  <si>
    <t>KARST</t>
  </si>
  <si>
    <t>ILLUQ</t>
  </si>
  <si>
    <t>GO GREEN NEXT</t>
  </si>
  <si>
    <t>HelEx</t>
  </si>
  <si>
    <t>GreenFeedBack</t>
  </si>
  <si>
    <t>GES4SEAS</t>
  </si>
  <si>
    <t>Resilience</t>
  </si>
  <si>
    <t>POMP</t>
  </si>
  <si>
    <t>POLARIN</t>
  </si>
  <si>
    <t>IsWINE</t>
  </si>
  <si>
    <t>MIRAQLS</t>
  </si>
  <si>
    <t>FEASTS</t>
  </si>
  <si>
    <t>HyperSpace</t>
  </si>
  <si>
    <t>Q-DYNAMO</t>
  </si>
  <si>
    <t>PolyPro3</t>
  </si>
  <si>
    <t>mC-EVOLVE</t>
  </si>
  <si>
    <t>REMODEL</t>
  </si>
  <si>
    <t>Graph Algebras</t>
  </si>
  <si>
    <t>EinsteinWaves</t>
  </si>
  <si>
    <t>CaLiForNIA</t>
  </si>
  <si>
    <t>TEAMING</t>
  </si>
  <si>
    <t>COVER</t>
  </si>
  <si>
    <t>SmartOptoelectronics</t>
  </si>
  <si>
    <t>HISSING</t>
  </si>
  <si>
    <t>POHOWEP</t>
  </si>
  <si>
    <t>DELIGHT</t>
  </si>
  <si>
    <t>MusicalSpeech</t>
  </si>
  <si>
    <t>EPOC</t>
  </si>
  <si>
    <t>EXPECT</t>
  </si>
  <si>
    <t>MAACS</t>
  </si>
  <si>
    <t>MAKINGHISTORIES</t>
  </si>
  <si>
    <t>SalmoScales</t>
  </si>
  <si>
    <t>ARCHIVWAR</t>
  </si>
  <si>
    <t>MiLi</t>
  </si>
  <si>
    <t>NGI Enrichers</t>
  </si>
  <si>
    <t>VECTOR</t>
  </si>
  <si>
    <t>FoQaCiA</t>
  </si>
  <si>
    <t>DECODE</t>
  </si>
  <si>
    <t>MOLA</t>
  </si>
  <si>
    <t>GAPs</t>
  </si>
  <si>
    <t>SOLACE-aDNA</t>
  </si>
  <si>
    <t>Legume Generation</t>
  </si>
  <si>
    <t>HESTIA</t>
  </si>
  <si>
    <t>SUSTEPS</t>
  </si>
  <si>
    <t>CODA</t>
  </si>
  <si>
    <t>DIAMOND</t>
  </si>
  <si>
    <t>SAFeCRAFT</t>
  </si>
  <si>
    <t>MIMOSA</t>
  </si>
  <si>
    <t>ArtPlac</t>
  </si>
  <si>
    <t>PANDORA</t>
  </si>
  <si>
    <t>IVORY</t>
  </si>
  <si>
    <t>HarmonicAI</t>
  </si>
  <si>
    <t>VITAL</t>
  </si>
  <si>
    <t>EarthSafe</t>
  </si>
  <si>
    <t>QUONDENSATE</t>
  </si>
  <si>
    <t>SHARE-CTD</t>
  </si>
  <si>
    <t>LEGITIMULT</t>
  </si>
  <si>
    <t>HOMeAGE</t>
  </si>
  <si>
    <t>SD4SP</t>
  </si>
  <si>
    <t>Mig.Pro.</t>
  </si>
  <si>
    <t>MICROBIOMES4SOY</t>
  </si>
  <si>
    <t>INGUMA</t>
  </si>
  <si>
    <t>ICARUS</t>
  </si>
  <si>
    <t>BGE</t>
  </si>
  <si>
    <t>WHAM</t>
  </si>
  <si>
    <t>UTU-GreDiT</t>
  </si>
  <si>
    <t>SameMultiPhys</t>
  </si>
  <si>
    <t>DIGITAF</t>
  </si>
  <si>
    <t>ENEN2plus</t>
  </si>
  <si>
    <t>In-Touch</t>
  </si>
  <si>
    <t>BullNet</t>
  </si>
  <si>
    <t>ImageTumor</t>
  </si>
  <si>
    <t>IONBIKE 2.0</t>
  </si>
  <si>
    <t>CESAREF</t>
  </si>
  <si>
    <t>IRB-TARGET</t>
  </si>
  <si>
    <t>ReWire</t>
  </si>
  <si>
    <t>eRaDicate</t>
  </si>
  <si>
    <t>EAJADE</t>
  </si>
  <si>
    <t>SiTi-CAT</t>
  </si>
  <si>
    <t>MX-MAP</t>
  </si>
  <si>
    <t>GYNODICY</t>
  </si>
  <si>
    <t>Fate roS</t>
  </si>
  <si>
    <t>IMPARTIAL</t>
  </si>
  <si>
    <t>PRESILIENT</t>
  </si>
  <si>
    <t>neurOmics</t>
  </si>
  <si>
    <t>LegumeLegacy</t>
  </si>
  <si>
    <t>CombiDiag</t>
  </si>
  <si>
    <t>PhySeaCS</t>
  </si>
  <si>
    <t>CRISPit</t>
  </si>
  <si>
    <t>UNGENDERED VALUES</t>
  </si>
  <si>
    <t>TAKEBACK</t>
  </si>
  <si>
    <t>NaplaGro</t>
  </si>
  <si>
    <t>COMMONS</t>
  </si>
  <si>
    <t>EVOLVE</t>
  </si>
  <si>
    <t>PLACES</t>
  </si>
  <si>
    <t>QSI</t>
  </si>
  <si>
    <t>MYS-SPEAKED</t>
  </si>
  <si>
    <t>LEGENDRE</t>
  </si>
  <si>
    <t>FIRS</t>
  </si>
  <si>
    <t>SCIseg</t>
  </si>
  <si>
    <t>GEM-DIAMOND</t>
  </si>
  <si>
    <t>Micro-FloTec</t>
  </si>
  <si>
    <t>FLORIN</t>
  </si>
  <si>
    <t>SCALEES</t>
  </si>
  <si>
    <t>AtheroGLP1</t>
  </si>
  <si>
    <t>JOPHIL</t>
  </si>
  <si>
    <t>InVitroFutures</t>
  </si>
  <si>
    <t>MIME</t>
  </si>
  <si>
    <t>NO-CANCER-NET</t>
  </si>
  <si>
    <t>MDC</t>
  </si>
  <si>
    <t>EUthyroid2</t>
  </si>
  <si>
    <t>EChiLiBRiST</t>
  </si>
  <si>
    <t>BiocatCodeExpander</t>
  </si>
  <si>
    <t>I4WORLD</t>
  </si>
  <si>
    <t>EUROPROP</t>
  </si>
  <si>
    <t>LEAD AI</t>
  </si>
  <si>
    <t>MIDAS</t>
  </si>
  <si>
    <t>MIrreM</t>
  </si>
  <si>
    <t>JOINEDUPJUSTICE</t>
  </si>
  <si>
    <t>NAVIGATOR</t>
  </si>
  <si>
    <t>EUPHRESCO III</t>
  </si>
  <si>
    <t>STRAITS</t>
  </si>
  <si>
    <t>PlasticUnderground</t>
  </si>
  <si>
    <t>MULTIR</t>
  </si>
  <si>
    <t>HIT-GLIO</t>
  </si>
  <si>
    <t>SOUND.AI</t>
  </si>
  <si>
    <t>R2D2-MH</t>
  </si>
  <si>
    <t>NextGenBioPest</t>
  </si>
  <si>
    <t>FS4Africa</t>
  </si>
  <si>
    <t>ERIES</t>
  </si>
  <si>
    <t>Link4Skills</t>
  </si>
  <si>
    <t>EU-CIEMBLY</t>
  </si>
  <si>
    <t>WorldFAIR</t>
  </si>
  <si>
    <t>BB-Future</t>
  </si>
  <si>
    <t>UNI PROB</t>
  </si>
  <si>
    <t>InCITIES</t>
  </si>
  <si>
    <t>WIRE FilmEU</t>
  </si>
  <si>
    <t>UNDETERRED</t>
  </si>
  <si>
    <t>STELLA</t>
  </si>
  <si>
    <t>EU NAVIGATE</t>
  </si>
  <si>
    <t>FRESHAIR4LIFE</t>
  </si>
  <si>
    <t>InnovativeSMEs</t>
  </si>
  <si>
    <t>d@rts</t>
  </si>
  <si>
    <t>GIANT LEAPS</t>
  </si>
  <si>
    <t>SIMPATHIC</t>
  </si>
  <si>
    <t>RAISE</t>
  </si>
  <si>
    <t>Green2Ice</t>
  </si>
  <si>
    <t>Deployment of Brain-Computer Interfaces for the Detection of Consciousness in Non-Responsive Patients</t>
  </si>
  <si>
    <t>Involving Transnational Communities - Civil Society Forum on Conflicts</t>
  </si>
  <si>
    <t>High Altitude Ice Crystals</t>
  </si>
  <si>
    <t>Collaborative European NeuroTrauma Effectiveness Research in TBI</t>
  </si>
  <si>
    <t>Suicidality: Treatment Occurring in Paediatrics</t>
  </si>
  <si>
    <t>Ship Evacuation Data and Scenarios</t>
  </si>
  <si>
    <t>Development of new nanocomposites using materials from mining industry</t>
  </si>
  <si>
    <t>Eradication: the science and politics of a world without AIDS</t>
  </si>
  <si>
    <t>The Principles of Chemical Evolution</t>
  </si>
  <si>
    <t>Ships and Waves Reaching Polar Regions</t>
  </si>
  <si>
    <t>Performance-based Innovation Rewards</t>
  </si>
  <si>
    <t>Advanced industrial microseismic monitoring</t>
  </si>
  <si>
    <t>Opportunities for Access of European Researchers to the New Zealand Research System</t>
  </si>
  <si>
    <t>Global Strategic Alliances for the Coordination of Research on the Major Infectious Diseases of Animals and Zoonoses</t>
  </si>
  <si>
    <t>Containment thermal-hydraulics of current and future LWRs for severe accident management</t>
  </si>
  <si>
    <t>Trans-Atlantic Platform for the Social Sciences and Humanities</t>
  </si>
  <si>
    <t>Supporting EU Access to Canadian Research and Innovation Programmes</t>
  </si>
  <si>
    <t>European Research Area - Canada Information and Support Service</t>
  </si>
  <si>
    <t>Pacific - EU Network for science and Technology</t>
  </si>
  <si>
    <t>ERA-NET for Coordinating Action in Plant Sciences (ERA-CAPS)</t>
  </si>
  <si>
    <t>Multiscale Spatiotemporal Visualisation: development of an open-source software library for the interactive visualisation of multiscale biomedical data</t>
  </si>
  <si>
    <t>Clean Hydrogen in European Cities</t>
  </si>
  <si>
    <t>WINTHERapeutics: development of a systems biology method to predict efficacy of cancer drugs to optimize individualized therapeutic decision and improve clinical outcome for cancer patients</t>
  </si>
  <si>
    <t>Monitoring, Analyzing and Assessing Radiation Belt Loss and Energization</t>
  </si>
  <si>
    <t>Development of a new diagnostic tool using DNA barcoding to identify quarantine organisms in support of plant health</t>
  </si>
  <si>
    <t>Sustainable network of Independent Technical EXpertise for radioactive waste disposal</t>
  </si>
  <si>
    <t>Reinforcing the international cooperation in FP7 FAFB strengthening the CIRCLE of Third Countries BIO NCPs</t>
  </si>
  <si>
    <t>Pacific Europe Network for Science, Technology and Innovation</t>
  </si>
  <si>
    <t>Technology Options for Coupled Underground Coal Gasification and CO2 Capture and Storage</t>
  </si>
  <si>
    <t>DEferiprone Evaluation in Paediatrics</t>
  </si>
  <si>
    <t>Social Innovation: Driving Force of Social Change</t>
  </si>
  <si>
    <t>Enhancements of Pest Risk Analysis Techniques</t>
  </si>
  <si>
    <t>Diagnostic and Drug Discovery Initiative for Alzheimer’s Disease</t>
  </si>
  <si>
    <t>Self-Assembled Polymer Membranes</t>
  </si>
  <si>
    <t>Impact of Citizen Participation on Decision-Making in a Knowledge Intensive Policy Field</t>
  </si>
  <si>
    <t>Combining measurements from the Canadian and European Arctic in order to investigate the aerosol life cycle in the Arctic troposphere and its implications for cloud-aerosol-climate interactions</t>
  </si>
  <si>
    <t>Climate Induced Changes on the Hydrology of Mediterranean Basins: Reducing Uncertainty and Quantifying Risk through an Integrated Monitoring and Modeling System</t>
  </si>
  <si>
    <t>Fast Rechargeable Zinc-Polymer Battery based on Ionic Liquids</t>
  </si>
  <si>
    <t>CO2 Site Closure Assessment Research</t>
  </si>
  <si>
    <t>MobIle Laboratory Capacity for the Rapid Assessment of CBRN Threats Located within and outside the EU</t>
  </si>
  <si>
    <t>Health in Times of Transition: Trends in Population Health and Health Policies in CIS Countries</t>
  </si>
  <si>
    <t>Green Retrofitting of Existing Ships</t>
  </si>
  <si>
    <t>Disabling Radiotherapy resistance in Cancer Treatment</t>
  </si>
  <si>
    <t>New Multi-HAzard and MulTi-RIsK Assessment MethodS for Europe</t>
  </si>
  <si>
    <t>International Human Microbiome Standards</t>
  </si>
  <si>
    <t>Industrial Crops producing added value Oils for Novel chemicals</t>
  </si>
  <si>
    <t>European Research Infrastructures Network of National Contact Points</t>
  </si>
  <si>
    <t>Meeting the challenges of economic uncertainty and sustainability through employment, industrial relations, social and environmental policies in European countries</t>
  </si>
  <si>
    <t>Slave Trade Slavery Abolitions and their Legacies in European Histories and Identities</t>
  </si>
  <si>
    <t>Robust Advanced Materials for metal Supported SOFC</t>
  </si>
  <si>
    <t>Ethics in Public Policy Making: The Case of Human Enhancement</t>
  </si>
  <si>
    <t>European Research Area - Canada for Science, Technology and Innovation Partnership</t>
  </si>
  <si>
    <t>Promoting gender equality in research institutions and the integration of the gender dimension in research contents</t>
  </si>
  <si>
    <t>Bioreactor-based, clinically oriented manufacturing of engineered tissues</t>
  </si>
  <si>
    <t>Biopharmaceutical therapy for treatment of Primary Hyperoxaluria</t>
  </si>
  <si>
    <t>Coordination of resources for conditional expression of mutated mouse alleles</t>
  </si>
  <si>
    <t>European Consortium for Pacific Studies</t>
  </si>
  <si>
    <t>Tailored implementation for chronic diseases</t>
  </si>
  <si>
    <t>A WORLDWIDE E-INFRASTRUCTURE FOR COMPUTATIONAL NEUROSCIENTISTS (outGRID)</t>
  </si>
  <si>
    <t>Novel Brain-Inspired Learning Paradigms for  Large-Scale Neuronal Networks</t>
  </si>
  <si>
    <t>Concurrent Tuberculosis and Diabetes Mellitus;unraveling the causal link, and improving care</t>
  </si>
  <si>
    <t>Targeting cancer using evolutionary refined pathogen derived antigens</t>
  </si>
  <si>
    <t>Development of integrated livestock breeding and management strategies to improve animal health, product quality and performance in European organic and ‘low input’ milk, meat and egg production.</t>
  </si>
  <si>
    <t>Vaccines against helminth infections</t>
  </si>
  <si>
    <t>Defining the role of xeno-directed and autoimmune events in patients receiving animal-derived bioprosthetic heart valves</t>
  </si>
  <si>
    <t>Network of European funding for Neuroscience research</t>
  </si>
  <si>
    <t>Tool Use As A Tool For Understanding Causal Cognition In Humans And Corvids</t>
  </si>
  <si>
    <t>Internet-based Structural Health Monitoring System</t>
  </si>
  <si>
    <t>Natural Interactive Walking</t>
  </si>
  <si>
    <t>The calm before the storm: Pre-stellar cores as Astrophysical Laboratories</t>
  </si>
  <si>
    <t>A Highly Scalable Transactional Multi-Tier Platform as a Service</t>
  </si>
  <si>
    <t>A European Collaboration to optimise research for the care of cancer patients in the last days of life</t>
  </si>
  <si>
    <t>Companion Animals multisectoriaL interprofessionaL and Interdisciplinary Strategic Think tank On zoonoses</t>
  </si>
  <si>
    <t>Flexible Wood Supply Chain</t>
  </si>
  <si>
    <t>Innovative Switchable Shading Appliances based on Nanomaterials and Hybrid Electrochromic Device Configurations</t>
  </si>
  <si>
    <t>Enhanced Energy Efficiency and Comfort by Smart Light Transmittance Control</t>
  </si>
  <si>
    <t>Canadian Networking Aeronautics Project for Europe</t>
  </si>
  <si>
    <t>Thermal Overall Integrated Conception of Aircraft</t>
  </si>
  <si>
    <t>Non-intrusive Optical Pressure and Loads Extraction for Aerodynamic Analysis</t>
  </si>
  <si>
    <t>Modular Logistics Units in Shared Co-modal Networks</t>
  </si>
  <si>
    <t>Developing predictors of the health benefits of exercise for individuals</t>
  </si>
  <si>
    <t>Supporting the Use of Research Evidence (SURE) for Policy in African Health Systems</t>
  </si>
  <si>
    <t>NeuGRID for you: expansion of NeuGRID services and outreach to new user communities</t>
  </si>
  <si>
    <t>Plasmodium Vivax Infection in Pregnancy</t>
  </si>
  <si>
    <t>Facilitating Implementation of Research Evidence</t>
  </si>
  <si>
    <t>Systems medicine of chronic inflammatory bowel disease</t>
  </si>
  <si>
    <t>Scientific sYnergisM of nano-Bio-Info-cOgni Science for an Integrated system to monitor meat quality and Safety during production, storage, and distribution in EU</t>
  </si>
  <si>
    <t>Enabling information re-Use by linking clinical REsearch and CAre</t>
  </si>
  <si>
    <t>Immunogenetics of Severe Bacterial Disease Susceptibility  and Vaccine Responses in Humans</t>
  </si>
  <si>
    <t>“The International Data Coordination Centre”</t>
  </si>
  <si>
    <t>Global Research in Paediatrics</t>
  </si>
  <si>
    <t>Far Infra-red Space Intereferometer Critical Assessment: Scientific Definition and Technology Development for the Next Generation THz Space Interferometer</t>
  </si>
  <si>
    <t>Investigation of local and global cortical circuits with advanced neural probes for high-resolution electrophysiological monitoring and optogenetic stimulation</t>
  </si>
  <si>
    <t>Supporting Standardisation for Smart Textiles</t>
  </si>
  <si>
    <t>Epixfab services specifically targeting (SME) industrial take-up of advanced silicon photonics</t>
  </si>
  <si>
    <t>Forest ecosystem genomics research: supporting Transatlantic Cooperation</t>
  </si>
  <si>
    <t>A new, ground based data-assimilative modeling of the Earth's plasmasphere - a critical contribution to Radiation Belt modeling for Space Weather purposes</t>
  </si>
  <si>
    <t>Development of reference methods for hazard identification, risk assessment and LCA of engineered nanomaterials</t>
  </si>
  <si>
    <t>Coordination action on Environmental Technology Verification ETV - Building a framework for international cooperation</t>
  </si>
  <si>
    <t>Critical Infrastructure Preparedness and Resilience Research Network</t>
  </si>
  <si>
    <t>AN Integration of Mitigation and Adaptation options for sustainable Livestock production under climate CHANGE</t>
  </si>
  <si>
    <t>Nanocomposite materials for photocatalytic degradation of pollutants</t>
  </si>
  <si>
    <t>Novel processing routes for effective sewage sludge management</t>
  </si>
  <si>
    <t>Coordinating the cooperation of the ESFRI project Infrafrontier with the International Phenotyping Consortium (IMPC)</t>
  </si>
  <si>
    <t>Small and Medium Enterprise Satellite (SME-SAT)</t>
  </si>
  <si>
    <t>Cell-based regenerative medicine: new challenges for EU legislation and governance</t>
  </si>
  <si>
    <t>Management of Hypotension In the Preterm Extremely Low Gestational Age Newborn</t>
  </si>
  <si>
    <t>Exploring the neural coding in behaving animals by novel optogenetic, high-density microrecordings and computational approaches: Towards cognitive Brain-Computer Interfaces</t>
  </si>
  <si>
    <t>Assessment of the impacts of non-tariff measures - NTM on the competitiveness of the EU and selected trade partners</t>
  </si>
  <si>
    <t>Integrated approach for increasing breeding efficiency in fruit tree crops</t>
  </si>
  <si>
    <t>Changing Multilateralism: The EU as a Global-regional Actor in Security and Peace</t>
  </si>
  <si>
    <t>Wireless Hybrid Enhanced Mobile Radio Estimators</t>
  </si>
  <si>
    <t>Wireless Hybrid Enhanced Mobile Radio Estimators - Phase 2</t>
  </si>
  <si>
    <t>A Preparatory phase proposal for the Square Kilometre Array</t>
  </si>
  <si>
    <t>Efficient, large-area arbitrary shape solar energy</t>
  </si>
  <si>
    <t>Facilitating Research and Innovation Cooperation between Europe and New Zealand</t>
  </si>
  <si>
    <t>Innovative bifunctional aircraft window for lighting control to enhance passenger comfort</t>
  </si>
  <si>
    <t>Advanced NAno-Structured TApeS for electrotechnical high power Insulating Applications</t>
  </si>
  <si>
    <t>Future Internet Gateway-based Architecture of Residential Networks</t>
  </si>
  <si>
    <t>Intelligent Learning Extended Organisation</t>
  </si>
  <si>
    <t>European Asia-Pacific Cooperation on ICT Research</t>
  </si>
  <si>
    <t>Ecosystem infrastructure for smart and personalised inclusion and PROSPERITY for ALL stakeholders</t>
  </si>
  <si>
    <t>Research into Impacts and Safety in CO2 Storage (RISCS)</t>
  </si>
  <si>
    <t>Novel Technologies for Surveillance of Emerging and Re-emerging Infections of Wildlife</t>
  </si>
  <si>
    <t>Building a global multidisciplinary digital governance and policy modelling research and practice community</t>
  </si>
  <si>
    <t>OpenLab: extending FIRE testbeds and tools</t>
  </si>
  <si>
    <t>Added value from high protein &amp; high oil industrial co-streams</t>
  </si>
  <si>
    <t>The COMET (Core Outcome Measures in Effectiveness Trials) Initiative</t>
  </si>
  <si>
    <t>Cancer Genomics of the Kidney</t>
  </si>
  <si>
    <t>Severe Accident Research Network of Excellence 2</t>
  </si>
  <si>
    <t>Spoken Dialogue Analytics</t>
  </si>
  <si>
    <t>4WARD - Architecture and Design for the Future Internet</t>
  </si>
  <si>
    <t>Sustaining research momentum over the coming decades: mentoring the next generation of researchers for tuberculosis</t>
  </si>
  <si>
    <t>Distributed Dynamic Diversity Databases for Life</t>
  </si>
  <si>
    <t>MEDiterranean SUpersite Volcanoes</t>
  </si>
  <si>
    <t>Infrafrontier The European infrastructure for phenotyping and archiving of model mammalian genomes</t>
  </si>
  <si>
    <t>Changes in carbon uptake and emissions by oceans in a changing climate</t>
  </si>
  <si>
    <t>Arctic Health Risks: Impacts on health in the Arctic and Europe owing to climate-induced changes in contaminant cycling</t>
  </si>
  <si>
    <t>High Performance Capture - HiPerCap</t>
  </si>
  <si>
    <t>Microbiome Influence on Energy balance and Brain Development-Function Put into Action to Tackle Diet-related Diseases and Behavior.</t>
  </si>
  <si>
    <t>Climate change - Learning from the past climate</t>
  </si>
  <si>
    <t>Physical bottom Up Multiscale Modelling for Automotive PEMFC Innovative performance and Durability optimization</t>
  </si>
  <si>
    <t>Adaptive Strategies to Mitigate the Impacts of Climate Change on European Freshwater Ecosystems</t>
  </si>
  <si>
    <t>Development of postcombustion CO2 capture with CaO in a large testing facility: “CaOling”</t>
  </si>
  <si>
    <t>Development of mouse mutant resources for functional analyses of human diseases - Enhancing the translation of research into innovation</t>
  </si>
  <si>
    <t>IT Future of Medicine</t>
  </si>
  <si>
    <t>A IAPP on the Role of NCAM in Stem Cell Differentiation</t>
  </si>
  <si>
    <t>Virtual Physiological Human: Sharing for Healthcare - A Research Environment</t>
  </si>
  <si>
    <t>Strategies to develop effective, innovative and practical approaches to protect major European fruit crops from pests and pathogens</t>
  </si>
  <si>
    <t>Biomarker for Cardiovascular Risk Assessment in Europe</t>
  </si>
  <si>
    <t>EPIC-CVD: Individualised CVD risk assessment: tailoring targeted and cost-effective approaches to Europe's diverse populations</t>
  </si>
  <si>
    <t>Consistently Optimised Resilient Secure Global Supply-Chains</t>
  </si>
  <si>
    <t>Cloud platforms Lead to Open and Universal access for people with Disabilities and for All</t>
  </si>
  <si>
    <t>Modular Urban Transport Safety and Security Analysis</t>
  </si>
  <si>
    <t>Parallel computing based on designed networks explored by self-propelled, biological agents</t>
  </si>
  <si>
    <t>Next Generation Train Control</t>
  </si>
  <si>
    <t>Factories of the Future Resources, Technology, Infrastructure and Services for Simulation and Modelling</t>
  </si>
  <si>
    <t>MANAGING THE EFFECTS OF MULTIPLE STRESSORS ON AQUATIC ECOSYSTEMS UNDER WATER SCARCITY</t>
  </si>
  <si>
    <t>Systems Biology to Identify Molecular Targets for Vascular Disease Treatment</t>
  </si>
  <si>
    <t>IBD: proteases offer new targets for drug discovery</t>
  </si>
  <si>
    <t>Network of Excellence in Internet Science</t>
  </si>
  <si>
    <t>GIGA BIT ACCESS PASSIVE OPTICAL NETWORK USING WAVELENGTH DIVISION MULTIPLEXING</t>
  </si>
  <si>
    <t>Nanoparticles in Food: Analytical methods for detection and characterisation</t>
  </si>
  <si>
    <t>Increasing Value and Flow in the Marine Biodiscovery Pipeline</t>
  </si>
  <si>
    <t>Development and pre-operational validation of upgraded GMES Marine Core Services and capabilities</t>
  </si>
  <si>
    <t>Researching Interoperability using Core Reference Datasets and Ontologies for the Virtual Physiological Human</t>
  </si>
  <si>
    <t>Polar Ice: Stimulating Arctic &amp; Antarctic sea ice monitoring services through end-user engagement and the integration of new service lines into GMES downstream services.</t>
  </si>
  <si>
    <t>Off-shore Renewable Energy Conversion platforms – Coordination Action</t>
  </si>
  <si>
    <t>EVALUATING THE IMPACT OF STRUCTURAL POLICIES ON HEALTH INEQUALITIES AND THEIR SOCIAL DETERMINANTS AND FOSTERING CHANGE</t>
  </si>
  <si>
    <t>Risk of brain cancer from exposure to radiofrequency fields in childhood and adolescence</t>
  </si>
  <si>
    <t>Safety Of non-Steroidal anti-inflammatory drugs</t>
  </si>
  <si>
    <t>Inhibiting Nef: a novel drug target for HIV-host interactions</t>
  </si>
  <si>
    <t>Co-creating Ecosystem-based Fisheries Management Solutions</t>
  </si>
  <si>
    <t>Personalized Medicine 2020 and beyond – Preparing Europe for leading the global way (PerMed)</t>
  </si>
  <si>
    <t>Biobank Standardisation and Harmonisation for Research Excellence in the European Union</t>
  </si>
  <si>
    <t>The Human Brain Project</t>
  </si>
  <si>
    <t>PREVention of diabetes through lifestyle Intervention and population studies in Europe and around the World</t>
  </si>
  <si>
    <t>International Network for Terrestrial Research and Monitoring in the Arctic</t>
  </si>
  <si>
    <t>Effective use of ecosystem and biological knowledge in fisheries</t>
  </si>
  <si>
    <t>Global initiative on gene-environment interaction on diabetes/obesity risk</t>
  </si>
  <si>
    <t>REsearch into POlicy to enhance Physical Activity</t>
  </si>
  <si>
    <t>Robust Robot Locomotion and Movements Through Morphology and Morphosis</t>
  </si>
  <si>
    <t>Microscale Chemically Reactive Electronic Agents</t>
  </si>
  <si>
    <t>Synthetic biology – Engaging with New and Emerging Science and Technology in Responsible Governance of the Science and Society Relationship</t>
  </si>
  <si>
    <t>European Network for Genetic and Genomic Epidemiology</t>
  </si>
  <si>
    <t>Promoting a functional and comparative understanding of the conifer genome- implementing applied aspects for more productive and adapted forests</t>
  </si>
  <si>
    <t>Virtual Physiological Human Network of Excellence</t>
  </si>
  <si>
    <t>Treat Iron-Related Childhood-Onset Neurodegeneration</t>
  </si>
  <si>
    <t>BBMRI - Large Prospective Cohorts</t>
  </si>
  <si>
    <t>Semantic Infostructure interlinking an open source Finite Element tool and libraries with a model repository for the multi-scale Modelling and 3d visualization of the inner-ear</t>
  </si>
  <si>
    <t>Alternative Fuels and Biofuels for Aircraft Development</t>
  </si>
  <si>
    <t>Science Created by You (SCY)</t>
  </si>
  <si>
    <t>Marine Metagenomics for New Biotechnological Applications</t>
  </si>
  <si>
    <t>Information-processing by individual political actors. The determinants of exposure, attention and action in a comparative perspective</t>
  </si>
  <si>
    <t>Molecular Approaches and MetaGenomic Investigations for optimizing Clean-up of PAH contaminated sites</t>
  </si>
  <si>
    <t>Unrestricted Leveraging of Targets for Research Advancement and Drug Discovery</t>
  </si>
  <si>
    <t>PRIMES: Protein interaction machines in oncogenic EGF receptor signalling</t>
  </si>
  <si>
    <t>Open Accessibility Everywhere: Groundwork, Infrastructure, Standards</t>
  </si>
  <si>
    <t>Application of new technologies and methods in nutrition research – the example of phenotypic flexibility</t>
  </si>
  <si>
    <t>Climate change, Environmental contaminants and Reproductive health</t>
  </si>
  <si>
    <t>Silicon-based Ultra-Compact Cost-Efficient System Design for mm-Wave Sensors</t>
  </si>
  <si>
    <t>Formulating new Goals for global health, and proposing new Governance for global health that will allow the achievement of these goals</t>
  </si>
  <si>
    <t>Graphene-enabled on-chip supercontinuum light sources</t>
  </si>
  <si>
    <t>Facilitating Research Co-operation between Europe and New Zealand</t>
  </si>
  <si>
    <t>International Conference on Research Infrastructures</t>
  </si>
  <si>
    <t>International Digital Health Collaboration for Preventive, Integrated, Independent and Inclusive Living</t>
  </si>
  <si>
    <t>ERA-NET: Sustained collaboration of national and regional programmes in cancer research</t>
  </si>
  <si>
    <t>Control of the Ebola Oubreak by both innovative Ultrasensitive Detection of EBOV and therapy</t>
  </si>
  <si>
    <t>EU-Pacific Partnerships for ICT RDI</t>
  </si>
  <si>
    <t>Noise Abatement FMS with Tactile Interface</t>
  </si>
  <si>
    <t>ERA-NET rare disease research implementing IRDiRC objectives</t>
  </si>
  <si>
    <t>Coordination Action for implementation and alignment activities of the Joint Programming Initiative (JPI) 'More Years – Better Lives – the Challenges and Opportunities of Demographic Change'</t>
  </si>
  <si>
    <t>The second coordination and support action for the JPI Healthy Diet for a Healthy Life</t>
  </si>
  <si>
    <t>Assessing aViation emission Impact on local Air quality at airports: TOwards Regulation</t>
  </si>
  <si>
    <t>Causes and MEchanisms foR non-atopic Asthma in children</t>
  </si>
  <si>
    <t>Understanding asthma phenotypes: going beyond the atopic/non-atopic paradigm</t>
  </si>
  <si>
    <t>ERA-NET to support the Joint Programming in Neurodegenerative Diseases strategic plan (JPND)</t>
  </si>
  <si>
    <t>ERA-Net Cofund in Personalised Medicine</t>
  </si>
  <si>
    <t>Nanoextraction, separation and detection of micropollutants in one single and simple step</t>
  </si>
  <si>
    <t>An Etymological Dictionary of the Japonic Languages</t>
  </si>
  <si>
    <t>Arctic and North Atlantic Security and Emergency  Preparedness Network</t>
  </si>
  <si>
    <t>JPIAMR- ANTIMICROBIAL TRANSMISSION INTERVENTIONS</t>
  </si>
  <si>
    <t>ERA-NET ON NANOMEDICINE</t>
  </si>
  <si>
    <t>Immature mating as a novel tactic of an invasive widow spider</t>
  </si>
  <si>
    <t>Tracking 3-D meltwater production and runoff from glacial bare-ice surfaces</t>
  </si>
  <si>
    <t>ANXIETY IN INTERNATIONAL POLITICS: MEDIATING EFFECTS OF NORMS</t>
  </si>
  <si>
    <t>West Antarctic Margin Signatures of Ice Sheet Evolution</t>
  </si>
  <si>
    <t>SAfeguarding Biodiversity and Ecosystem seRvices by integrating CULTURAL values in freshwater management: learning from Māori</t>
  </si>
  <si>
    <t>Biomedicine international training research programme for excellent clinician-scientists</t>
  </si>
  <si>
    <t>Transitivity in Courtroom Language: A Unified Solution</t>
  </si>
  <si>
    <t>Map value transformations in a global interconnection. How sensory experiences and cultural interpretations shape concepts of “ethical diamond” and “mining work ethic”.</t>
  </si>
  <si>
    <t>Sonic inquiry in urban research: advancing policy analysis and design through sound planning tools</t>
  </si>
  <si>
    <t>Enigmatic fish ears: solving a sensory biology riddle with bioengineering and Artificial Intelligence</t>
  </si>
  <si>
    <t>SMART POwder and Products</t>
  </si>
  <si>
    <t>'Mad for Him'. Women, Religion and Mental Illness in the Late Middle Ages and in the Early Modern Age</t>
  </si>
  <si>
    <t>The Urban Question of the Environment</t>
  </si>
  <si>
    <t>European industrial doctorate for advanced, lightweight and silent, multifunctional composite structures</t>
  </si>
  <si>
    <t>SUBduction Initiation at Magma-poor rifted margins: an Atlantic Perspective</t>
  </si>
  <si>
    <t>Reassessing Leibniz's conception of number and the infinite</t>
  </si>
  <si>
    <t>In Defence of Experimental Medicine: Emotional Appeals and Medical Didacticism in Germany, Britain and North America, 1870-1914</t>
  </si>
  <si>
    <t>Sexual and Gender Non-Normativity in Opera after the Second World War</t>
  </si>
  <si>
    <t>QUAntum Black hOle DYnamics and Phenomenology</t>
  </si>
  <si>
    <t>Galaxy Sizes as Tracers of Dark Matter</t>
  </si>
  <si>
    <t>'Sharing without Solidarity: Politics, Heritage and Pilgrimage in a Divided European Society'</t>
  </si>
  <si>
    <t>Quantum Light Spectroscopy of Polariton Lasers</t>
  </si>
  <si>
    <t>AGeing effects on human aORta: from shApe to flowS</t>
  </si>
  <si>
    <t>Liquid-Assisted Grinding - from Fundaments to Applications</t>
  </si>
  <si>
    <t>Prosocial Motivation and creativity in work, career, society: Researching the role of prosocial &amp; autonomous motivation for creatively resilient and innovative behavior in different work contexts</t>
  </si>
  <si>
    <t>Cultural exchanges, network and community in early humanist Europe. The case of Aeneas Silvius Piccolomini</t>
  </si>
  <si>
    <t>MOdel Validation and Evaluation procedures of integrated planning support systems for Nature-Based Solutions</t>
  </si>
  <si>
    <t>Quantum Materials Probed with Attosecond Optoelectronics</t>
  </si>
  <si>
    <t>Impact of Timanian faults on Arctic Tectonics</t>
  </si>
  <si>
    <t>Silicon for Direct Detection of Dark Matter in DarkSide</t>
  </si>
  <si>
    <t>The impact of multiple global change drivers on soil biodiversity</t>
  </si>
  <si>
    <t>Analysis and prediction of submarine dune dynamics</t>
  </si>
  <si>
    <t>Inventing GPS: Technology and International Security in the Cold War and Beyond</t>
  </si>
  <si>
    <t>Intercultural Theatre And Cultural Appropriation</t>
  </si>
  <si>
    <t>Inclusive DIALOGUES towards an operational concept of energy citizenship to support the Energy Union</t>
  </si>
  <si>
    <t>FAMILY MATTERS: POST-NATAL SOCIALITY AND THE OUTCOMES OF MATERNAL STRESS IN A SOCIAL LIZARD</t>
  </si>
  <si>
    <t>Prepared for Every Fortune: Cynicism as an Analytical and Normative Perspective in Democratic Theory</t>
  </si>
  <si>
    <t>Sexual and gender contestations in everyday spaces and the possibilities of moving beyond opposition</t>
  </si>
  <si>
    <t>InDeV: In-Depth understanding of accident causation for Vulnerable road users</t>
  </si>
  <si>
    <t>European Location As A Service Targeting International Commerce</t>
  </si>
  <si>
    <t>Training REsearch and Applications network to Support the Ultimate Real time high accuracy EGNSS solution</t>
  </si>
  <si>
    <t>EnTimeMent - ENtrainment and synchronization at multiple TIME scales in the MENTal foundations of expressive gesture</t>
  </si>
  <si>
    <t>Low-Cost Metasurface Leaky-Wave Antenna for Mobile Satellite Communications</t>
  </si>
  <si>
    <t>Dialogues on ICT to Support COoperation Ventures and Europe-North AmeRica (Canada and USA) sYnergies</t>
  </si>
  <si>
    <t>Smart thermal management of high-power microprocessors using phase-change</t>
  </si>
  <si>
    <t>Multiple ASpects TrajEctoRy management and analysis</t>
  </si>
  <si>
    <t>FUNctional GLASS</t>
  </si>
  <si>
    <t>Overcoming Inequalities in Schools and Learning Communities: Innovative Education for a New Century</t>
  </si>
  <si>
    <t>Emerging population issues in sub-Saharan Africa: Cross-checking and promoting demographic data for better action</t>
  </si>
  <si>
    <t>The INTERnAtional network on Crisis Translation</t>
  </si>
  <si>
    <t>WORKFORCE EUROPE - TRANSFORMATION AGENDA FOR TRANSPORT AUTOMATION</t>
  </si>
  <si>
    <t>Aircraft 3rd Generation MDO for Innovative Collaboration of Heterogeneous Teams of Experts</t>
  </si>
  <si>
    <t>AGILE 4.0: Towards cyber-physical collaborative aircraft development</t>
  </si>
  <si>
    <t>Optimization Driven Architectural Design of Structures</t>
  </si>
  <si>
    <t>Prebiotic Functional Enhancement of Rumen Microbiomes</t>
  </si>
  <si>
    <t>Utility and Usership in Virtual Museums of Contemporary Art</t>
  </si>
  <si>
    <t>International Study on Age-related disparity in Cancer patient survival</t>
  </si>
  <si>
    <t>Ultrafast Sepctroscopy of Quantum Structures</t>
  </si>
  <si>
    <t>Photoelectrochemical Solar Light Conversion into Fuels on Colloidal Quantum Dots Based Photoanodes</t>
  </si>
  <si>
    <t>Preferences for Intervention and Prevention among Ultra- Orthodox Jewish Women Effected by IPV: An In-Depth Examination</t>
  </si>
  <si>
    <t>SESAR2020 PJ07-W2 OAUO Optimised Airspace Users Operations</t>
  </si>
  <si>
    <t>ContaminatEd land Remediation through Energy crops for Soil improvement to liquid biofuel Strategies</t>
  </si>
  <si>
    <t>Local Government and the Changing Urban-Rural Interplay</t>
  </si>
  <si>
    <t>The effects of hypercholesterolemia on tendon health (Tendon Health and CHolesterol)</t>
  </si>
  <si>
    <t>Enhanced Physical Internet-Compatible Earth-frieNdly freight Transportation answER</t>
  </si>
  <si>
    <t>Sustainable network for Independent Technical EXpertise of radioactive waste disposal - Interactions and Implementation</t>
  </si>
  <si>
    <t>Advanced Carbon Capture for steel industries integrated in CCUS Clusters</t>
  </si>
  <si>
    <t>Innovative tools for rational control of the most difficult-to-manage pests (super pests) and the diseases they transmit</t>
  </si>
  <si>
    <t>INnovative Life sCIence Phd Programme in South ITaly</t>
  </si>
  <si>
    <t>Development of new chemical tools to combat ALS</t>
  </si>
  <si>
    <t>Temperature, Pathogens and Chemicals: Stressors in a Changing World</t>
  </si>
  <si>
    <t>SUSTAINABLE WOOD VALUE CHAINS FOR CONSTRUCTION OF LOW-CARBON MULTI-STOREY BUILDINGS FROM RENEWABLE RESOURCES</t>
  </si>
  <si>
    <t>Quantification of the participation of soils in the microplastic pollution cycle and evidence based model analysis of atmosphere to ocean soil microplastic interaction</t>
  </si>
  <si>
    <t>Finding optimal size and location for wetland restoration sites for best nutrient removal performance using spatial analysis and modelling</t>
  </si>
  <si>
    <t>Development of Relevant Approaches to Mathematically Model Increasingly Complex Microbially-driven Processes</t>
  </si>
  <si>
    <t>Calibrating and Improving Mechanistic models of Biodiversity</t>
  </si>
  <si>
    <t>Fostering Innovation Networks in a Digital Era</t>
  </si>
  <si>
    <t>Control of turbulent friction force</t>
  </si>
  <si>
    <t>The Algal Microbiome: Friends and Foes</t>
  </si>
  <si>
    <t>Colloidal particles in elasto-capillary fields</t>
  </si>
  <si>
    <t>Family farming, lifestyle and health in the Pacific</t>
  </si>
  <si>
    <t>Conditions and duration of High tempeRature metamOrphism in large hot orogeNs assessed through petrochronolOgy : insights from Grenville TECtonics</t>
  </si>
  <si>
    <t>Ecocentric management for sustainable fisheries and healthy marine ecosystems</t>
  </si>
  <si>
    <t>Advanced VR, iMmersive serious games and Augmented REality as tools to raise awareness and access to European underwater CULTURal heritagE.</t>
  </si>
  <si>
    <t>Joint European Canadian Chinese development of Small Modular Reactor Technology</t>
  </si>
  <si>
    <t>Recovering carbon from contaminated matrices by exploiting the nitrogen and sulphur cycles</t>
  </si>
  <si>
    <t>ERA-NET Cofund Promoting Gender Equality in H2020 and the ERA</t>
  </si>
  <si>
    <t>Arctic Research Icebreaker Consortium: A strategy for meeting the needs for marine-based research in the Arctic</t>
  </si>
  <si>
    <t>VPH-Cardiovascular Simulation and Experimentation for Personalised Medical Devices</t>
  </si>
  <si>
    <t>Reconstructing habitat type and mobility patterns of Rangifer tarandus during the Late Pleistocene in Southwestern France: an ecomorphological study.</t>
  </si>
  <si>
    <t>From Super-Kamiokande to Hyper-Kamiokande</t>
  </si>
  <si>
    <t>TOWARDS AN ENHANCED ACCIDENT MANAGEMENT OF THE HYDROGEN/CO COMBUSTION RISK</t>
  </si>
  <si>
    <t>Enhancing Motion Interaction through Music Performance</t>
  </si>
  <si>
    <t>Ion-Molecule Processes for Analytical Chemical Technologies</t>
  </si>
  <si>
    <t>Gender Equality in Science, Technology and Innovation Bilateral and Multilateral Dialogues</t>
  </si>
  <si>
    <t>Catholic Performance Culture in Early Modern England</t>
  </si>
  <si>
    <t>Revolutionising optical fibre transmission and networking using the Orbital Angular Momentum of light</t>
  </si>
  <si>
    <t>Development and Control of Flexible Mode-locked Integrated Laser</t>
  </si>
  <si>
    <t>Political Ontologies of Music: Rethinking the Relationship between Music and Politics in the Twenty-first Century</t>
  </si>
  <si>
    <t>Global drivers, local consequences: Tools for global change adaptation and sustainable development of industrial and cultural Arctic “hubs”</t>
  </si>
  <si>
    <t>Living well, dying well. A research programme to support living until the end</t>
  </si>
  <si>
    <t>Ground Demonstration of Plant Cultivation Technologies and Operation in Space for Safe Food Production on-board ISS and Future Human Space Exploration Vehicles and Planetary Outposts</t>
  </si>
  <si>
    <t>MANAGEMENT AND UNCERTAINTIES OF SEVERE ACCIDENTS</t>
  </si>
  <si>
    <t>FAST Nuclear Emergency Tools (FASTNET)</t>
  </si>
  <si>
    <t>IMage BAsed Landing Solutions</t>
  </si>
  <si>
    <t>Raw Materials for the Sustainable Development and the Circular Economy</t>
  </si>
  <si>
    <t>Galileo Improved Services for Cadastral Augmentation Development On-field Validation</t>
  </si>
  <si>
    <t>Stimulate ScaleUps  to develop novel and challenging TEchnology and systems applicable to new Markets for ROBOtic soLUTIONs</t>
  </si>
  <si>
    <t>ENERGY HARVESTING IN CITIES WITH TRANSPARENT AND HIGHLY EFFICIENT WINDOW-INTEGRATED MULTI-JUNCTION SOLAR CELLS</t>
  </si>
  <si>
    <t>Geomaterials: from Waste to Resource</t>
  </si>
  <si>
    <t>Piloting Multi MW Ammonia Ship Fuel Cells</t>
  </si>
  <si>
    <t>Research, Demonstration, and Commercialisation of DC Microgrid Technologies</t>
  </si>
  <si>
    <t>New Geometry of Quantum Dynamics</t>
  </si>
  <si>
    <t>Digital Scores – investigating the technological transformation of the music score</t>
  </si>
  <si>
    <t>Combinatorial Structures and Processes</t>
  </si>
  <si>
    <t>Innovative technology for  the detection of enzyme activity in milk</t>
  </si>
  <si>
    <t>Tracking and decoding individual memories across the brain from creation to long-term storing</t>
  </si>
  <si>
    <t>Expecting Ourselves: Embodied Prediction and the Construction of Conscious Experience</t>
  </si>
  <si>
    <t>Trafficking transformations: objects as agents in transnational criminal networks</t>
  </si>
  <si>
    <t>Sustainable PRactices of INteGration</t>
  </si>
  <si>
    <t>Evolutionary diversification across scales</t>
  </si>
  <si>
    <t>Organic Charge Transfer Applications</t>
  </si>
  <si>
    <t>PLAsticiTY of Perceptual space Under Sensorimotor interactions</t>
  </si>
  <si>
    <t>Transitions in Rheology and Volatile Dynamics of Magmas: Mapping the Window to Explosive Volcanism</t>
  </si>
  <si>
    <t>Clean Energy from Hydrogen-Metal Systems</t>
  </si>
  <si>
    <t>Adaptation of human brown adipose tissue to overnutrition</t>
  </si>
  <si>
    <t>ERA-NET Biomarkers for Nutrition and Health implementing the JPI HDHL objectives</t>
  </si>
  <si>
    <t>Healthcare Performance Intelligence Professionals</t>
  </si>
  <si>
    <t>Integrated Qubits Towards Future High-Temperature Silicon Quantum Computing Hardware Technologies</t>
  </si>
  <si>
    <t>Evaluating a Combination of Immune-based Therapies to Achieve a Functional Cure of HIV Infection</t>
  </si>
  <si>
    <t>Aircraft advanced rear end and empennage optimisation enhanced by anti-ice coatings and devices</t>
  </si>
  <si>
    <t>ERA-NET for research and innovation on materials and battery technologies, supporting the European Green Deal.</t>
  </si>
  <si>
    <t>Cost effective FCL using advanced superconducting tapes for future HVDC grids</t>
  </si>
  <si>
    <t>An Innovative and Energy-Efficient Radio Frequency Pretreatment on Emerging Micropollutants and Transformation Products in Anaerobic Sludge Digestion for Waste Reuse</t>
  </si>
  <si>
    <t>SENSors and Intelligence in BuLt Environment</t>
  </si>
  <si>
    <t>Collaborative development of renewable/thermally driven and storage-integrated cooling technologies</t>
  </si>
  <si>
    <t>Knowledge Exchange for Efficient Passage of Fishes in the Southern Hemisphere</t>
  </si>
  <si>
    <t>Sea ice microalgae DNA fingerprints as proxies in past climate studies</t>
  </si>
  <si>
    <t>Projecting global biodiversity responses from first biological principles</t>
  </si>
  <si>
    <t>Global Excellence in Modelling of Climate and Energy</t>
  </si>
  <si>
    <t>European – Canadian partnership for climate-positive heat and power generation through improved biomass feedstock supply and innovative conversion technologies</t>
  </si>
  <si>
    <t>Co-production of seasonal representations for adaptive institutions</t>
  </si>
  <si>
    <t>HOlistic Management of Emerging forest pests and Diseases</t>
  </si>
  <si>
    <t>Impact of invasive alien true bug species in native tropich webs</t>
  </si>
  <si>
    <t>The European Agroecology Living Lab and Research Infrastructure Network: Preparation phase</t>
  </si>
  <si>
    <t>Ecstatic Utopias: Reorienting audiovisual Evocations of Place Towards A Relational Queer future</t>
  </si>
  <si>
    <t>Severe Accident Modeling and Safety Assessment for Fluid-fuel Energy Reactors</t>
  </si>
  <si>
    <t>Rapid evolution and geographic ranges: predicting marine species persistence and distribution in a changing ocean</t>
  </si>
  <si>
    <t>Coastal ecosystem carbon balance in times of rapid glacier melt</t>
  </si>
  <si>
    <t>Educating for Equitable Health Outcomes- the Promise of School Health and Physical Education</t>
  </si>
  <si>
    <t>Cloning and functional characterization of a complex resistance locus from ‘Geneva’ to breed apple cultivars with durable scab resistance</t>
  </si>
  <si>
    <t>SMAll RuminanTs breeding for Efficiency and Resilience</t>
  </si>
  <si>
    <t>Industrial Applications of Marine Enzymes: Innovative screening and expression platforms to discover and use the functional protein diversity from the sea</t>
  </si>
  <si>
    <t>Bridging MICroevolution and MACroevolution in sticklebacks</t>
  </si>
  <si>
    <t>A systematic characterization of human regulatory architectures and their determinants of regulatory activity</t>
  </si>
  <si>
    <t>Common Infrastructure for National Cohorts in Europe, Canada, and Africa</t>
  </si>
  <si>
    <t>Deep-sea Sponge Grounds Ecosystems of the North Atlantic: an integrated approach towards their preservation and sustainable exploitation</t>
  </si>
  <si>
    <t>European network staff eXchange for integrAting precision health in the health Care sysTems</t>
  </si>
  <si>
    <t>Smart high-frequency environmental sensor networks for quantifying nonlinear hydrological process dynamics across spatial scales</t>
  </si>
  <si>
    <t>Contributions to codimension k bifurcations in dynamical systems theory</t>
  </si>
  <si>
    <t>Transfer of Organisational innovations for Resilient, Effective, equitable, Accessible, sustainable and Comprehnsive Health Services and Systems.</t>
  </si>
  <si>
    <t>Exchanges for SPEech ReseArch aNd TechnOlogies</t>
  </si>
  <si>
    <t>Addressing inequality, enhancing diversity and facilitating greater dialogue in the hosting of sporting mega events.</t>
  </si>
  <si>
    <t>Information Theory beyond Communications: Distributed Representations and Deep Learning</t>
  </si>
  <si>
    <t>Airport airside and runway throughput</t>
  </si>
  <si>
    <t>Integrated Surface Management</t>
  </si>
  <si>
    <t>Remote Tower for Multiple Airports</t>
  </si>
  <si>
    <t>Providing digitalised prevention and prediction support for ageing people in smart living environments</t>
  </si>
  <si>
    <t>Increased Runway and Airport Throughput</t>
  </si>
  <si>
    <t>An alliance of European marine research infrastructure to meet the evolving needs of the research and industrial communities.</t>
  </si>
  <si>
    <t>Microbiome Applications for Sustainable food systems through Technologies and EnteRprise</t>
  </si>
  <si>
    <t>Late Antiquity After Antiquity: The Last of the Ancient Platonists in the Early Modern Period</t>
  </si>
  <si>
    <t>Advanced European Network of E-infrastructures for Astronomy with the SKA</t>
  </si>
  <si>
    <t>CHallenges in Preservation of Structure</t>
  </si>
  <si>
    <t>Gut OncoMicrobiome Signatures (GOMS) associated with cancer incidence, prognosis and prediction of treatment response.</t>
  </si>
  <si>
    <t>Strong Gravity and High-Energy Physics</t>
  </si>
  <si>
    <t>Hyperrealistic Imaging Experience</t>
  </si>
  <si>
    <t>European Regulatory Science on Tobacco:Policy implementation to reduce lung diseases</t>
  </si>
  <si>
    <t>Alliance for Family Integrated Care (FICare) Implementation in Neonatal Intensive Care Units</t>
  </si>
  <si>
    <t>Breast CAncer STratification: understanding the determinants of risk and prognosis of molecular subtypes</t>
  </si>
  <si>
    <t>Addressing the dual emerging threats of African Swine Fever and Lumpy Skin Disease in Europe (DEFEND)</t>
  </si>
  <si>
    <t>Women’s Plague Writing in Early Modern England</t>
  </si>
  <si>
    <t>VIGO – Exploring the Role of Visuality in Governance</t>
  </si>
  <si>
    <t>Application of combined gene and cell therapy within an implantable therapeutic device for the treatment of severe hemophilia A</t>
  </si>
  <si>
    <t>Transforming Unsustainable management of soils in key agricultural systems in EU and China. Developing an integrated platform of alternatives to reverse soil degradation.</t>
  </si>
  <si>
    <t>SupramolecularlY eNgineered arCHitectures for optoelectRonics and photONICS: a multi-site initial training action</t>
  </si>
  <si>
    <t>Molecule design for next generation solar cells using machine learning approaches trained on large scale screening databases</t>
  </si>
  <si>
    <t>MICroACTuators</t>
  </si>
  <si>
    <t>Scale-up of low-carbon footprint material recovery techniques in existing wastewater treatment plants</t>
  </si>
  <si>
    <t>Green Aquaculture Intensification in Europe</t>
  </si>
  <si>
    <t>Array of Cryogenic Calorimeters to Evaluate Spectral Shapes</t>
  </si>
  <si>
    <t>Directional Composites through Manufacturing Innovation</t>
  </si>
  <si>
    <t>Passive seismic techniques for environmentally friendly and cost efficient mineral exploration</t>
  </si>
  <si>
    <t>GaN in One Module Integrated Converter for EP systems</t>
  </si>
  <si>
    <t>Smart mitigation of flow-induced acoustic radiation and transmission for reduced aircraft, surface transport, workplaces and wind energy noise</t>
  </si>
  <si>
    <t>MAKERSPACES IN THE EARLY YEARS: ENHANCING DIGITAL LITERACY AND CREATIVITY  (MakEY)</t>
  </si>
  <si>
    <t>Hydrodynamical approach to light turbulence</t>
  </si>
  <si>
    <t>Pan-genome Graph Algorithms and Data Integration</t>
  </si>
  <si>
    <t>Extending the Molecular Electron Density Theory</t>
  </si>
  <si>
    <t>Non Minimal Higgs</t>
  </si>
  <si>
    <t>European Joint Programme on Rare Diseases</t>
  </si>
  <si>
    <t>Biomass gasification with negative carbon emission through innovative CO2 capture and utilisation and integration with energy storage</t>
  </si>
  <si>
    <t>Integrated oil spill response actions and environmental effects</t>
  </si>
  <si>
    <t>PORTable Innovation Open Network for Efficiency and Emissions Reduction Solutions</t>
  </si>
  <si>
    <t>Revisioning the ‘Fiscal EU’: Fair, Sustainable, and Coordinated Tax and Social Policies</t>
  </si>
  <si>
    <t>The future of Arctic coastal ecosystems - Identifying transitions in fjord systems and adjacent coastal areas</t>
  </si>
  <si>
    <t>DIGITal ENcyclopedia of European Sociability</t>
  </si>
  <si>
    <t>Conservative iron chelation as a disease-modifying strategy in Parkinson’s disease: a multicentric, parallel-group, placebo-controlled, randomized clinical trial of deferiprone</t>
  </si>
  <si>
    <t>Integrated access to balloon-borne platforms for innovative research and technology</t>
  </si>
  <si>
    <t>“Interdisciplinary NAnoscience School: from phenoMEnology to applicationS”</t>
  </si>
  <si>
    <t>Integrated Assessment of Atlantic Marine Ecosystems in Space and Time</t>
  </si>
  <si>
    <t>a.r.t.e.s. EUmanities - European Graduate School for the Humanities Cologne</t>
  </si>
  <si>
    <t>Combinatorics of Networks and Computation</t>
  </si>
  <si>
    <t>European Joint Programme on Radioactive Waste Management</t>
  </si>
  <si>
    <t>RADiation facility Network for the EXploration of effects for indusTry and research</t>
  </si>
  <si>
    <t>Entropy in engineered quantum systems - Mesoscopic thermodynamics of correlated quantum states</t>
  </si>
  <si>
    <t>Arctic Impact on Weather and Climate</t>
  </si>
  <si>
    <t>LAND-use based MitigAtion for Resilient Climate pathways</t>
  </si>
  <si>
    <t>Towards the elimination of iodine deficiency and preventable thyroid-related diseases in Europe</t>
  </si>
  <si>
    <t>Energy Citizens for Inclusive Decarbonization</t>
  </si>
  <si>
    <t>Global Excellence in Modeling Climate and Energy Policies</t>
  </si>
  <si>
    <t>BovReg - Identification of functionally active genomic features relevant to phenotypic diversity and plasticity in cattle</t>
  </si>
  <si>
    <t>Innovative tools and solutions for governing the water-energy-food-ecosystems NEXUS under global change</t>
  </si>
  <si>
    <t>The Canadian model of the public-private sponsorship for the integration of refugees: the case of Syrians and possible application in EU countries</t>
  </si>
  <si>
    <t>Governing irregular immigration through detention: discourses and practices from an interdisciplinary approach</t>
  </si>
  <si>
    <t>Mapping Immigrant Imaginations: Comparing North Africans in Montréal and Marseille</t>
  </si>
  <si>
    <t>Exploring the Integration of Post-2014 Migrants in Small and Medium-sized Towns and Rural Areas from a Whole of Community Perspective</t>
  </si>
  <si>
    <t>THE RIGHT TO INTERNATIONAL PROTECTION: A PENDULUM BETWEEN GLOBALIZATION AND NATIVIZATION?</t>
  </si>
  <si>
    <t>Quantifying Migration Scenarios for Better Policy</t>
  </si>
  <si>
    <t>CarbOn Neutral cluSters through Electricity-based iNnovations in Capture, Utilisation and Storage</t>
  </si>
  <si>
    <t>Synthesis and photopolymerisation of new fluorinated macromonomers for the obtaining of high performance fluoropolymers</t>
  </si>
  <si>
    <t>Design and manufacture of sustainable materials for additive manufacturing technologies</t>
  </si>
  <si>
    <t>Mid-InfraRed Streak Camera</t>
  </si>
  <si>
    <t>Engineering in vitro microenvironments for translation of cell-based therapies for tendon repair</t>
  </si>
  <si>
    <t>Enhancing water quality by developing novel materials for organic pollutant removal in tertiary water treatments</t>
  </si>
  <si>
    <t>Models and Methods for an active ageing workforce: an international academy</t>
  </si>
  <si>
    <t>Investigation and Maturation of Technologies for Hybrid Electric Propulsion</t>
  </si>
  <si>
    <t>Our common future ocean in the Earth system – quantifying coupled cycles of carbon, oxygen, and nutrients for determining and achieving safe operating spaces with respect to tipping points</t>
  </si>
  <si>
    <t>Towards effective radiation protection based on improved scientific evidence and social considerations  - focus on radon and NORM</t>
  </si>
  <si>
    <t>Social innovation and urban revitalization in hyperdiverse local societies</t>
  </si>
  <si>
    <t>Social Sustainability and Urban Regeneration Governance: An International Perspective</t>
  </si>
  <si>
    <t>Knowledge Transfer in Global Gender Programmes: The Case of Female Genital Mutilation/Cutting and Gender-Biased Sex Selection</t>
  </si>
  <si>
    <t>International cooperation on Raw materials</t>
  </si>
  <si>
    <t>Effects of Structural Change on Income Inequality</t>
  </si>
  <si>
    <t>SoCial Finance for SOcial EnterPrisEs: TheoRy aNd PractICe to bUild a more incluSive society</t>
  </si>
  <si>
    <t>Creating the next generation of 3D simulation means for icing</t>
  </si>
  <si>
    <t>SENSors and certifiable hybrid architectures FOR safer aviation in ICing Environment</t>
  </si>
  <si>
    <t>NEw WindowS on the universe and technological advancements from trilateral EU-US-Japan collaboration</t>
  </si>
  <si>
    <t>Climate relevant interactions and feedbacks: the key role of sea ice and snow in the polar and global climate system</t>
  </si>
  <si>
    <t>Computing with Infinite Data</t>
  </si>
  <si>
    <t>Interdisciplinary Synthesis of Tools for understanding Land Governance</t>
  </si>
  <si>
    <t>Real-time Earthquake Risk Reduction for a Resilient Europe</t>
  </si>
  <si>
    <t>Ecosystem Approach to making Space for Aquaculture</t>
  </si>
  <si>
    <t>Water Works 2016-2020 in Support of the Water JPI (WaterWorks2015) - Sustainable water use in agriculture, to increase water use efficiency and reduce soil and water pollution</t>
  </si>
  <si>
    <t>Intelligent Collections of Food Legumes Genetic Resources for European Agrofood Systems</t>
  </si>
  <si>
    <t>Sustainable managment of agriculture sources for development of climate-smart agricultural practices</t>
  </si>
  <si>
    <t>Individual Specialisation in Established Biological Invasions: importance and Ecological Impact</t>
  </si>
  <si>
    <t>Visualizing Death Inducing Protein Complexes</t>
  </si>
  <si>
    <t>Smart Protein for a Changing World. Future-proof alternative terrestrial protein sources for human nutrition encouraging environment regeneration, processing feasibility and consumer trust and accepta</t>
  </si>
  <si>
    <t>Innovative Manufacturing Routes for Next Generation Batteries in Europe</t>
  </si>
  <si>
    <t>Boosting plant-Endophyte STability, compatibility and Performance Across ScaleS</t>
  </si>
  <si>
    <t>Innovative technology for milk safety</t>
  </si>
  <si>
    <t>DynaTweezers: Elucidating the Molecular Mechanisms of Bacterial Gene Silencing using  Tethered Particles and Optical Tweezing</t>
  </si>
  <si>
    <t>Advancing a GMMA-based vaccine against invasive non-typhoidal salmonellosis through Phase 1 trial in Europe and sub-Saharan Africa</t>
  </si>
  <si>
    <t>Understanding microbiomes of the ruminant holobiont</t>
  </si>
  <si>
    <t>Rol of obligate bacterial symbiosis in the diversification of a globally distributed aphid genus</t>
  </si>
  <si>
    <t>Earth’s first biological bloom: An integrated field, geochemical, and geobiological examination of the origins of photosynthesis and carbonate production 3 billion years ago</t>
  </si>
  <si>
    <t>The hormone ghrelin: Is it a key player in regulating performance, fuel metabolism and decision-making in migratory birds?</t>
  </si>
  <si>
    <t>The Genus Haslea, New marine resources for blue biotechnology and Aquaculture</t>
  </si>
  <si>
    <t>Optimising the management and sustainable use of forest genetic resources in Europe</t>
  </si>
  <si>
    <t>Decision Support for the Supply of Ecosystem Services under Global Change</t>
  </si>
  <si>
    <t>Crib with ARtificial InteLLigence fOr ASD diagnosis in Neonatal intensive care units</t>
  </si>
  <si>
    <t>Decoding the organization and regeneration of locomotor neuronal networks in tetrapods by integrating genomics, systems neuroscience, numerical modeling, and biorobotics</t>
  </si>
  <si>
    <t>ERA NET NEURON in the area of brain-related diseases and disorders of the nervous system</t>
  </si>
  <si>
    <t>ERA-NET for establishing synergies between the Joint Programming on Neurodegenerative Diseases Research and Horizon 2020</t>
  </si>
  <si>
    <t>Global dynamics of hydro-sociality in river heritage landscapes of the Qinghai Tibetan Plateau.</t>
  </si>
  <si>
    <t>Atmospheric content of the most abundant of 12CH4 isotopologues from ground-based and satellite infrared solar observations and development of a methane isotopic GEOS-Chem module.</t>
  </si>
  <si>
    <t>The effect of future global climate and land-use change on greenhouse gas fluxes and microbial processes in salt marshes</t>
  </si>
  <si>
    <t>Finding unknown  endocrine disrupting compounds through target pull-down assay filtration, effect direct analysis and ultra-high resolution mass spectrometry for a comprehensive efficient workflow.</t>
  </si>
  <si>
    <t>Attosecond imaging and control of chemical dynamics</t>
  </si>
  <si>
    <t>Molecular dIffusion of organiCs in secondaRy Organic aeroSols and impaCts On Particle chEmistry</t>
  </si>
  <si>
    <t>Improved decision-making in contaminated land site investigation and risk assessment</t>
  </si>
  <si>
    <t>Autonomous Soft Robots Without Electronics</t>
  </si>
  <si>
    <t>Advanced Methodologies for Next Generation Large Scale CMB Polarization Analysis</t>
  </si>
  <si>
    <t>From Timbre Perception to the Creative Exploration of Musical Instrument Sound Morphing</t>
  </si>
  <si>
    <t>advanced all Solid stAte saFE LIthium Metal technology tOwards Vehicle Electrification</t>
  </si>
  <si>
    <t>Enabling Positive Tipping Points towards clean-energy transitions in Coal and Carbon Intensive Regions</t>
  </si>
  <si>
    <t>Mechanistic studies of long chain omega-3 fatty acid supplementation and inflammation  in metabolic syndrome.</t>
  </si>
  <si>
    <t>Pathways Regulating Intramyocellular Insulin Sensitivity and Metabolism in Health and Disease</t>
  </si>
  <si>
    <t>Accelerating HIV Cure in Europe</t>
  </si>
  <si>
    <t>Development of Impentri, an intravenous imatinib formulation for Covid-19 acute respiratory distress syndrome (ARDS).</t>
  </si>
  <si>
    <t>Realistic and Informative Simulations with machine learnING</t>
  </si>
  <si>
    <t>towards geoHazards rEsilient infRastruCtUre under changing cLimatES</t>
  </si>
  <si>
    <t>Integrated Arctic observation system</t>
  </si>
  <si>
    <t>Towards the Sustainable Development of the Atlantic Ocean: Mapping and Assessing the present and future status of Atlantic marine ecosystems under the influence of climate change and exploitation</t>
  </si>
  <si>
    <t>Flexible Production of Synthetic Natural Gas and Biochar via Gasification of Biomass and Waste Feedstocks</t>
  </si>
  <si>
    <t>EXperimental  Computational Hybrid Assessment of Natural Gas pipelines Exposed to Seismic Risk</t>
  </si>
  <si>
    <t>Geometric and Harmonic Analysis with Interdisciplinary Applications</t>
  </si>
  <si>
    <t>Developing methods to model local area temporal domestic electricity demand</t>
  </si>
  <si>
    <t>Gravitational Universe: Challenges and Opportunities</t>
  </si>
  <si>
    <t>Archiving post-1960s experimental music: Exploring the ontology of music beyond the score-performance dichotomy</t>
  </si>
  <si>
    <t>Randomness and learning in networks</t>
  </si>
  <si>
    <t>VIrtual healTh And weLlbeing Living Lab InftraStructurE</t>
  </si>
  <si>
    <t>A federated FAIR platform enabling large-scale analysis of high-value cohort data connecting Europe and Canada in personalized health</t>
  </si>
  <si>
    <t>VIsual representations of VIew Relations to support effective data analysis on large and high-resolution displays</t>
  </si>
  <si>
    <t>Establishing the molecular fundamentals of arthritic diseases – a step forward to Heal Arthritis</t>
  </si>
  <si>
    <t>QUantitative paleoEnvironments from SpeleoThems</t>
  </si>
  <si>
    <t>Using the halo model to maximise the information gain from forthcoming weak-lensing surveys.</t>
  </si>
  <si>
    <t>Cultural Loss Under Emulated Shocks – Demographic Environmental Climatic Empirical Bottlenecks</t>
  </si>
  <si>
    <t>PROviding new insighT into INteractions between soil fUnctions and Structure</t>
  </si>
  <si>
    <t>Geochemical-physical coupled study of the modern Arctic Ocean: GEOTRACES-ARCTIC</t>
  </si>
  <si>
    <t>Chicory as a multipurpose crop for dietary fibre and medicinal terpenes</t>
  </si>
  <si>
    <t>Genome editing for spatiotemporal analysis of centriolar SATellite BIOgenesis and FUNction in cellular stress responses</t>
  </si>
  <si>
    <t>EXPOnential analysis emPOWERing innovation</t>
  </si>
  <si>
    <t>Integrable Partial Differential Equations: Geometry, Asymptotics, and Numerics.</t>
  </si>
  <si>
    <t>Quantitative analysis of the structural controls of faults on induced seismicity magnitude</t>
  </si>
  <si>
    <t>Conquering New Frontiers in Conceptual Density Functional Theory: Going Beyond the Single Slater Determinant.</t>
  </si>
  <si>
    <t>The evolutionary ecology of bacterial immune mechanisms</t>
  </si>
  <si>
    <t>Ecological and evolutionary forces shaping microbial diversity in freshwater blooms</t>
  </si>
  <si>
    <t>BIG4 - Biosystematics, Informatics and Genetics of the big 4 insect groups: training tomorrow's researchers and entrepreneurs</t>
  </si>
  <si>
    <t>Migration timing genotype as a predictor of salmon vulnerability to environmental change</t>
  </si>
  <si>
    <t>Towards coordinated microbiome R&amp;I activities in the food system to support (EU and) international bioeconomy goals</t>
  </si>
  <si>
    <t>EXpansion of the European Joint Programming Initiative on Drug Resistance to Antimicrobials</t>
  </si>
  <si>
    <t>European AIDS Vaccine Initiative 2020</t>
  </si>
  <si>
    <t>Science and Technology in childhood Obesity Policy</t>
  </si>
  <si>
    <t>Further Understanding Related to Transport limitations at High current density towards future ElectRodes for Fuel Cells</t>
  </si>
  <si>
    <t>Boost Of Organic Solar Technology for European Radiance</t>
  </si>
  <si>
    <t>Effective Management of Pests and Harmful Alien Species - Integrated Solutions</t>
  </si>
  <si>
    <t>TACTILENet: Towards Agile, effiCient, auTonomous and  massIvely LargE Network of things</t>
  </si>
  <si>
    <t>Control of flexible structures and fluid-structure interactions</t>
  </si>
  <si>
    <t>Paris Agreement Overshooting – Reversibility, Climate Impacts and Adaptation Needs</t>
  </si>
  <si>
    <t>Development of Novel Statistical Tools for the Analysis of Astronomical Data</t>
  </si>
  <si>
    <t>Bridging the gap between phytoremediation solutions on growing energy crops on contaminated lands and clean biofuel production</t>
  </si>
  <si>
    <t>European Regulatory Science on Tobacco - Research and Innovation Staff Exchange</t>
  </si>
  <si>
    <t>Peroxisome Interactions and Communication</t>
  </si>
  <si>
    <t>Ocular Research By Integrated Training And Learning</t>
  </si>
  <si>
    <t>PRevention Of Malnutrition In Senior Subjects in the EU</t>
  </si>
  <si>
    <t>Beta-cell inflammation and dysfunction induced by bacterial translocation</t>
  </si>
  <si>
    <t>FIREURISK - DEVELOPING A HOLISTIC, RISK-WISE STRATEGY FOR EUROPEAN WILDFIRE MANAGEMENT</t>
  </si>
  <si>
    <t>Synergising International Research Studies into the Environmental Fate and Behaviour of Toxic Organic Chemicals in the Waste Stream</t>
  </si>
  <si>
    <t>Permafrost thaw and the changing arctic coast: science for socio-economic adaptation</t>
  </si>
  <si>
    <t>PROMOTING MENTAL WELLBEING IN THE AGEING URBAN POPULATION: DETERMINANTS, POLICIES AND INTERVENTIONS IN EUROPEAN CITIES</t>
  </si>
  <si>
    <t>Patients Active in Research and Dialogues for an Improved Generation of Medicines: Advancing meaningful patient engagement in the life cycle of medicines for better health outcomes.</t>
  </si>
  <si>
    <t>Individualized CARE for Older Persons with Complex Chronic Conditions at home and in nursing homes</t>
  </si>
  <si>
    <t>Fracture mechanics testing of irradiated RPV steels by means of sub-sized specimens (FRACTESUS)</t>
  </si>
  <si>
    <t>Brachiopods As SEnsitive tracers of gLobal marINe Environment: Insights from alkaline, alkaline Earth metal, and metalloid trace element ratios and isotope systems</t>
  </si>
  <si>
    <t>Predicting of Prokaryotic Defence Distributions</t>
  </si>
  <si>
    <t>Optimizing and Enhancing the Integrated Atlantic Ocean Observing System</t>
  </si>
  <si>
    <t>Improving and Integrating European Ocean Observing and Forecasting Systems for Sustainable use of the Oceans</t>
  </si>
  <si>
    <t>Open data: improving transparency, reproducibility and collaboration in science</t>
  </si>
  <si>
    <t>Well-being, Ecology, Gender, and cOmmunity</t>
  </si>
  <si>
    <t>Thresholds in human exploitation of marine vertebrates</t>
  </si>
  <si>
    <t>On the edge: The influence of multiple stressors on thermal tolerance in poleward edge populations in a climate change era</t>
  </si>
  <si>
    <t>Translational Traditions and Imaginaries: A Comparative History of Petrarch’s Canzoniere in French and English</t>
  </si>
  <si>
    <t>The international congresses and the transnational shaping of philosophy (1900-1948): Spaces – Struggles – Identity – Knowledge</t>
  </si>
  <si>
    <t>Standing at the Crossroads: Doubt in Early Modern Italy (1500-1560)</t>
  </si>
  <si>
    <t>Social evolution in Ceratina bees: a comparative approach</t>
  </si>
  <si>
    <t>Cuban-Irish Diasporas: Gender, Race and Ethnic Whitening Strategies</t>
  </si>
  <si>
    <t>OCeanic and South East Asian Navigators.</t>
  </si>
  <si>
    <t>Vernacular Textual Cultures in Dante’s Tuscany: Education and Literary Practices in Context (ca. 1250 - ca. 1321)</t>
  </si>
  <si>
    <t>Tracking past human impact on islands by improving palaeoecological reconstructions with PalEnDNA analysis</t>
  </si>
  <si>
    <t>Synthesis of systematic resources</t>
  </si>
  <si>
    <t>Globalisation, Europe and Multilateralism - Sophistication of the Transnational Order, Networks and European Strategies</t>
  </si>
  <si>
    <t>Not for sale! Explaining the Outcomes of Neighbourhood Mobilisations Against Displacement</t>
  </si>
  <si>
    <t>Pathways to humanity: Adaptive niche diversity at the origins of the human lineage</t>
  </si>
  <si>
    <t>Effects of climate change on adult body size: Towards an integrative approach to understand the underlying mechanisms, the consequences across the lifespan, and improve our predictive ability</t>
  </si>
  <si>
    <t>Historical Research and Data Processing on Ancient Vietnamese Inscriptions</t>
  </si>
  <si>
    <t>Atlas of Renaissance Antiquarianism</t>
  </si>
  <si>
    <t>Paleoenvironmental Assessment of climate and other STressors on long-term dynamics of waterbird populations.</t>
  </si>
  <si>
    <t>For a Better Tomorrow: Social Enterprises on the Move</t>
  </si>
  <si>
    <t>iDAPT: ice Dependent Adaptations for Plant Terrestrialization</t>
  </si>
  <si>
    <t>Medicine, Immortality, Moksha: Entangled Histories of Yoga, Ayurveda and Alchemy in South Asia</t>
  </si>
  <si>
    <t>Archaeology, Inequalities and DiEt (AIDE) : Archaeology assisted by stable isotopes</t>
  </si>
  <si>
    <t>Cultural HERItage and the planning of European LANDscapes</t>
  </si>
  <si>
    <t>THE POLYPLOIDY PARADIGM AND ITS ROLE IN PLANT BREEDING</t>
  </si>
  <si>
    <t>Imaginable Impossibilities and Thought Experiments. The Tradition of the Oxford Calculators and its Influence on Early-Modern Logic and Natural Philosophy</t>
  </si>
  <si>
    <t>Network of European funding for neuroscience research  - NEURON Cofund2</t>
  </si>
  <si>
    <t>Unconventional NMDAR signaling theory for Fragile X Syndrome</t>
  </si>
  <si>
    <t>Better Addiction Medicine Education for Doctors</t>
  </si>
  <si>
    <t>Early-life influences on suicidal ideation, suicide attempts and suicide mortality: a life-course perspective to inform prevention</t>
  </si>
  <si>
    <t>Digitalized Clone for Personalized Medicine</t>
  </si>
  <si>
    <t>An EU-Canada joint infrastructure for next-generation multi-Study Heart research</t>
  </si>
  <si>
    <t>Integrated human data repositories for infectious disease-related international cohorts to foster personalized medicine approaches to infectious disease research</t>
  </si>
  <si>
    <t>Breast Cancer Risk after Diagnostic Gene Sequencing (BRIDGES)</t>
  </si>
  <si>
    <t>Machine Learning Artificial Intelligence Early Detection Stroke Atrial Fibrillation</t>
  </si>
  <si>
    <t>Personalized PREvention of Chronic DIseases</t>
  </si>
  <si>
    <t>Research Infrastructures for Phenotyping, Archiving and Distribution of Mouse Disease Models - Promoting International Cooperation and User Engagement to Enhance Biomedical Innovation</t>
  </si>
  <si>
    <t>Multimodal imaging in parkinsonisms: from the molecular synaptic pruning to the whole-brain connectomics</t>
  </si>
  <si>
    <t>Climate Neutral Farms</t>
  </si>
  <si>
    <t>Why farm and field size matters: Exploring their role for food security and sustainable agriculture in South America</t>
  </si>
  <si>
    <t>Coordination of International Research Cooperation on soil CArbon Sequestration in Agriculture</t>
  </si>
  <si>
    <t>Towards enduring mouse resources and services advancing research into human health and disease</t>
  </si>
  <si>
    <t>Depicting the impact of an invasive alien crop pest on local ecological networks</t>
  </si>
  <si>
    <t>Hybrid Colloidal Systems with Designed Response</t>
  </si>
  <si>
    <t>Integrative structural biology of pathological tau protein, an appealing therapeutic target for Alzheimer´s disease modifying drugs</t>
  </si>
  <si>
    <t>International Doctoral Programme in Biological Bases of Human Diseases</t>
  </si>
  <si>
    <t>INTEGRATED MICROFLUIDIC PLATFORM FOR PROTEOMIC AND GENETIC EXOSOME DETECTION</t>
  </si>
  <si>
    <t>Structural and functional characterization of the ICOS/ICOSL immune complex</t>
  </si>
  <si>
    <t>EUCANCan: a federated network of aligned and interoperable infrastructures for the homogeneous analysis, management and sharing of genomic oncology data for Personalized Medicine.</t>
  </si>
  <si>
    <t>Blocking Inhibition of T-cell Co-stimulation for Anti-tumour Therapy</t>
  </si>
  <si>
    <t>European-Latin American network for the assessment of biomarkers to predict and diagnose hepatobiliary malignancies and characterization of risk factors for cancer development</t>
  </si>
  <si>
    <t>Establishing international standards in the analysis of patient reported outcomes and health-related quality of life data in cancer clinical trials</t>
  </si>
  <si>
    <t>EUbOPEN: Enabling and Unlocking biology in the OPEN</t>
  </si>
  <si>
    <t>ARCHITECTURE AND TOOLS FOR THE QUERY OF ANTIBODY AND T-CELL RECEPTOR SEQUENCING DATA REPOSITORIES FOR ENABLING IMPROVED PERSONALIZED MEDICINE AND IMMUNOTHERAPY</t>
  </si>
  <si>
    <t>Chimeric Antigen Receptor to generate Alloantigen-specific Regulatory T cells and promote allograft tolerance</t>
  </si>
  <si>
    <t>Computational ONcology TRaining Alliance</t>
  </si>
  <si>
    <t>Conflict, Competition, Cooperation and Complexity: Using Evolutionary Game Theory to model realistic populations</t>
  </si>
  <si>
    <t>Research Training Network on Integrated Component Cycling in Epithelial Cell Motility</t>
  </si>
  <si>
    <t>Pan-Arctic observing System of Systems: Implementing Observations for societal Needs</t>
  </si>
  <si>
    <t>DiscardLess – Strategies for the gradual elimination of discards in European fisheries</t>
  </si>
  <si>
    <t>DIGITAL, RISK-BASED SCREENING FOR ATRIAL FIBRILLATION IN THE EUROPEAN COMMUNITY</t>
  </si>
  <si>
    <t>Developing Innovative Market Orientated Prediction Toolbox to Strengthen the Economic Sustainability and Competitiveness of European Seafood on Local and Global markets</t>
  </si>
  <si>
    <t>Co-creating a decision support framework to ensure sustainable fish production in Europe under climate change</t>
  </si>
  <si>
    <t>New species, processes and products contributing to increased production and improved sustainability in emerging low trophic, and existing low and high trophic aquaculture value chains in the Atlantic</t>
  </si>
  <si>
    <t>DemonsTrating lower pollUting soLutions for sustaInable airPorts acrosS Europe</t>
  </si>
  <si>
    <t>Localized Surface Plasmon Resonance in doped semiconductor nanocrystals</t>
  </si>
  <si>
    <t>Advanced THermomechanical mOdelling of Refractory linings</t>
  </si>
  <si>
    <t>Maritime Imagination: A Cultural Oceanography of The Netherlands</t>
  </si>
  <si>
    <t>Textual Integrity of the Qur’an: Sunni and Shi'i Historical Narrations on the Falsification</t>
  </si>
  <si>
    <t>Vulnerabilities under the Global Protection Regime: how does the law assess, address, shape, and produce the vulnerabilities of protection seekers?</t>
  </si>
  <si>
    <t>Political Concepts in the World</t>
  </si>
  <si>
    <t>Prostate cancer extracellular vesicles as biomarkers for nanomedicine treatment</t>
  </si>
  <si>
    <t>VIbro-acoustics of PERiodic media</t>
  </si>
  <si>
    <t>NanoInformatics Approaches for Safe-by-Design NanoMaterials</t>
  </si>
  <si>
    <t>SMART SENSING FOR RAPID RESPONSE TO CHEMICAL THREATS ON SOFT TARGETS</t>
  </si>
  <si>
    <t>EXpanding Platforms for Efficacious mRNA Therapeutics</t>
  </si>
  <si>
    <t>Hybrid Nanostructured Oligonucleotide Platforms for Biomedical Applications</t>
  </si>
  <si>
    <t>Truly Carbon Neutral electricity enhanced Synthesis of Liquefied Natural Gas (LNG) from biomass</t>
  </si>
  <si>
    <t>Green Ammonia and Biomethanol fuel MAritime Vessels</t>
  </si>
  <si>
    <t>Molecular receptors enrich methylated and acetylated peptides for ultra-sensitive proteomics to explore the hidden modified proteome in disease</t>
  </si>
  <si>
    <t>Tuning the electronic structure of two-dimensional semiconductor junctions</t>
  </si>
  <si>
    <t>Predicting functional DIVErsity of INvasive freshwater plants</t>
  </si>
  <si>
    <t>Novel bipolar Membrane-Electrode Assembly designs for Simultaneous CO2 Capture and Reduction</t>
  </si>
  <si>
    <t>Authoritarian Smart City</t>
  </si>
  <si>
    <t>Nontarget analysis of Arctic sediments: An empirical indicator of persistent chemicals overlooked by regulation</t>
  </si>
  <si>
    <t>Drilled Extreme Events from the Past: Unravelling a long-term history of giant earthquakes and tsunamis for geohazards assessment</t>
  </si>
  <si>
    <t>Celestial Hierarchy in Arabic Translation</t>
  </si>
  <si>
    <t>Emotional COupling in interpersonal SYNChronization</t>
  </si>
  <si>
    <t>Film Festivals and War: A Fe-Male Perspective (1939–present)</t>
  </si>
  <si>
    <t>Unpacking the “Black Box” of Orthographic Learning: Identifying the Foundational Skills Underlying Efficient Reading for English- and Greek-speaking Children</t>
  </si>
  <si>
    <t>Leveraging Sacrifice to Strengthen Relationships: The Importance of Couples’ Sacrifice Communication</t>
  </si>
  <si>
    <t>Music Processing for Cochlear Implants Based on Auditory and Neural Modelling</t>
  </si>
  <si>
    <t>Biologging to inform Prevention of Seabird Bycatch</t>
  </si>
  <si>
    <t>Training Future Big Data Experts for Europe</t>
  </si>
  <si>
    <t>A new diagnostic imaging model (DIM) for Measuring 3d surface recession as a tool for the quantification of heritage damage &amp; for the Development of custom rEmediation strAtegies</t>
  </si>
  <si>
    <t>Improved transdisciplinary science for effective ecosystem-based maritime spatial planning and conservation in European Seas (MarinePlan)</t>
  </si>
  <si>
    <t>REWilding and Restoration of InterTidal sediment Ecosystems for carbon sequestration, climate adaptation and biodiversity support</t>
  </si>
  <si>
    <t>KARST: Predicting flow and transport in complex Karst systems</t>
  </si>
  <si>
    <t>PERMAFROST – POLLUTION - HEALTH</t>
  </si>
  <si>
    <t>GoGreenNext Promoting Future Health in Ciites</t>
  </si>
  <si>
    <t>Use of extremophile Helianthus species to mitigate climate change impact on feedstock and ecosystem services provided by sunflower</t>
  </si>
  <si>
    <t>GREENHOUSE GAS FLUXES AND EARTH SYSTEM FEEDBACKS</t>
  </si>
  <si>
    <t>Achieving Good Environmental Status for maintaining ecosystem SErvices, by ASsessing integrated impacts of cumulative pressures</t>
  </si>
  <si>
    <t>Pathways of resilience and evasion of tipping in ecosystems</t>
  </si>
  <si>
    <t>Polar Ocean Mitigation Potential</t>
  </si>
  <si>
    <t>POLARIN: POLAR RESEARCH INFRASTRUCTURE NETWORK</t>
  </si>
  <si>
    <t>Isotope geochemistry to Water pool conservatIon in viNEyards</t>
  </si>
  <si>
    <t>MID-INFRARED QUANTUM TECHNOLOGY FOR SENSING</t>
  </si>
  <si>
    <t>Fostering European cellular Agriculture for Sustainable Transition Solutions</t>
  </si>
  <si>
    <t>HYPER entanglement in SPACE</t>
  </si>
  <si>
    <t>Quantum Dynamic Control of Atomic, Molecular and Optical Processes</t>
  </si>
  <si>
    <t>PolyPro3: Ecology and evolution of the tripartite symbioses between polychaetes and their protistan parasites</t>
  </si>
  <si>
    <t>The evolutionary biology of crop plant DNA methylation</t>
  </si>
  <si>
    <t>Research Exchanges in the Mathematics of Deep Learning with Applications</t>
  </si>
  <si>
    <t>Operator Algebras that One Can See</t>
  </si>
  <si>
    <t>Einstein gravity and nonlinear waves: physical models, numerical simulations and data analysis</t>
  </si>
  <si>
    <t>Cartan and differential geometry, Lie theory, quantum groups and non commutative geometry For novel and Innovative Applications to quantum algorithms and geometric deep learning</t>
  </si>
  <si>
    <t>e-powerTrain prEdictive mAintenance using physics inforMed learnING</t>
  </si>
  <si>
    <t>COOPERATIVE AND INTELLIGENT UNMANNED AERIAL VEHICLES FOR EMERGENCY RESPONSE APPLICATIONS</t>
  </si>
  <si>
    <t>Machine-learning-guided design of perovskite lanthanum oxide cathodes for solid oxide fuel cells</t>
  </si>
  <si>
    <t>Decoding Tinnitus: Unveiling the Socio-Psychological, Cognitive, and Brain Mechanisms</t>
  </si>
  <si>
    <t>Performance Optimization of a Hybrid Offshore Wind-Wave Energy Platform</t>
  </si>
  <si>
    <t>Designing of multifunctional nanomaterials for light-driven innovation technologies</t>
  </si>
  <si>
    <t>Distinguishing infant-directed speech and songs: The distinctive evolution of acoustic features and visual entrainment in infants</t>
  </si>
  <si>
    <t>Explaining and Predicting the Ocean Conveyor</t>
  </si>
  <si>
    <t>Towards an Integrated Capability to Explain and Predict Regional Climate Changes</t>
  </si>
  <si>
    <t>N6 - methyladenosine RNA modification in acute coronary syndrome</t>
  </si>
  <si>
    <t>Integrating innovative theories and practices in historical culture and education</t>
  </si>
  <si>
    <t>Evolution and molecular mechanisms of adaptive organ allometry in Atlantic salmon (Salmo salar)</t>
  </si>
  <si>
    <t>Archives in Times of War: Scattered Families and Vanishing Past in Contemporary Syria</t>
  </si>
  <si>
    <t>Miniaturized LIDAR for MARS Atmospheric Research</t>
  </si>
  <si>
    <t>NGI International Collaboration – Transatlantic Fellowship Programme</t>
  </si>
  <si>
    <t>Vectors to Accessible Critical Raw Material Resources in Sedimentary Basins</t>
  </si>
  <si>
    <t>Foundations of quantum computational advantage</t>
  </si>
  <si>
    <t>DE-centralised Cloud labs fOr inDustrialisation of Energy materials</t>
  </si>
  <si>
    <t>Mobility and Life histories in the Alps - Understanding prehistoric social strategies in mountain environment</t>
  </si>
  <si>
    <t>De-centring the Study of Migrant Returns and Readmission Policies in Europe and Beyond</t>
  </si>
  <si>
    <t>The social life of ancient DNA. How can scientists and citizens better interpret the past in light of ancient DNA research? A dual ethnographic study in Germany and Vanuatu</t>
  </si>
  <si>
    <t>Boosting innovation in breeding for the next generation of legume crops for Europe</t>
  </si>
  <si>
    <t>HydrogEn combuSTion In Aero engines</t>
  </si>
  <si>
    <t>SUSTAINABLE, SECURE AND COMPETITIVE ENERGY THROUGH SCALING UP ADVANCED BIOFUEL GENERATION</t>
  </si>
  <si>
    <t>COntroller adaptive Digital Assistant</t>
  </si>
  <si>
    <t>Delivering the next generation of open Integrated Assessment MOdels for Net-zero, sustainable Development</t>
  </si>
  <si>
    <t>Safe and Efficient Use of Sustainable Fuels in Maritime Transport Applications</t>
  </si>
  <si>
    <t>4D Microscopy of biological materials by short pulse terahertz sources (MIMOSA)</t>
  </si>
  <si>
    <t>Artificial Placenta (ArtPlac) - Miniaturized Integrated Lung and Kidney Support for Critically Ill Newborns</t>
  </si>
  <si>
    <t>A Comprehensive Framework enabling the Delivery of Trustworthy Datasets for Efficient AIoT Operation</t>
  </si>
  <si>
    <t>AI for Vision Zero in Road Safety</t>
  </si>
  <si>
    <t>Human-guided collaborative multi-objective design of explainable, fair and privacy-preserving AI for digital health</t>
  </si>
  <si>
    <t>VIrtual Twins as tools for personalised clinicAL care</t>
  </si>
  <si>
    <t>Unveiling Earth’s Critical Resources for Clean Energy and a Sustainable Future</t>
  </si>
  <si>
    <t>QUantum reservoir cOmputing based on eNgineered DEfect NetworkS in trAnsition meTal dichalcogEnides</t>
  </si>
  <si>
    <t>Sharing and re-using clinical trial data to maximise impact</t>
  </si>
  <si>
    <t>Legitimate crisis management and multilevel governance</t>
  </si>
  <si>
    <t>Advancing Research and Training on Ageing, Place and Home</t>
  </si>
  <si>
    <t>Stratospheric Dynamics for Seasonal Prediction</t>
  </si>
  <si>
    <t>Migrants’ protests: How the borders of citizenship are conceived, mobilized and constructed by migrants’ farm workers protests</t>
  </si>
  <si>
    <t>Healthier diets and sustainable food and feed systems through employing microbiomes for soya production and further use</t>
  </si>
  <si>
    <t>ReducINg the footprint of consumer products through public dialoGUe and innovative bio-based MAterials</t>
  </si>
  <si>
    <t>International cooperation for sustainable aviation biofuels</t>
  </si>
  <si>
    <t>Biodiversity Genomics Europe</t>
  </si>
  <si>
    <t>WHeelchair Activity Monitoring project (WHAM)</t>
  </si>
  <si>
    <t>UTU-ESR Programme: Solutions for Green and Digital Transition</t>
  </si>
  <si>
    <t>Novel Biophysical Tools to Measure Multiple Parameters In The Same Cell</t>
  </si>
  <si>
    <t>DIGItal Tools to help AgroForestry meet climate, biodiversity and farming sustainability goals: linking field and cloud</t>
  </si>
  <si>
    <t>Building European Nuclear Competence through continuous Advanced and Structured Education and Training Actions</t>
  </si>
  <si>
    <t>In-Touch: Implementation of a person-centered palliative care iNtervention To imprOve comfort, QUality of Life and social engagement of people with advanced dementia in Care Homes</t>
  </si>
  <si>
    <t>A cutting edge integrated approach to sperm biology and associated reproductive biotechnologies to assist the dairy and beef industries meet growing societal, environmental and economic demands</t>
  </si>
  <si>
    <t>X-Ray Fluorescence Imaging of Metal Complexes in Hypoxic Tumor Spheroids</t>
  </si>
  <si>
    <t>INNOVATIVE EUTECTOGELS FOR EMERGING APPLICATIONS</t>
  </si>
  <si>
    <t>Concerted European action on Sustainable Applications of REFractories</t>
  </si>
  <si>
    <t>IRB Barcelona International PhD programme: on TARGET for high-impact biomedicine</t>
  </si>
  <si>
    <t>Technology-driven combinatorial therapy to rewire the spinal cord after injury</t>
  </si>
  <si>
    <t>Innovative ligands for nuclear receptors to eradicate cancer relapse.</t>
  </si>
  <si>
    <t>Europe-America-Japan Accelerator Development and Exchange Programme</t>
  </si>
  <si>
    <t>Well-Defined Silica-Supported Titanium Catalysts for Introducing Nitrogen Functional Groups</t>
  </si>
  <si>
    <t>Towards MXenes’ biomedical applications by high-dimensional immune MAPping</t>
  </si>
  <si>
    <t>GYNODICY: gender-egalitarian fictions of origin in European philosophical culture (1673-1751)</t>
  </si>
  <si>
    <t>Fate of reduced organic sulfur</t>
  </si>
  <si>
    <t>Making Morality Impartial: An Experimental Investigation of the Veil of Ignorance</t>
  </si>
  <si>
    <t>Post-pandemic resilient communities: is the informal economy a reservoir for the next generation of digitalized and green businesses in the Global South?</t>
  </si>
  <si>
    <t>Novel Methods to Identify Endocrine Disruption Induced Neurotoxicity</t>
  </si>
  <si>
    <t>LegumeLegacy – Optimising multiple benefits of grass, legume and herb mixtures in crop rotations: modelling mechanisms and legacy effects</t>
  </si>
  <si>
    <t>Peripheral Biomarker Based Combinatorial Early Diagnostics for Dementia</t>
  </si>
  <si>
    <t>Physics of Sea-level rise Contribution to Shoreline Erosion</t>
  </si>
  <si>
    <t>Bridging fundamental knowledge and novel technology to increase rice heat tolerance</t>
  </si>
  <si>
    <t>Disrupting gendered stereotypes and disclosing neglected value-laden motivations of academic entrepreneurship</t>
  </si>
  <si>
    <t>Environmental gentrification and emerging collectives in uncertain times</t>
  </si>
  <si>
    <t>Nanoplastic Transport in Groundwater environments</t>
  </si>
  <si>
    <t>THE PATIENT LED COMMONIFICATION OF HEALTHCARE?’ the case of DIY-Diabetes: an ethnographic Study</t>
  </si>
  <si>
    <t>Electric Vehicles Point Location Optimisation via Vehicular Communications</t>
  </si>
  <si>
    <t>PLAsticity of perception in real and virtual spaCES</t>
  </si>
  <si>
    <t>Quantum-Safe-Internet</t>
  </si>
  <si>
    <t>Mystical Emotions and the Limits of Language in Contemporary Italian, French, and English Literatures</t>
  </si>
  <si>
    <t>Understanding the nature of the low energy excess in cryogenic detectors to discover light dark matter</t>
  </si>
  <si>
    <t>Frontiers Inside Roman Sicily: Culture, Economy and Society between Late Antiquity and the Early Byzantine Period</t>
  </si>
  <si>
    <t>Traumatic Spinal Cord Injury: The Need to Classify Disease Severity</t>
  </si>
  <si>
    <t>Conceptualizing Oppression-Related Emotions</t>
  </si>
  <si>
    <t>Globalisation, Europe and Multilateralism : Democratic Institutions, the rise of Alternative MOdels and mounting Normative Dissensus</t>
  </si>
  <si>
    <t>Microscale enabled advanced flow and heat transfer technologies featuring high performance and low power consumption</t>
  </si>
  <si>
    <t>FLuorescent nanO-agents for super-Resolution Imaging and seNsing</t>
  </si>
  <si>
    <t>Signature of sediment CAscades following Landslides triggered by Extreme Events in the Stratigraphy</t>
  </si>
  <si>
    <t>Unmasking the molecular mechanisms mediating the antiatherogenic effects of GLP-1RAs</t>
  </si>
  <si>
    <t>Re-orienting the foundations of 'new science': John Philoponus and the modern theories of space and void (1520-1604)</t>
  </si>
  <si>
    <t>In Vitro Futures: an Anthropological Study of Embryo Adoption between Canada and Spain</t>
  </si>
  <si>
    <t>Musical Imitation in Medieval Europe (1110-1300)</t>
  </si>
  <si>
    <t>Advanced Engineering of Nitric Oxide Based Therapeutics for Triple Negative Breast Cancer Training Network</t>
  </si>
  <si>
    <t>Migration, Diaspora, Citizenship</t>
  </si>
  <si>
    <t>The next step towards the elimination of iodine deficiency and preventable iodine-related disorders in Europe</t>
  </si>
  <si>
    <t>Development and validation of a quantitative point-of-care test for the measurement of severity biomarkers to improve risk stratification of fever syndromes and enhance child survival</t>
  </si>
  <si>
    <t>Genetic code expansion for biocatalysis and enzyme engineering doctoral network</t>
  </si>
  <si>
    <t>Imaging and Characterization for a Sustainable World</t>
  </si>
  <si>
    <t>Female Prophecy in Early Modern European Religion</t>
  </si>
  <si>
    <t>Bergen research and training program for future AI leaders across the disciplines</t>
  </si>
  <si>
    <t>Utilization of Marginal lands for growing sustainable industrial crops and developing innovative bio-based products</t>
  </si>
  <si>
    <t>Measuring Irregular Migration and related Policies</t>
  </si>
  <si>
    <t>Building a Global Criminal Justice System at the Domestic Level</t>
  </si>
  <si>
    <t>The EU Navigating Multilateral Cooperation</t>
  </si>
  <si>
    <t>STRENGHTENING PHYTOSANITARY RESEARCH PROGRAMMING AND COLLABORATION: FROM EUROPEAN TO GLOBAL PHYTOSANITARY RESEARCH COORDINATION</t>
  </si>
  <si>
    <t>Strategic Infrastructure for improved animal Tracking in European Seas</t>
  </si>
  <si>
    <t>Integrated Cross-Sectoral Solutions to Micro- and Nanoplastic Pollution in Soil and Groundwater Ecosystems</t>
  </si>
  <si>
    <t>MULti-Tumour based prediction and manipulation of Immune Response</t>
  </si>
  <si>
    <t>Targeting tumour-host interactions in paediatric malignant gliomas to reinvigorate immunity and improve radio- and immunotherapy efficacy</t>
  </si>
  <si>
    <t>Sorbonne University for a New Deal on Artificial Intelligence</t>
  </si>
  <si>
    <t>Risk and Resilience in Developmental Diversity and Mental Health</t>
  </si>
  <si>
    <t>“NextGenBioPest” - Next Generation Biopesticides for the control of the most “difficult-to-manage” pests and pathogens in fruits and vegetables</t>
  </si>
  <si>
    <t>Food Safety for Africa</t>
  </si>
  <si>
    <t>Engineering Research Infrastructures for European Synergies</t>
  </si>
  <si>
    <t>EU-CIEMBLY: Creating an Inclusive European Citizens’ Assembly</t>
  </si>
  <si>
    <t>Global cooperation on FAIR data policy and practice</t>
  </si>
  <si>
    <t>THE CARE WAVE AND THE FUTURE OF THE BABY BOOMERS AND THEIR CHILDREN</t>
  </si>
  <si>
    <t>Testing for the universal mind using probabilistic inference</t>
  </si>
  <si>
    <t>Trailblazing Inclusive, Sustainable and Resilient Cities</t>
  </si>
  <si>
    <t>WIRE - Widening Innovation+Research Excellence in FilmEU)</t>
  </si>
  <si>
    <t>Unintentional discrimination detected and racism reveal and Deactivate</t>
  </si>
  <si>
    <t>Digital technologies for plant health, early detection, territory surveillance and phytosanitary measures</t>
  </si>
  <si>
    <t>Implementation and evaluation of a Navigation Intervention for People with Cancer in Old Age and their Family Caregivers: an international pragmatic randomized controlled trial</t>
  </si>
  <si>
    <t>Implementation research on the tailored, multidisciplinary NCD prevention package FRESHAIR4LIFE: Targeting tobacco and air pollution exposure in mid- to late adolescents in disadvantaged populations</t>
  </si>
  <si>
    <t>European Partnership on Innovative SMEs</t>
  </si>
  <si>
    <t>dialoguing@rts – Advancing Cultural Literacy for Social Inclusion through Dialogical Arts Education</t>
  </si>
  <si>
    <t>Gap resolutIon in sAfety, NuTritional, alLergenicity and Environmental assessments to promote Alternative Protein utilization and the dietary Shift</t>
  </si>
  <si>
    <t>Accelerating drug repurposing for rare neurological, neurometabolic and neuromuscular disorders by exploiting SIMilarities in clinical and molecular PATHology</t>
  </si>
  <si>
    <t>Research Analysis Identifier SystEm</t>
  </si>
  <si>
    <t>When was Greenland ‘green’? – Perspectives from basal ice and sediments from ice cores.</t>
  </si>
  <si>
    <t>2019-12-03</t>
  </si>
  <si>
    <t>2019-04-17</t>
  </si>
  <si>
    <t>2021-02-02</t>
  </si>
  <si>
    <t>2014-12-03</t>
  </si>
  <si>
    <t>2016-12-19</t>
  </si>
  <si>
    <t>2017-05-12</t>
  </si>
  <si>
    <t>2014-12-01</t>
  </si>
  <si>
    <t>2014-12-05</t>
  </si>
  <si>
    <t>2016-01-26</t>
  </si>
  <si>
    <t>2019-05-06</t>
  </si>
  <si>
    <t>2021-08-21</t>
  </si>
  <si>
    <t>2015-12-08</t>
  </si>
  <si>
    <t>2018-12-03</t>
  </si>
  <si>
    <t>2017-12-05</t>
  </si>
  <si>
    <t>2019-10-10</t>
  </si>
  <si>
    <t>2018-12-13</t>
  </si>
  <si>
    <t>2018-11-07</t>
  </si>
  <si>
    <t>2021-01-26</t>
  </si>
  <si>
    <t>2016-08-08</t>
  </si>
  <si>
    <t>2019-04-03</t>
  </si>
  <si>
    <t>2019-03-22</t>
  </si>
  <si>
    <t>2017-03-13</t>
  </si>
  <si>
    <t>2018-04-20</t>
  </si>
  <si>
    <t>2017-03-03</t>
  </si>
  <si>
    <t>2017-04-26</t>
  </si>
  <si>
    <t>2019-04-24</t>
  </si>
  <si>
    <t>2019-03-18</t>
  </si>
  <si>
    <t>2020-03-31</t>
  </si>
  <si>
    <t>2020-03-16</t>
  </si>
  <si>
    <t>2020-02-26</t>
  </si>
  <si>
    <t>2020-04-23</t>
  </si>
  <si>
    <t>2017-06-23</t>
  </si>
  <si>
    <t>2020-04-03</t>
  </si>
  <si>
    <t>2017-02-03</t>
  </si>
  <si>
    <t>2020-03-04</t>
  </si>
  <si>
    <t>2019-11-08</t>
  </si>
  <si>
    <t>2017-03-01</t>
  </si>
  <si>
    <t>2016-02-19</t>
  </si>
  <si>
    <t>2015-10-30</t>
  </si>
  <si>
    <t>2021-04-29</t>
  </si>
  <si>
    <t>2021-03-19</t>
  </si>
  <si>
    <t>2021-03-22</t>
  </si>
  <si>
    <t>2021-04-22</t>
  </si>
  <si>
    <t>2021-04-08</t>
  </si>
  <si>
    <t>2021-04-23</t>
  </si>
  <si>
    <t>2021-03-17</t>
  </si>
  <si>
    <t>2020-04-16</t>
  </si>
  <si>
    <t>2021-04-09</t>
  </si>
  <si>
    <t>2018-04-04</t>
  </si>
  <si>
    <t>2017-02-28</t>
  </si>
  <si>
    <t>2019-04-19</t>
  </si>
  <si>
    <t>2015-04-17</t>
  </si>
  <si>
    <t>2014-12-04</t>
  </si>
  <si>
    <t>2016-08-31</t>
  </si>
  <si>
    <t>2018-10-24</t>
  </si>
  <si>
    <t>2016-03-14</t>
  </si>
  <si>
    <t>2015-12-17</t>
  </si>
  <si>
    <t>2017-10-25</t>
  </si>
  <si>
    <t>2017-09-21</t>
  </si>
  <si>
    <t>2018-09-20</t>
  </si>
  <si>
    <t>2014-12-02</t>
  </si>
  <si>
    <t>2015-12-09</t>
  </si>
  <si>
    <t>2016-11-30</t>
  </si>
  <si>
    <t>2020-11-06</t>
  </si>
  <si>
    <t>2015-04-24</t>
  </si>
  <si>
    <t>2015-12-15</t>
  </si>
  <si>
    <t>2019-04-04</t>
  </si>
  <si>
    <t>2019-04-26</t>
  </si>
  <si>
    <t>2019-03-28</t>
  </si>
  <si>
    <t>2020-04-01</t>
  </si>
  <si>
    <t>2019-11-21</t>
  </si>
  <si>
    <t>2020-10-28</t>
  </si>
  <si>
    <t>2018-11-15</t>
  </si>
  <si>
    <t>2016-02-29</t>
  </si>
  <si>
    <t>2020-05-06</t>
  </si>
  <si>
    <t>2015-05-28</t>
  </si>
  <si>
    <t>2020-03-25</t>
  </si>
  <si>
    <t>2018-04-13</t>
  </si>
  <si>
    <t>2015-05-13</t>
  </si>
  <si>
    <t>2018-04-19</t>
  </si>
  <si>
    <t>2015-03-16</t>
  </si>
  <si>
    <t>2019-08-23</t>
  </si>
  <si>
    <t>2015-03-13</t>
  </si>
  <si>
    <t>2016-09-28</t>
  </si>
  <si>
    <t>2019-04-11</t>
  </si>
  <si>
    <t>2018-07-30</t>
  </si>
  <si>
    <t>2017-10-20</t>
  </si>
  <si>
    <t>2014-12-17</t>
  </si>
  <si>
    <t>2018-05-04</t>
  </si>
  <si>
    <t>2019-11-28</t>
  </si>
  <si>
    <t>2020-04-15</t>
  </si>
  <si>
    <t>2021-05-05</t>
  </si>
  <si>
    <t>2016-09-07</t>
  </si>
  <si>
    <t>2020-05-19</t>
  </si>
  <si>
    <t>2019-09-24</t>
  </si>
  <si>
    <t>2017-05-19</t>
  </si>
  <si>
    <t>2017-11-22</t>
  </si>
  <si>
    <t>2014-12-16</t>
  </si>
  <si>
    <t>2018-03-15</t>
  </si>
  <si>
    <t>2019-10-15</t>
  </si>
  <si>
    <t>2020-05-14</t>
  </si>
  <si>
    <t>2015-04-09</t>
  </si>
  <si>
    <t>2015-08-10</t>
  </si>
  <si>
    <t>2020-11-16</t>
  </si>
  <si>
    <t>2014-12-11</t>
  </si>
  <si>
    <t>2015-04-01</t>
  </si>
  <si>
    <t>2021-03-24</t>
  </si>
  <si>
    <t>2020-04-20</t>
  </si>
  <si>
    <t>2018-12-10</t>
  </si>
  <si>
    <t>2014-11-19</t>
  </si>
  <si>
    <t>2019-05-23</t>
  </si>
  <si>
    <t>2015-09-04</t>
  </si>
  <si>
    <t>2018-02-12</t>
  </si>
  <si>
    <t>2020-10-01</t>
  </si>
  <si>
    <t>2017-12-19</t>
  </si>
  <si>
    <t>2020-11-03</t>
  </si>
  <si>
    <t>2017-11-14</t>
  </si>
  <si>
    <t>2019-12-08</t>
  </si>
  <si>
    <t>2016-11-18</t>
  </si>
  <si>
    <t>2015-12-07</t>
  </si>
  <si>
    <t>2021-06-11</t>
  </si>
  <si>
    <t>2018-11-19</t>
  </si>
  <si>
    <t>2015-12-10</t>
  </si>
  <si>
    <t>2021-04-16</t>
  </si>
  <si>
    <t>2016-11-29</t>
  </si>
  <si>
    <t>2019-09-06</t>
  </si>
  <si>
    <t>2018-04-23</t>
  </si>
  <si>
    <t>2017-10-17</t>
  </si>
  <si>
    <t>2016-11-10</t>
  </si>
  <si>
    <t>2018-02-23</t>
  </si>
  <si>
    <t>2020-07-07</t>
  </si>
  <si>
    <t>2021-04-06</t>
  </si>
  <si>
    <t>2016-01-29</t>
  </si>
  <si>
    <t>2017-08-30</t>
  </si>
  <si>
    <t>2018-12-17</t>
  </si>
  <si>
    <t>2016-12-12</t>
  </si>
  <si>
    <t>2020-04-28</t>
  </si>
  <si>
    <t>2020-09-25</t>
  </si>
  <si>
    <t>2016-11-22</t>
  </si>
  <si>
    <t>2019-04-16</t>
  </si>
  <si>
    <t>2020-11-17</t>
  </si>
  <si>
    <t>2015-12-14</t>
  </si>
  <si>
    <t>2019-11-18</t>
  </si>
  <si>
    <t>2018-11-09</t>
  </si>
  <si>
    <t>2018-04-27</t>
  </si>
  <si>
    <t>2015-10-07</t>
  </si>
  <si>
    <t>2020-09-18</t>
  </si>
  <si>
    <t>2015-03-24</t>
  </si>
  <si>
    <t>2019-11-27</t>
  </si>
  <si>
    <t>2016-12-02</t>
  </si>
  <si>
    <t>2015-05-04</t>
  </si>
  <si>
    <t>2015-02-18</t>
  </si>
  <si>
    <t>2018-02-25</t>
  </si>
  <si>
    <t>2015-04-15</t>
  </si>
  <si>
    <t>2018-12-04</t>
  </si>
  <si>
    <t>2016-02-04</t>
  </si>
  <si>
    <t>2018-10-26</t>
  </si>
  <si>
    <t>2018-03-13</t>
  </si>
  <si>
    <t>2020-11-27</t>
  </si>
  <si>
    <t>2018-04-05</t>
  </si>
  <si>
    <t>2019-11-29</t>
  </si>
  <si>
    <t>2016-11-23</t>
  </si>
  <si>
    <t>2016-10-31</t>
  </si>
  <si>
    <t>2020-12-11</t>
  </si>
  <si>
    <t>2018-11-20</t>
  </si>
  <si>
    <t>2018-10-10</t>
  </si>
  <si>
    <t>2018-04-10</t>
  </si>
  <si>
    <t>2016-11-17</t>
  </si>
  <si>
    <t>2015-11-30</t>
  </si>
  <si>
    <t>2015-10-27</t>
  </si>
  <si>
    <t>2017-08-10</t>
  </si>
  <si>
    <t>2016-04-06</t>
  </si>
  <si>
    <t>2020-10-13</t>
  </si>
  <si>
    <t>2015-03-27</t>
  </si>
  <si>
    <t>2018-05-08</t>
  </si>
  <si>
    <t>2017-03-09</t>
  </si>
  <si>
    <t>2014-12-10</t>
  </si>
  <si>
    <t>2018-03-28</t>
  </si>
  <si>
    <t>2016-05-02</t>
  </si>
  <si>
    <t>2021-04-19</t>
  </si>
  <si>
    <t>2017-11-21</t>
  </si>
  <si>
    <t>2016-10-28</t>
  </si>
  <si>
    <t>2016-08-29</t>
  </si>
  <si>
    <t>2016-12-14</t>
  </si>
  <si>
    <t>2018-09-28</t>
  </si>
  <si>
    <t>2019-10-04</t>
  </si>
  <si>
    <t>2019-03-27</t>
  </si>
  <si>
    <t>2015-04-18</t>
  </si>
  <si>
    <t>2018-10-04</t>
  </si>
  <si>
    <t>2021-09-09</t>
  </si>
  <si>
    <t>2015-02-02</t>
  </si>
  <si>
    <t>2020-04-17</t>
  </si>
  <si>
    <t>2015-04-14</t>
  </si>
  <si>
    <t>2018-01-25</t>
  </si>
  <si>
    <t>2016-03-29</t>
  </si>
  <si>
    <t>2019-05-03</t>
  </si>
  <si>
    <t>2016-04-11</t>
  </si>
  <si>
    <t>2016-12-07</t>
  </si>
  <si>
    <t>2019-05-24</t>
  </si>
  <si>
    <t>2021-03-12</t>
  </si>
  <si>
    <t>2021-01-27</t>
  </si>
  <si>
    <t>2016-10-12</t>
  </si>
  <si>
    <t>2015-04-08</t>
  </si>
  <si>
    <t>2021-04-15</t>
  </si>
  <si>
    <t>2019-05-10</t>
  </si>
  <si>
    <t>2021-05-07</t>
  </si>
  <si>
    <t>2018-08-22</t>
  </si>
  <si>
    <t>2020-11-10</t>
  </si>
  <si>
    <t>2021-04-20</t>
  </si>
  <si>
    <t>2015-12-21</t>
  </si>
  <si>
    <t>2015-07-27</t>
  </si>
  <si>
    <t>2014-11-10</t>
  </si>
  <si>
    <t>2019-12-11</t>
  </si>
  <si>
    <t>2020-05-18</t>
  </si>
  <si>
    <t>2016-11-16</t>
  </si>
  <si>
    <t>2017-03-08</t>
  </si>
  <si>
    <t>2020-03-24</t>
  </si>
  <si>
    <t>2017-06-16</t>
  </si>
  <si>
    <t>2018-11-22</t>
  </si>
  <si>
    <t>2017-06-08</t>
  </si>
  <si>
    <t>2021-05-10</t>
  </si>
  <si>
    <t>2021-03-13</t>
  </si>
  <si>
    <t>2015-02-26</t>
  </si>
  <si>
    <t>2015-12-18</t>
  </si>
  <si>
    <t>2020-05-02</t>
  </si>
  <si>
    <t>2020-04-10</t>
  </si>
  <si>
    <t>2019-10-14</t>
  </si>
  <si>
    <t>2019-09-17</t>
  </si>
  <si>
    <t>2017-09-19</t>
  </si>
  <si>
    <t>2015-07-28</t>
  </si>
  <si>
    <t>2020-10-22</t>
  </si>
  <si>
    <t>2018-03-23</t>
  </si>
  <si>
    <t>2019-04-30</t>
  </si>
  <si>
    <t>2021-05-06</t>
  </si>
  <si>
    <t>2017-03-17</t>
  </si>
  <si>
    <t>2017-01-18</t>
  </si>
  <si>
    <t>2016-11-08</t>
  </si>
  <si>
    <t>2020-11-24</t>
  </si>
  <si>
    <t>2021-02-19</t>
  </si>
  <si>
    <t>2015-09-24</t>
  </si>
  <si>
    <t>2016-09-01</t>
  </si>
  <si>
    <t>2015-03-26</t>
  </si>
  <si>
    <t>2020-03-20</t>
  </si>
  <si>
    <t>2014-12-12</t>
  </si>
  <si>
    <t>2016-03-22</t>
  </si>
  <si>
    <t>2019-07-30</t>
  </si>
  <si>
    <t>2020-04-08</t>
  </si>
  <si>
    <t>2015-06-26</t>
  </si>
  <si>
    <t>2015-11-11</t>
  </si>
  <si>
    <t>2020-08-07</t>
  </si>
  <si>
    <t>2017-11-24</t>
  </si>
  <si>
    <t>2016-10-11</t>
  </si>
  <si>
    <t>2020-05-04</t>
  </si>
  <si>
    <t>2015-12-16</t>
  </si>
  <si>
    <t>2017-10-02</t>
  </si>
  <si>
    <t>2016-04-28</t>
  </si>
  <si>
    <t>2020-12-01</t>
  </si>
  <si>
    <t>2017-03-06</t>
  </si>
  <si>
    <t>2019-01-29</t>
  </si>
  <si>
    <t>2015-10-26</t>
  </si>
  <si>
    <t>2016-02-18</t>
  </si>
  <si>
    <t>2021-02-25</t>
  </si>
  <si>
    <t>2014-11-18</t>
  </si>
  <si>
    <t>2017-11-07</t>
  </si>
  <si>
    <t>2020-11-30</t>
  </si>
  <si>
    <t>2016-03-03</t>
  </si>
  <si>
    <t>2015-03-05</t>
  </si>
  <si>
    <t>2021-04-14</t>
  </si>
  <si>
    <t>2018-10-05</t>
  </si>
  <si>
    <t>2016-12-05</t>
  </si>
  <si>
    <t>2015-09-11</t>
  </si>
  <si>
    <t>2019-12-05</t>
  </si>
  <si>
    <t>2020-07-14</t>
  </si>
  <si>
    <t>2015-02-19</t>
  </si>
  <si>
    <t>2015-10-14</t>
  </si>
  <si>
    <t>2017-08-03</t>
  </si>
  <si>
    <t>2015-02-20</t>
  </si>
  <si>
    <t>2020-11-20</t>
  </si>
  <si>
    <t>2018-08-30</t>
  </si>
  <si>
    <t>2019-04-09</t>
  </si>
  <si>
    <t>2016-05-10</t>
  </si>
  <si>
    <t>2016-12-09</t>
  </si>
  <si>
    <t>2017-10-06</t>
  </si>
  <si>
    <t>2018-06-04</t>
  </si>
  <si>
    <t>2021-02-04</t>
  </si>
  <si>
    <t>2020-05-25</t>
  </si>
  <si>
    <t>2019-03-20</t>
  </si>
  <si>
    <t>2015-02-27</t>
  </si>
  <si>
    <t>2020-02-06</t>
  </si>
  <si>
    <t>2019-09-20</t>
  </si>
  <si>
    <t>2019-09-23</t>
  </si>
  <si>
    <t>2017-08-17</t>
  </si>
  <si>
    <t>2018-02-27</t>
  </si>
  <si>
    <t>2021-04-02</t>
  </si>
  <si>
    <t>2018-03-16</t>
  </si>
  <si>
    <t>2020-03-05</t>
  </si>
  <si>
    <t>2018-11-30</t>
  </si>
  <si>
    <t>2016-08-10</t>
  </si>
  <si>
    <t>2021-03-31</t>
  </si>
  <si>
    <t>2019-02-18</t>
  </si>
  <si>
    <t>2021-03-15</t>
  </si>
  <si>
    <t>2019-10-30</t>
  </si>
  <si>
    <t>2015-07-06</t>
  </si>
  <si>
    <t>2018-09-13</t>
  </si>
  <si>
    <t>2020-10-02</t>
  </si>
  <si>
    <t>2021-01-21</t>
  </si>
  <si>
    <t>2018-04-12</t>
  </si>
  <si>
    <t>2018-11-21</t>
  </si>
  <si>
    <t>2015-04-07</t>
  </si>
  <si>
    <t>2014-11-27</t>
  </si>
  <si>
    <t>2021-09-23</t>
  </si>
  <si>
    <t>2018-02-15</t>
  </si>
  <si>
    <t>2017-10-04</t>
  </si>
  <si>
    <t>2016-04-29</t>
  </si>
  <si>
    <t>2018-12-14</t>
  </si>
  <si>
    <t>2020-11-09</t>
  </si>
  <si>
    <t>2020-05-11</t>
  </si>
  <si>
    <t>2018-12-08</t>
  </si>
  <si>
    <t>2017-03-22</t>
  </si>
  <si>
    <t>2017-08-31</t>
  </si>
  <si>
    <t>2021-05-18</t>
  </si>
  <si>
    <t>2019-12-06</t>
  </si>
  <si>
    <t>2017-02-14</t>
  </si>
  <si>
    <t>2015-02-16</t>
  </si>
  <si>
    <t>2021-09-10</t>
  </si>
  <si>
    <t>2019-04-05</t>
  </si>
  <si>
    <t>2021-03-09</t>
  </si>
  <si>
    <t>2019-11-13</t>
  </si>
  <si>
    <t>2017-05-10</t>
  </si>
  <si>
    <t>2015-05-08</t>
  </si>
  <si>
    <t>2015-08-13</t>
  </si>
  <si>
    <t>2018-12-20</t>
  </si>
  <si>
    <t>2019-07-03</t>
  </si>
  <si>
    <t>2017-11-09</t>
  </si>
  <si>
    <t>2022-10-18</t>
  </si>
  <si>
    <t>2023-12-06</t>
  </si>
  <si>
    <t>2023-08-23</t>
  </si>
  <si>
    <t>2023-03-28</t>
  </si>
  <si>
    <t>2024-03-07</t>
  </si>
  <si>
    <t>2024-04-22</t>
  </si>
  <si>
    <t>2024-03-26</t>
  </si>
  <si>
    <t>2024-03-25</t>
  </si>
  <si>
    <t>2024-03-06</t>
  </si>
  <si>
    <t>2024-03-11</t>
  </si>
  <si>
    <t>2024-04-02</t>
  </si>
  <si>
    <t>2024-03-22</t>
  </si>
  <si>
    <t>2024-04-10</t>
  </si>
  <si>
    <t>2023-10-18</t>
  </si>
  <si>
    <t>2023-05-02</t>
  </si>
  <si>
    <t>2022-06-09</t>
  </si>
  <si>
    <t>2023-09-12</t>
  </si>
  <si>
    <t>2023-03-08</t>
  </si>
  <si>
    <t>2023-11-17</t>
  </si>
  <si>
    <t>2023-12-04</t>
  </si>
  <si>
    <t>2022-05-12</t>
  </si>
  <si>
    <t>2022-06-07</t>
  </si>
  <si>
    <t>2023-03-29</t>
  </si>
  <si>
    <t>2023-11-15</t>
  </si>
  <si>
    <t>2023-10-27</t>
  </si>
  <si>
    <t>2022-05-31</t>
  </si>
  <si>
    <t>2023-04-17</t>
  </si>
  <si>
    <t>2023-10-16</t>
  </si>
  <si>
    <t>2022-11-07</t>
  </si>
  <si>
    <t>2023-08-04</t>
  </si>
  <si>
    <t>2023-07-05</t>
  </si>
  <si>
    <t>2023-10-11</t>
  </si>
  <si>
    <t>2022-11-17</t>
  </si>
  <si>
    <t>2022-05-18</t>
  </si>
  <si>
    <t>2023-04-06</t>
  </si>
  <si>
    <t>2023-08-02</t>
  </si>
  <si>
    <t>2024-03-14</t>
  </si>
  <si>
    <t>2022-06-08</t>
  </si>
  <si>
    <t>2023-10-24</t>
  </si>
  <si>
    <t>2022-06-22</t>
  </si>
  <si>
    <t>2022-10-03</t>
  </si>
  <si>
    <t>2022-09-22</t>
  </si>
  <si>
    <t>2022-05-22</t>
  </si>
  <si>
    <t>2023-11-14</t>
  </si>
  <si>
    <t>2022-08-05</t>
  </si>
  <si>
    <t>2022-12-06</t>
  </si>
  <si>
    <t>2023-05-16</t>
  </si>
  <si>
    <t>2023-04-21</t>
  </si>
  <si>
    <t>2022-05-10</t>
  </si>
  <si>
    <t>2023-08-30</t>
  </si>
  <si>
    <t>2023-05-22</t>
  </si>
  <si>
    <t>2022-10-04</t>
  </si>
  <si>
    <t>2023-11-24</t>
  </si>
  <si>
    <t>2022-04-27</t>
  </si>
  <si>
    <t>2023-01-19</t>
  </si>
  <si>
    <t>2024-03-29</t>
  </si>
  <si>
    <t>2023-07-14</t>
  </si>
  <si>
    <t>2023-10-19</t>
  </si>
  <si>
    <t>2023-11-10</t>
  </si>
  <si>
    <t>2023-06-22</t>
  </si>
  <si>
    <t>2023-06-20</t>
  </si>
  <si>
    <t>2022-06-02</t>
  </si>
  <si>
    <t>2022-07-14</t>
  </si>
  <si>
    <t>2022-05-25</t>
  </si>
  <si>
    <t>2023-11-23</t>
  </si>
  <si>
    <t>2023-08-22</t>
  </si>
  <si>
    <t>2023-05-03</t>
  </si>
  <si>
    <t>2023-10-17</t>
  </si>
  <si>
    <t>2023-08-07</t>
  </si>
  <si>
    <t>2023-11-29</t>
  </si>
  <si>
    <t>2022-07-28</t>
  </si>
  <si>
    <t>2023-10-13</t>
  </si>
  <si>
    <t>2022-07-13</t>
  </si>
  <si>
    <t>2023-09-13</t>
  </si>
  <si>
    <t>2022-07-15</t>
  </si>
  <si>
    <t>2023-07-12</t>
  </si>
  <si>
    <t>2022-10-27</t>
  </si>
  <si>
    <t>2022-09-28</t>
  </si>
  <si>
    <t>2022-10-10</t>
  </si>
  <si>
    <t>2022-06-14</t>
  </si>
  <si>
    <t>2023-04-25</t>
  </si>
  <si>
    <t>2022-07-06</t>
  </si>
  <si>
    <t>2022-06-30</t>
  </si>
  <si>
    <t>2022-06-28</t>
  </si>
  <si>
    <t>2023-05-12</t>
  </si>
  <si>
    <t>2022-09-09</t>
  </si>
  <si>
    <t>2022-06-10</t>
  </si>
  <si>
    <t>2022-11-14</t>
  </si>
  <si>
    <t>2022-06-27</t>
  </si>
  <si>
    <t>2022-10-06</t>
  </si>
  <si>
    <t>2022-07-29</t>
  </si>
  <si>
    <t>2023-04-26</t>
  </si>
  <si>
    <t>2022-06-03</t>
  </si>
  <si>
    <t>2022-10-26</t>
  </si>
  <si>
    <t>2022-09-26</t>
  </si>
  <si>
    <t>2023-04-28</t>
  </si>
  <si>
    <t>2023-03-14</t>
  </si>
  <si>
    <t>2023-05-04</t>
  </si>
  <si>
    <t>2022-08-12</t>
  </si>
  <si>
    <t>2023-04-13</t>
  </si>
  <si>
    <t>2023-07-13</t>
  </si>
  <si>
    <t>2023-09-22</t>
  </si>
  <si>
    <t>2022-11-25</t>
  </si>
  <si>
    <t>2022-07-18</t>
  </si>
  <si>
    <t>2022-10-12</t>
  </si>
  <si>
    <t>2022-12-12</t>
  </si>
  <si>
    <t>2022-12-14</t>
  </si>
  <si>
    <t>2023-12-07</t>
  </si>
  <si>
    <t>2022-05-23</t>
  </si>
  <si>
    <t>2023-11-07</t>
  </si>
  <si>
    <t>2023-11-06</t>
  </si>
  <si>
    <t>2022-12-11</t>
  </si>
  <si>
    <t>2022-10-17</t>
  </si>
  <si>
    <t>2022-05-15</t>
  </si>
  <si>
    <t>2022-05-24</t>
  </si>
  <si>
    <t>2022-11-01</t>
  </si>
  <si>
    <t>2022-06-20</t>
  </si>
  <si>
    <t>2023-10-26</t>
  </si>
  <si>
    <t>2023-04-05</t>
  </si>
  <si>
    <t>2023-03-15</t>
  </si>
  <si>
    <t>2010-02-01</t>
  </si>
  <si>
    <t>2008-04-01</t>
  </si>
  <si>
    <t>2012-08-01</t>
  </si>
  <si>
    <t>2013-10-01</t>
  </si>
  <si>
    <t>2010-11-01</t>
  </si>
  <si>
    <t>2009-04-01</t>
  </si>
  <si>
    <t>2010-10-01</t>
  </si>
  <si>
    <t>2014-11-01</t>
  </si>
  <si>
    <t>2013-11-29</t>
  </si>
  <si>
    <t>2014-02-01</t>
  </si>
  <si>
    <t>2009-10-01</t>
  </si>
  <si>
    <t>2010-01-01</t>
  </si>
  <si>
    <t>2011-02-01</t>
  </si>
  <si>
    <t>2010-07-01</t>
  </si>
  <si>
    <t>2009-09-01</t>
  </si>
  <si>
    <t>2010-09-01</t>
  </si>
  <si>
    <t>2010-05-01</t>
  </si>
  <si>
    <t>2011-12-01</t>
  </si>
  <si>
    <t>2010-04-01</t>
  </si>
  <si>
    <t>2013-03-01</t>
  </si>
  <si>
    <t>2012-01-01</t>
  </si>
  <si>
    <t>2009-03-21</t>
  </si>
  <si>
    <t>2013-09-02</t>
  </si>
  <si>
    <t>2013-11-01</t>
  </si>
  <si>
    <t>2011-01-01</t>
  </si>
  <si>
    <t>2014-01-01</t>
  </si>
  <si>
    <t>2008-03-01</t>
  </si>
  <si>
    <t>2014-10-01</t>
  </si>
  <si>
    <t>2009-01-01</t>
  </si>
  <si>
    <t>2009-08-01</t>
  </si>
  <si>
    <t>2013-12-01</t>
  </si>
  <si>
    <t>2009-05-01</t>
  </si>
  <si>
    <t>2012-03-01</t>
  </si>
  <si>
    <t>2014-05-01</t>
  </si>
  <si>
    <t>2007-11-01</t>
  </si>
  <si>
    <t>2009-03-01</t>
  </si>
  <si>
    <t>2013-10-15</t>
  </si>
  <si>
    <t>2008-11-01</t>
  </si>
  <si>
    <t>2012-12-01</t>
  </si>
  <si>
    <t>2009-11-01</t>
  </si>
  <si>
    <t>2013-02-01</t>
  </si>
  <si>
    <t>2014-09-01</t>
  </si>
  <si>
    <t>2011-04-01</t>
  </si>
  <si>
    <t>2013-09-01</t>
  </si>
  <si>
    <t>2008-10-01</t>
  </si>
  <si>
    <t>2008-09-01</t>
  </si>
  <si>
    <t>2011-05-01</t>
  </si>
  <si>
    <t>2012-10-01</t>
  </si>
  <si>
    <t>2009-06-01</t>
  </si>
  <si>
    <t>2011-07-01</t>
  </si>
  <si>
    <t>2012-02-01</t>
  </si>
  <si>
    <t>2012-06-01</t>
  </si>
  <si>
    <t>2013-01-01</t>
  </si>
  <si>
    <t>2011-10-01</t>
  </si>
  <si>
    <t>2011-11-01</t>
  </si>
  <si>
    <t>2009-01-15</t>
  </si>
  <si>
    <t>2011-03-01</t>
  </si>
  <si>
    <t>2009-02-01</t>
  </si>
  <si>
    <t>2008-01-01</t>
  </si>
  <si>
    <t>2012-11-01</t>
  </si>
  <si>
    <t>2009-07-01</t>
  </si>
  <si>
    <t>2011-08-15</t>
  </si>
  <si>
    <t>2011-09-01</t>
  </si>
  <si>
    <t>2010-03-01</t>
  </si>
  <si>
    <t>2013-06-01</t>
  </si>
  <si>
    <t>2012-12-17</t>
  </si>
  <si>
    <t>2009-12-01</t>
  </si>
  <si>
    <t>2013-07-01</t>
  </si>
  <si>
    <t>2008-06-01</t>
  </si>
  <si>
    <t>2013-10-10</t>
  </si>
  <si>
    <t>2010-12-01</t>
  </si>
  <si>
    <t>2012-09-01</t>
  </si>
  <si>
    <t>2008-07-01</t>
  </si>
  <si>
    <t>2015-03-01</t>
  </si>
  <si>
    <t>2020-01-01</t>
  </si>
  <si>
    <t>2019-05-01</t>
  </si>
  <si>
    <t>2021-03-01</t>
  </si>
  <si>
    <t>2017-02-01</t>
  </si>
  <si>
    <t>2017-06-01</t>
  </si>
  <si>
    <t>2016-02-01</t>
  </si>
  <si>
    <t>2019-06-01</t>
  </si>
  <si>
    <t>2021-10-01</t>
  </si>
  <si>
    <t>2016-01-01</t>
  </si>
  <si>
    <t>2019-01-01</t>
  </si>
  <si>
    <t>2017-12-01</t>
  </si>
  <si>
    <t>2019-11-01</t>
  </si>
  <si>
    <t>2018-09-01</t>
  </si>
  <si>
    <t>2021-01-01</t>
  </si>
  <si>
    <t>2016-11-01</t>
  </si>
  <si>
    <t>2020-02-10</t>
  </si>
  <si>
    <t>2020-02-01</t>
  </si>
  <si>
    <t>2017-08-01</t>
  </si>
  <si>
    <t>2018-10-31</t>
  </si>
  <si>
    <t>2018-01-01</t>
  </si>
  <si>
    <t>2017-10-01</t>
  </si>
  <si>
    <t>2020-09-01</t>
  </si>
  <si>
    <t>2019-07-01</t>
  </si>
  <si>
    <t>2022-06-01</t>
  </si>
  <si>
    <t>2020-11-11</t>
  </si>
  <si>
    <t>2019-10-01</t>
  </si>
  <si>
    <t>2022-01-01</t>
  </si>
  <si>
    <t>2018-03-01</t>
  </si>
  <si>
    <t>2020-11-01</t>
  </si>
  <si>
    <t>2017-09-01</t>
  </si>
  <si>
    <t>2016-10-01</t>
  </si>
  <si>
    <t>2016-05-16</t>
  </si>
  <si>
    <t>2021-02-01</t>
  </si>
  <si>
    <t>2021-07-01</t>
  </si>
  <si>
    <t>2022-09-01</t>
  </si>
  <si>
    <t>2021-10-15</t>
  </si>
  <si>
    <t>2021-09-01</t>
  </si>
  <si>
    <t>2022-04-01</t>
  </si>
  <si>
    <t>2021-05-01</t>
  </si>
  <si>
    <t>2019-01-07</t>
  </si>
  <si>
    <t>2017-09-04</t>
  </si>
  <si>
    <t>2015-05-01</t>
  </si>
  <si>
    <t>2015-01-01</t>
  </si>
  <si>
    <t>2017-01-01</t>
  </si>
  <si>
    <t>2016-05-03</t>
  </si>
  <si>
    <t>2017-04-01</t>
  </si>
  <si>
    <t>2015-06-01</t>
  </si>
  <si>
    <t>2019-09-01</t>
  </si>
  <si>
    <t>2021-01-18</t>
  </si>
  <si>
    <t>2019-07-22</t>
  </si>
  <si>
    <t>2015-08-19</t>
  </si>
  <si>
    <t>2020-08-01</t>
  </si>
  <si>
    <t>2019-12-01</t>
  </si>
  <si>
    <t>2019-02-01</t>
  </si>
  <si>
    <t>2020-06-01</t>
  </si>
  <si>
    <t>2019-03-01</t>
  </si>
  <si>
    <t>2015-09-01</t>
  </si>
  <si>
    <t>2018-11-01</t>
  </si>
  <si>
    <t>2017-09-15</t>
  </si>
  <si>
    <t>2018-10-01</t>
  </si>
  <si>
    <t>2016-01-04</t>
  </si>
  <si>
    <t>2022-03-01</t>
  </si>
  <si>
    <t>2015-02-01</t>
  </si>
  <si>
    <t>2021-04-01</t>
  </si>
  <si>
    <t>2015-10-01</t>
  </si>
  <si>
    <t>2022-04-14</t>
  </si>
  <si>
    <t>2017-07-01</t>
  </si>
  <si>
    <t>2018-04-01</t>
  </si>
  <si>
    <t>2019-08-01</t>
  </si>
  <si>
    <t>2016-03-01</t>
  </si>
  <si>
    <t>2016-12-01</t>
  </si>
  <si>
    <t>2018-12-01</t>
  </si>
  <si>
    <t>2019-01-02</t>
  </si>
  <si>
    <t>2018-06-01</t>
  </si>
  <si>
    <t>2022-02-01</t>
  </si>
  <si>
    <t>2015-11-01</t>
  </si>
  <si>
    <t>2016-06-01</t>
  </si>
  <si>
    <t>2018-05-01</t>
  </si>
  <si>
    <t>2022-04-02</t>
  </si>
  <si>
    <t>2019-04-01</t>
  </si>
  <si>
    <t>2019-06-17</t>
  </si>
  <si>
    <t>2021-06-01</t>
  </si>
  <si>
    <t>2020-07-01</t>
  </si>
  <si>
    <t>2018-07-01</t>
  </si>
  <si>
    <t>2017-11-01</t>
  </si>
  <si>
    <t>2020-05-01</t>
  </si>
  <si>
    <t>2021-12-01</t>
  </si>
  <si>
    <t>2018-06-15</t>
  </si>
  <si>
    <t>2020-03-01</t>
  </si>
  <si>
    <t>2020-01-04</t>
  </si>
  <si>
    <t>2015-11-17</t>
  </si>
  <si>
    <t>2016-04-01</t>
  </si>
  <si>
    <t>2021-09-06</t>
  </si>
  <si>
    <t>2015-07-01</t>
  </si>
  <si>
    <t>2016-07-01</t>
  </si>
  <si>
    <t>2015-05-15</t>
  </si>
  <si>
    <t>2019-09-30</t>
  </si>
  <si>
    <t>2023-01-01</t>
  </si>
  <si>
    <t>2018-09-03</t>
  </si>
  <si>
    <t>2021-08-02</t>
  </si>
  <si>
    <t>2018-08-01</t>
  </si>
  <si>
    <t>2017-05-08</t>
  </si>
  <si>
    <t>2015-09-14</t>
  </si>
  <si>
    <t>2024-01-01</t>
  </si>
  <si>
    <t>2023-07-01</t>
  </si>
  <si>
    <t>2024-08-01</t>
  </si>
  <si>
    <t>2025-03-01</t>
  </si>
  <si>
    <t>2024-10-01</t>
  </si>
  <si>
    <t>2024-05-01</t>
  </si>
  <si>
    <t>2024-06-03</t>
  </si>
  <si>
    <t>2024-09-01</t>
  </si>
  <si>
    <t>2025-02-01</t>
  </si>
  <si>
    <t>2025-04-01</t>
  </si>
  <si>
    <t>2023-11-01</t>
  </si>
  <si>
    <t>2022-10-01</t>
  </si>
  <si>
    <t>2023-10-01</t>
  </si>
  <si>
    <t>2023-05-01</t>
  </si>
  <si>
    <t>2022-07-01</t>
  </si>
  <si>
    <t>2023-04-01</t>
  </si>
  <si>
    <t>2024-02-01</t>
  </si>
  <si>
    <t>2024-03-01</t>
  </si>
  <si>
    <t>2024-08-15</t>
  </si>
  <si>
    <t>2023-12-01</t>
  </si>
  <si>
    <t>2023-09-01</t>
  </si>
  <si>
    <t>2024-06-01</t>
  </si>
  <si>
    <t>2024-04-01</t>
  </si>
  <si>
    <t>2023-03-01</t>
  </si>
  <si>
    <t>2022-12-01</t>
  </si>
  <si>
    <t>2023-04-03</t>
  </si>
  <si>
    <t>2023-06-01</t>
  </si>
  <si>
    <t>2023-10-05</t>
  </si>
  <si>
    <t>2023-02-01</t>
  </si>
  <si>
    <t>2022-08-01</t>
  </si>
  <si>
    <t>2023-08-01</t>
  </si>
  <si>
    <t>2013-04-30</t>
  </si>
  <si>
    <t>2011-03-31</t>
  </si>
  <si>
    <t>2017-01-31</t>
  </si>
  <si>
    <t>2015-04-30</t>
  </si>
  <si>
    <t>2012-11-30</t>
  </si>
  <si>
    <t>2013-09-30</t>
  </si>
  <si>
    <t>2019-10-31</t>
  </si>
  <si>
    <t>2018-09-30</t>
  </si>
  <si>
    <t>2019-01-31</t>
  </si>
  <si>
    <t>2013-03-31</t>
  </si>
  <si>
    <t>2015-01-31</t>
  </si>
  <si>
    <t>2014-06-30</t>
  </si>
  <si>
    <t>2016-09-30</t>
  </si>
  <si>
    <t>2012-08-31</t>
  </si>
  <si>
    <t>2013-10-31</t>
  </si>
  <si>
    <t>2013-07-31</t>
  </si>
  <si>
    <t>2015-05-31</t>
  </si>
  <si>
    <t>2012-12-31</t>
  </si>
  <si>
    <t>2016-12-31</t>
  </si>
  <si>
    <t>2015-02-28</t>
  </si>
  <si>
    <t>2014-12-31</t>
  </si>
  <si>
    <t>2012-09-20</t>
  </si>
  <si>
    <t>2013-12-31</t>
  </si>
  <si>
    <t>2013-01-31</t>
  </si>
  <si>
    <t>2017-04-30</t>
  </si>
  <si>
    <t>2017-12-31</t>
  </si>
  <si>
    <t>2011-05-31</t>
  </si>
  <si>
    <t>2012-06-30</t>
  </si>
  <si>
    <t>2011-12-31</t>
  </si>
  <si>
    <t>2014-02-28</t>
  </si>
  <si>
    <t>2013-02-28</t>
  </si>
  <si>
    <t>2011-10-31</t>
  </si>
  <si>
    <t>2012-07-31</t>
  </si>
  <si>
    <t>2014-05-31</t>
  </si>
  <si>
    <t>2012-10-31</t>
  </si>
  <si>
    <t>2016-10-14</t>
  </si>
  <si>
    <t>2017-07-31</t>
  </si>
  <si>
    <t>2019-08-31</t>
  </si>
  <si>
    <t>2014-04-30</t>
  </si>
  <si>
    <t>2015-03-31</t>
  </si>
  <si>
    <t>2018-02-28</t>
  </si>
  <si>
    <t>2015-12-31</t>
  </si>
  <si>
    <t>2014-08-31</t>
  </si>
  <si>
    <t>2011-09-30</t>
  </si>
  <si>
    <t>2017-06-30</t>
  </si>
  <si>
    <t>2013-06-30</t>
  </si>
  <si>
    <t>2016-01-31</t>
  </si>
  <si>
    <t>2016-05-31</t>
  </si>
  <si>
    <t>2017-11-30</t>
  </si>
  <si>
    <t>2012-03-31</t>
  </si>
  <si>
    <t>2015-07-31</t>
  </si>
  <si>
    <t>2017-05-31</t>
  </si>
  <si>
    <t>2014-03-31</t>
  </si>
  <si>
    <t>2012-04-30</t>
  </si>
  <si>
    <t>2014-07-31</t>
  </si>
  <si>
    <t>2015-10-31</t>
  </si>
  <si>
    <t>2012-07-14</t>
  </si>
  <si>
    <t>2014-09-30</t>
  </si>
  <si>
    <t>2016-06-30</t>
  </si>
  <si>
    <t>2017-09-30</t>
  </si>
  <si>
    <t>2015-08-31</t>
  </si>
  <si>
    <t>2012-01-31</t>
  </si>
  <si>
    <t>2010-06-30</t>
  </si>
  <si>
    <t>2018-01-31</t>
  </si>
  <si>
    <t>2015-02-15</t>
  </si>
  <si>
    <t>2014-01-31</t>
  </si>
  <si>
    <t>2013-05-31</t>
  </si>
  <si>
    <t>2016-03-31</t>
  </si>
  <si>
    <t>2018-06-30</t>
  </si>
  <si>
    <t>2012-09-30</t>
  </si>
  <si>
    <t>2017-03-31</t>
  </si>
  <si>
    <t>2011-08-31</t>
  </si>
  <si>
    <t>2011-06-30</t>
  </si>
  <si>
    <t>2018-12-31</t>
  </si>
  <si>
    <t>2017-10-31</t>
  </si>
  <si>
    <t>2012-02-29</t>
  </si>
  <si>
    <t>2020-02-29</t>
  </si>
  <si>
    <t>2021-06-30</t>
  </si>
  <si>
    <t>2022-04-30</t>
  </si>
  <si>
    <t>2026-02-28</t>
  </si>
  <si>
    <t>2019-07-31</t>
  </si>
  <si>
    <t>2023-03-31</t>
  </si>
  <si>
    <t>2018-05-31</t>
  </si>
  <si>
    <t>2023-05-31</t>
  </si>
  <si>
    <t>2026-09-30</t>
  </si>
  <si>
    <t>2021-09-30</t>
  </si>
  <si>
    <t>2024-12-31</t>
  </si>
  <si>
    <t>2023-11-30</t>
  </si>
  <si>
    <t>2021-10-31</t>
  </si>
  <si>
    <t>2025-06-30</t>
  </si>
  <si>
    <t>2024-02-29</t>
  </si>
  <si>
    <t>2025-12-31</t>
  </si>
  <si>
    <t>2022-10-31</t>
  </si>
  <si>
    <t>2023-05-09</t>
  </si>
  <si>
    <t>2023-01-31</t>
  </si>
  <si>
    <t>2022-01-29</t>
  </si>
  <si>
    <t>2020-12-31</t>
  </si>
  <si>
    <t>2023-06-30</t>
  </si>
  <si>
    <t>2023-08-31</t>
  </si>
  <si>
    <t>2025-05-31</t>
  </si>
  <si>
    <t>2024-07-12</t>
  </si>
  <si>
    <t>2022-07-31</t>
  </si>
  <si>
    <t>2022-02-28</t>
  </si>
  <si>
    <t>2023-12-31</t>
  </si>
  <si>
    <t>2020-07-31</t>
  </si>
  <si>
    <t>2024-05-02</t>
  </si>
  <si>
    <t>2023-12-21</t>
  </si>
  <si>
    <t>2020-08-31</t>
  </si>
  <si>
    <t>2019-05-15</t>
  </si>
  <si>
    <t>2024-04-29</t>
  </si>
  <si>
    <t>2025-08-31</t>
  </si>
  <si>
    <t>2025-08-14</t>
  </si>
  <si>
    <t>2024-10-14</t>
  </si>
  <si>
    <t>2025-12-10</t>
  </si>
  <si>
    <t>2024-08-31</t>
  </si>
  <si>
    <t>2025-03-31</t>
  </si>
  <si>
    <t>2024-04-30</t>
  </si>
  <si>
    <t>2022-01-06</t>
  </si>
  <si>
    <t>2020-09-03</t>
  </si>
  <si>
    <t>2022-12-31</t>
  </si>
  <si>
    <t>2023-09-30</t>
  </si>
  <si>
    <t>2024-03-31</t>
  </si>
  <si>
    <t>2019-12-31</t>
  </si>
  <si>
    <t>2023-02-28</t>
  </si>
  <si>
    <t>2020-01-31</t>
  </si>
  <si>
    <t>2023-03-12</t>
  </si>
  <si>
    <t>2021-11-10</t>
  </si>
  <si>
    <t>2017-08-18</t>
  </si>
  <si>
    <t>2022-09-30</t>
  </si>
  <si>
    <t>2024-09-30</t>
  </si>
  <si>
    <t>2021-11-05</t>
  </si>
  <si>
    <t>2024-05-31</t>
  </si>
  <si>
    <t>2021-12-31</t>
  </si>
  <si>
    <t>2018-08-31</t>
  </si>
  <si>
    <t>2018-03-31</t>
  </si>
  <si>
    <t>2020-05-31</t>
  </si>
  <si>
    <t>2023-04-30</t>
  </si>
  <si>
    <t>2023-10-31</t>
  </si>
  <si>
    <t>2025-02-28</t>
  </si>
  <si>
    <t>2023-09-14</t>
  </si>
  <si>
    <t>2019-01-03</t>
  </si>
  <si>
    <t>2018-04-30</t>
  </si>
  <si>
    <t>2024-07-31</t>
  </si>
  <si>
    <t>2025-11-30</t>
  </si>
  <si>
    <t>2021-02-28</t>
  </si>
  <si>
    <t>2022-01-31</t>
  </si>
  <si>
    <t>2025-04-13</t>
  </si>
  <si>
    <t>2021-12-02</t>
  </si>
  <si>
    <t>2021-06-16</t>
  </si>
  <si>
    <t>2025-01-31</t>
  </si>
  <si>
    <t>2025-07-23</t>
  </si>
  <si>
    <t>2022-03-31</t>
  </si>
  <si>
    <t>2022-11-30</t>
  </si>
  <si>
    <t>2024-06-30</t>
  </si>
  <si>
    <t>2019-02-28</t>
  </si>
  <si>
    <t>2024-01-31</t>
  </si>
  <si>
    <t>2025-07-31</t>
  </si>
  <si>
    <t>2019-03-31</t>
  </si>
  <si>
    <t>2022-08-31</t>
  </si>
  <si>
    <t>2021-01-31</t>
  </si>
  <si>
    <t>2021-05-31</t>
  </si>
  <si>
    <t>2019-11-30</t>
  </si>
  <si>
    <t>2023-03-17</t>
  </si>
  <si>
    <t>2022-09-14</t>
  </si>
  <si>
    <t>2026-02-01</t>
  </si>
  <si>
    <t>2021-11-30</t>
  </si>
  <si>
    <t>2019-06-30</t>
  </si>
  <si>
    <t>2022-06-16</t>
  </si>
  <si>
    <t>2019-05-31</t>
  </si>
  <si>
    <t>2024-10-31</t>
  </si>
  <si>
    <t>2027-06-30</t>
  </si>
  <si>
    <t>2026-01-31</t>
  </si>
  <si>
    <t>2023-07-31</t>
  </si>
  <si>
    <t>2025-04-30</t>
  </si>
  <si>
    <t>2026-04-30</t>
  </si>
  <si>
    <t>2025-10-31</t>
  </si>
  <si>
    <t>2020-10-31</t>
  </si>
  <si>
    <t>2025-03-17</t>
  </si>
  <si>
    <t>2025-10-26</t>
  </si>
  <si>
    <t>2020-06-14</t>
  </si>
  <si>
    <t>2026-06-30</t>
  </si>
  <si>
    <t>2027-08-31</t>
  </si>
  <si>
    <t>2024-02-11</t>
  </si>
  <si>
    <t>2023-01-03</t>
  </si>
  <si>
    <t>2018-11-16</t>
  </si>
  <si>
    <t>2026-08-31</t>
  </si>
  <si>
    <t>2025-09-30</t>
  </si>
  <si>
    <t>2024-10-08</t>
  </si>
  <si>
    <t>2026-03-31</t>
  </si>
  <si>
    <t>2019-05-14</t>
  </si>
  <si>
    <t>2021-07-31</t>
  </si>
  <si>
    <t>2020-06-30</t>
  </si>
  <si>
    <t>2022-10-16</t>
  </si>
  <si>
    <t>2021-09-02</t>
  </si>
  <si>
    <t>2023-09-21</t>
  </si>
  <si>
    <t>2024-09-11</t>
  </si>
  <si>
    <t>2021-08-24</t>
  </si>
  <si>
    <t>2021-08-31</t>
  </si>
  <si>
    <t>2020-04-30</t>
  </si>
  <si>
    <t>2023-07-19</t>
  </si>
  <si>
    <t>2020-05-07</t>
  </si>
  <si>
    <t>2028-12-31</t>
  </si>
  <si>
    <t>2027-12-31</t>
  </si>
  <si>
    <t>2027-07-31</t>
  </si>
  <si>
    <t>2028-05-31</t>
  </si>
  <si>
    <t>2027-09-30</t>
  </si>
  <si>
    <t>2027-06-02</t>
  </si>
  <si>
    <t>2027-04-30</t>
  </si>
  <si>
    <t>2028-01-31</t>
  </si>
  <si>
    <t>2028-03-31</t>
  </si>
  <si>
    <t>2028-10-31</t>
  </si>
  <si>
    <t>2028-09-30</t>
  </si>
  <si>
    <t>2029-04-30</t>
  </si>
  <si>
    <t>2028-06-30</t>
  </si>
  <si>
    <t>2029-03-31</t>
  </si>
  <si>
    <t>2029-02-28</t>
  </si>
  <si>
    <t>2027-08-14</t>
  </si>
  <si>
    <t>2026-11-30</t>
  </si>
  <si>
    <t>2026-12-31</t>
  </si>
  <si>
    <t>2027-05-31</t>
  </si>
  <si>
    <t>2027-03-31</t>
  </si>
  <si>
    <t>2027-11-30</t>
  </si>
  <si>
    <t>2028-02-29</t>
  </si>
  <si>
    <t>2027-10-31</t>
  </si>
  <si>
    <t>2026-04-02</t>
  </si>
  <si>
    <t>2026-05-31</t>
  </si>
  <si>
    <t>2029-08-31</t>
  </si>
  <si>
    <t>2027-02-28</t>
  </si>
  <si>
    <t>2025-11-13</t>
  </si>
  <si>
    <t>2026-10-31</t>
  </si>
  <si>
    <t>2026-10-04</t>
  </si>
  <si>
    <t>2027-01-31</t>
  </si>
  <si>
    <t>2026-07-31</t>
  </si>
  <si>
    <t>2028-04-30</t>
  </si>
  <si>
    <t>CA</t>
  </si>
  <si>
    <t>NZ</t>
  </si>
  <si>
    <t>PG</t>
  </si>
  <si>
    <t>FJ</t>
  </si>
  <si>
    <t>VU</t>
  </si>
  <si>
    <t>WS</t>
  </si>
  <si>
    <t>MH</t>
  </si>
  <si>
    <t>SB</t>
  </si>
  <si>
    <t>Canada</t>
  </si>
  <si>
    <t>New Zealand</t>
  </si>
  <si>
    <t>Papua New Guinea</t>
  </si>
  <si>
    <t>Fiji</t>
  </si>
  <si>
    <t>Vanuatu</t>
  </si>
  <si>
    <t>Samoa</t>
  </si>
  <si>
    <t>Marshall Islands</t>
  </si>
  <si>
    <t>Solomon Islands</t>
  </si>
  <si>
    <t>THE UNIVERSITY OF WESTERN ONTARIO</t>
  </si>
  <si>
    <t>UNIVERSITE LAVAL</t>
  </si>
  <si>
    <t>NATIONAL  RESEARCH COUNCIL CANADA</t>
  </si>
  <si>
    <t>AUCKLAND UNIVERSITY OF TECHNOLOGY</t>
  </si>
  <si>
    <t>THE GOVERNORS OF THE UNIVERSITY OF ALBERTA</t>
  </si>
  <si>
    <t>MEMORIAL UNIVERSITY OF NEWFOUNDLAND</t>
  </si>
  <si>
    <t>TESSONICS INC CORP</t>
  </si>
  <si>
    <t>UNIVERSITE DE MONTREAL</t>
  </si>
  <si>
    <t>UNIVERSITE DU QUEBEC A MONTREAL*UQAM</t>
  </si>
  <si>
    <t>UNIVERSITY OF OTAGO</t>
  </si>
  <si>
    <t>UNIVERSITE DU QUEBEC A RIMOUSKI</t>
  </si>
  <si>
    <t>University of Calgary</t>
  </si>
  <si>
    <t>ENGINEERING SEISMOLOGY GROUP CANADA INC.</t>
  </si>
  <si>
    <t>Royal Society of New Zealand</t>
  </si>
  <si>
    <t>UNIVERSITY OF CANTERBURY</t>
  </si>
  <si>
    <t>FOUNDATION FOR RESEARCH SCIENCE AND TECHNOLOGY</t>
  </si>
  <si>
    <t>Ministry of Business, Innovation &amp; Employment</t>
  </si>
  <si>
    <t>Atomic Energy of Canada Limited</t>
  </si>
  <si>
    <t>SOCIAL SCIENCES AND HUMANITIES RESEARCH COUNCIL</t>
  </si>
  <si>
    <t>International Commerce Associates</t>
  </si>
  <si>
    <t>Peter L. Eggleton</t>
  </si>
  <si>
    <t>Public Knowledge Canada/Savoir Public Canada</t>
  </si>
  <si>
    <t>CANADA FOUNDATION FOR INNOVATION</t>
  </si>
  <si>
    <t>University of Papua New Guinea</t>
  </si>
  <si>
    <t>MINISTRY OF RESEARCH, SCIENCE AND TECHNOLOGY</t>
  </si>
  <si>
    <t>UNIVERSITY OF THE SOUTH PACIFIC</t>
  </si>
  <si>
    <t>Euro Research Support Limited</t>
  </si>
  <si>
    <t>THE UNIVERSITY OF AUCKLAND</t>
  </si>
  <si>
    <t>BRITISH COLUMBIA TRANSIT</t>
  </si>
  <si>
    <t>Jewish General Hospital</t>
  </si>
  <si>
    <t>LINCOLN UNIVERSITY</t>
  </si>
  <si>
    <t>CANADIAN NUCLEAR SAFETY COMMISSION</t>
  </si>
  <si>
    <t>Agriculture and Agri-Food Canada</t>
  </si>
  <si>
    <t>VANUATU NATIONAL CULTURAL COUNCIL</t>
  </si>
  <si>
    <t>LANDCARE RESEARCH NEW ZEALAND LTD</t>
  </si>
  <si>
    <t>NATIONAL UNIVERSITY OF SAMOA</t>
  </si>
  <si>
    <t>APOTEX INC CORPORATION</t>
  </si>
  <si>
    <t>APO-PHARMA INC CORP</t>
  </si>
  <si>
    <t>TORONTO METROPOLITAN UNIVERSITY</t>
  </si>
  <si>
    <t>AMORFIX LIFE SCIENCES LTD</t>
  </si>
  <si>
    <t>Queen's University at Kingston</t>
  </si>
  <si>
    <t>UNIVERSITE DE SHERBROOKE</t>
  </si>
  <si>
    <t>INSTITUT NATIONAL DE LA RECHERCHE SCIENTIFIQUE</t>
  </si>
  <si>
    <t>HYDRO-QUEBEC</t>
  </si>
  <si>
    <t>Alberta Innovates - Technology Futures</t>
  </si>
  <si>
    <t>HEALTH CANADA</t>
  </si>
  <si>
    <t>HAMILTON HEALTH SCIENCES CORPORATION</t>
  </si>
  <si>
    <t>NAVIOS SHIPMANAGEMENT INC</t>
  </si>
  <si>
    <t>UNIVERSITY OF BRITISH COLUMBIA</t>
  </si>
  <si>
    <t>UNIVERSITY OF GUELPH</t>
  </si>
  <si>
    <t>UNIVERSITY OF SASKATCHEWAN</t>
  </si>
  <si>
    <t>CARLETON UNIVERSITY</t>
  </si>
  <si>
    <t>COMMUNICATIONS RESEARCH CENTRE</t>
  </si>
  <si>
    <t>ROYAL INSTITUTION FOR THE ADVANCEMENT OF LEARNING MCGILL UNIVERSITY</t>
  </si>
  <si>
    <t>YORK UNIVERSITY</t>
  </si>
  <si>
    <t>THE PUBLIC POLICY FORUM</t>
  </si>
  <si>
    <t>Department of Foreign Affairs and International Trade Canada</t>
  </si>
  <si>
    <t>ASSOCIATION OF UNIVERSITIES AND COLLEGES OF CANADA</t>
  </si>
  <si>
    <t>CANADIAN INSTITUTES OF HEALTH RESEARCH</t>
  </si>
  <si>
    <t>OCTANE BIOTECH INC</t>
  </si>
  <si>
    <t>K.A.B.S. LABORATORIES INC. - KABS</t>
  </si>
  <si>
    <t>Mount Sinai Hospital</t>
  </si>
  <si>
    <t>THE NATIONAL RESEARCH INSTITUTE</t>
  </si>
  <si>
    <t>OTTAWA HOSPITAL RESEARCH INSTITUTE CORPORATION</t>
  </si>
  <si>
    <t>UNIVERSITY OF MANITOBA</t>
  </si>
  <si>
    <t>FONDS DE RECHERCHE DU QUEBEC - SANTE</t>
  </si>
  <si>
    <t>AROHANUI HOSPICE SERVICE TRUST</t>
  </si>
  <si>
    <t>WORLD SMALL ANIMAL VETERINARY ASSOCIATION</t>
  </si>
  <si>
    <t>RESEARCH IN MOTION LIMITED</t>
  </si>
  <si>
    <t>DEPARTMENT OF INDUSTRY</t>
  </si>
  <si>
    <t>AEROSPACE INDUSTRIES ASSOCIATION OF CANADA</t>
  </si>
  <si>
    <t>NATURAL SCIENCES AND ENGINEERING RESEARCH COUNCIL</t>
  </si>
  <si>
    <t>MAYA HEAT TRANSFER TECHNOLOGIES LTD</t>
  </si>
  <si>
    <t>MCMASTER UNIVERSITY</t>
  </si>
  <si>
    <t>PAPUA NEW GUINEA INSTITUTE OF MEDICAL RESEARCH - PNGIMR</t>
  </si>
  <si>
    <t>INSTITUTE OF ENVIRONMENTAL SCIENCE AND RESEARCH LIMITED</t>
  </si>
  <si>
    <t>The Hospital for Sick Children</t>
  </si>
  <si>
    <t>University of Lethbridge</t>
  </si>
  <si>
    <t>CTT Group</t>
  </si>
  <si>
    <t>CANADIAN MICROELECTRONICS CORPORATION</t>
  </si>
  <si>
    <t>THE BLOOM CENTRE FOR SUSTAINABILITY TECHNOLOGY CORPORATION</t>
  </si>
  <si>
    <t>AGRESEARCH LIMITED</t>
  </si>
  <si>
    <t>Toronto Centre for Phenogenomics Inc.</t>
  </si>
  <si>
    <t>MPB COMMUNICATIONS INC</t>
  </si>
  <si>
    <t>CENTRE HOSPITALIER UNIVERSITAIRE SAINTE-JUSTINE</t>
  </si>
  <si>
    <t>THE NEW ZEALAND INSTITUTE FOR PLANT AND FOOD RESEARCH LIMITED</t>
  </si>
  <si>
    <t>The Centre for International Governance Innovation</t>
  </si>
  <si>
    <t>WIBICOM INC</t>
  </si>
  <si>
    <t>UNIVERSITY OF WATERLOO</t>
  </si>
  <si>
    <t>Athabasca University</t>
  </si>
  <si>
    <t>ONTARIO COLLEGE OF ART AND DESIGN UNIVERSITY</t>
  </si>
  <si>
    <t>University of Regina</t>
  </si>
  <si>
    <t>ECOLE DE TECHNOLOGIE SUPERIEURE</t>
  </si>
  <si>
    <t>MANITOBA AGRI-HEALTH RESEARCH NETWORK INC CORP</t>
  </si>
  <si>
    <t>UNIVERSITY OF OTTAWA</t>
  </si>
  <si>
    <t>NU ECHO INC SOCIETE PAR ACTIONS</t>
  </si>
  <si>
    <t>ERICSSON CANADA INC</t>
  </si>
  <si>
    <t>The Research Institute of the Mc Gill University Health Centre</t>
  </si>
  <si>
    <t>DALHOUSIE UNIVERSITY</t>
  </si>
  <si>
    <t>FISHERIES AND OCEANS CANADA</t>
  </si>
  <si>
    <t>ENVIRONMENT CANADA</t>
  </si>
  <si>
    <t>CO2 SOLUTIONS INC FOR PROFIT CORPORATION</t>
  </si>
  <si>
    <t>Simon Fraser University</t>
  </si>
  <si>
    <t>Trent University</t>
  </si>
  <si>
    <t>STEMCELL Technologies Inc.</t>
  </si>
  <si>
    <t>SUNWELL TECHNOLOGIES INC</t>
  </si>
  <si>
    <t>THALES RAIL SIGNALLING SOLUTIONS INC</t>
  </si>
  <si>
    <t>THALES CANADA INC</t>
  </si>
  <si>
    <t>BINKZ INCORPORATED</t>
  </si>
  <si>
    <t>IGNIS PHOTONYX INC</t>
  </si>
  <si>
    <t>UNIVERSITY OF WAIKATO</t>
  </si>
  <si>
    <t>C-CORE</t>
  </si>
  <si>
    <t>HICKLING ARTHURS LOW CORPORATION</t>
  </si>
  <si>
    <t>ST. MICHAEL'S HOSPITAL ASSOCIATION</t>
  </si>
  <si>
    <t>MASSEY UNIVERSITY</t>
  </si>
  <si>
    <t>INSTITUTES DE RECHERCHES CLINIQUES DE MONTREAL</t>
  </si>
  <si>
    <t>NATIONAL INSTITUTE OF WATER AND ATMOSPHERIC RESEARCH</t>
  </si>
  <si>
    <t>Ontario Institute for Cancer Research</t>
  </si>
  <si>
    <t>PUBLIC POPULATION PROJECT IN GENOMICS</t>
  </si>
  <si>
    <t>WORLD WILDLIFE FUND CANADA CORPORATION</t>
  </si>
  <si>
    <t>THE ARTIC INSTITUTE OF NORTH AMERICA</t>
  </si>
  <si>
    <t>ACTION GROUP ON EROSION TECHNOLOGY AND CONCENTRATION CORPORATION</t>
  </si>
  <si>
    <t>THE RESEARCH TRUST OF VICTORIA UNIVERSITY OF WELLINGTON</t>
  </si>
  <si>
    <t>THE GOVERNING COUNCIL OF THE UNIVERSITY OF TORONTO</t>
  </si>
  <si>
    <t>Carole Glynn European Consultant</t>
  </si>
  <si>
    <t>CENTRE INTEGRE UNIVERSITAIRE DE SANTE ET DE SERVICES SOCIAUX DU CENTRE-SUD-DE-L ILE-DE-MONTREAL</t>
  </si>
  <si>
    <t>CALLAGHAN INNOVATION RESEARCH LIMITED</t>
  </si>
  <si>
    <t>CMC ELECTRONICS INC.</t>
  </si>
  <si>
    <t>GENOME CANADA</t>
  </si>
  <si>
    <t>HEALTH RESEARCH COUNCIL OF NEW ZEALAND</t>
  </si>
  <si>
    <t>MARITIME NEW ZEALAND</t>
  </si>
  <si>
    <t>NEW ZEALAND FOREST RESEARCH INSTITUTE LIMITED</t>
  </si>
  <si>
    <t>CENTRE CANADIEN D ARCHITECTURE</t>
  </si>
  <si>
    <t>PERIMETER INSTITUTE</t>
  </si>
  <si>
    <t>TRIUMF</t>
  </si>
  <si>
    <t>Saint Mary's University</t>
  </si>
  <si>
    <t>CONCORDIA UNIVERSITY</t>
  </si>
  <si>
    <t>BROCK UNIVERSITY</t>
  </si>
  <si>
    <t>CORPORATION DE L ECOLE POLYTECHNIQUE DE MONTREAL ASSOCIATION</t>
  </si>
  <si>
    <t>RX NETWORKS INC.</t>
  </si>
  <si>
    <t>UNIVERSITY OF NEW BRUNSWICK</t>
  </si>
  <si>
    <t>ADVANIS INC</t>
  </si>
  <si>
    <t>BOMBARDIER INC.</t>
  </si>
  <si>
    <t>NAVBLUE INC</t>
  </si>
  <si>
    <t>ADMINISTRATION PORTUAIRE DE MONTREAL</t>
  </si>
  <si>
    <t>UNIVERSITY OF VICTORIA</t>
  </si>
  <si>
    <t>Department of Natural Ressources Canada</t>
  </si>
  <si>
    <t>Fujifilrm Visualsonics</t>
  </si>
  <si>
    <t>ELLISDON CORPORATION</t>
  </si>
  <si>
    <t>Voleo, Inc.</t>
  </si>
  <si>
    <t>United nations University Institute for water, Environment and Health</t>
  </si>
  <si>
    <t>VANUATU AGRICULTURAL RESEARCH AND TECHNICAL CENTRE</t>
  </si>
  <si>
    <t>MINISTRY OF EDUCATION AND TRAINING</t>
  </si>
  <si>
    <t>SOLOMON ISLANDS NATIONAL UNIVERSITY</t>
  </si>
  <si>
    <t>CANADIAN NUCLEAR LABORATORIES LTD</t>
  </si>
  <si>
    <t>Syft Ltd.</t>
  </si>
  <si>
    <t>POLE DE RECHERCHE ET D'INNOVATION EN MATERIAUX AVANCES AU QUEBEC (PRIMA QUEBEC)</t>
  </si>
  <si>
    <t>NOVATEL INC</t>
  </si>
  <si>
    <t>CEMI SERVICES LIMITED</t>
  </si>
  <si>
    <t>ELECTRONIQUE ORGANIQUE BRILLIANT MATTERS INC</t>
  </si>
  <si>
    <t>CAPITAL-EXECUTIVE SHIP MANAGEMENT CORP</t>
  </si>
  <si>
    <t>The Fields Institute for Research in Mathematical Sciences</t>
  </si>
  <si>
    <t>LAKEHEAD UNIVERSITY</t>
  </si>
  <si>
    <t>CIHI- Canadian Institute for Health Information</t>
  </si>
  <si>
    <t>IHPME- University of Toronto Institute of Health Policy, Management &amp; Evaluation</t>
  </si>
  <si>
    <t>ANSYS CANADA LTD</t>
  </si>
  <si>
    <t>UNIVERSITY OF ONTARIO INSTITUTE OF TECHNOLOGY</t>
  </si>
  <si>
    <t>GREENCOAST MEDIA INC</t>
  </si>
  <si>
    <t>ABACUSBIO LIMITED</t>
  </si>
  <si>
    <t>ECOLOGY ACTION CENTRE</t>
  </si>
  <si>
    <t>COUNCIL OF CANADIAN ACADEMIES</t>
  </si>
  <si>
    <t>MILA INSTITUT QUEBECOIS D INTELLIGENCE ARTIFICIELLE</t>
  </si>
  <si>
    <t>NAV CANADA</t>
  </si>
  <si>
    <t>SEARIDGE TECHNOLOGIES INC.</t>
  </si>
  <si>
    <t>CLOUD DIAGNOSTICS CANADA ULC</t>
  </si>
  <si>
    <t>CENTRE HOSPITALIER DE L'UNIVERSITEDE MONTREAL</t>
  </si>
  <si>
    <t>CANADIAN FOOD INSPECTION AGENCY</t>
  </si>
  <si>
    <t>SERNOVA CORP.</t>
  </si>
  <si>
    <t>University British Columbia</t>
  </si>
  <si>
    <t>TROJAN TECHNOLOGIES</t>
  </si>
  <si>
    <t>STILLWATER CANADA INC</t>
  </si>
  <si>
    <t>GENERATION PGM INC.</t>
  </si>
  <si>
    <t>CANADIAN MUSEUM OF NATURE</t>
  </si>
  <si>
    <t>CANADIAN SPACE AGENCY</t>
  </si>
  <si>
    <t>Department of Fisheries and Oceans</t>
  </si>
  <si>
    <t>Nova Scotia Community College</t>
  </si>
  <si>
    <t>Nuclear Waste Management Organization</t>
  </si>
  <si>
    <t>MEOPAR INCORPORATED</t>
  </si>
  <si>
    <t>INNOVATIONS FOR SUSTAINABILITY TRANSITIONS LAB LTD</t>
  </si>
  <si>
    <t>IODINE GLOBAL NETWORK</t>
  </si>
  <si>
    <t>TRINITY WESTERN UNIVERSITY</t>
  </si>
  <si>
    <t>Cell Scale</t>
  </si>
  <si>
    <t>GEOSCIENTISTS CANADA</t>
  </si>
  <si>
    <t>INSTITUTE OF GEOLOGICAL AND NUCLEAR SCIENCES LIMITED</t>
  </si>
  <si>
    <t>MOUNT ALLISON UNIVERSITY</t>
  </si>
  <si>
    <t>RADIATA PINE BREEDING COMPANY LIMITED</t>
  </si>
  <si>
    <t>OCEAN NETWORKS CANADA</t>
  </si>
  <si>
    <t>AB Sciex Pte. Ltd</t>
  </si>
  <si>
    <t>WATERLOO MAPLE INCORPORATED</t>
  </si>
  <si>
    <t>SEMIOSBIO TECHNOLOGIES INC</t>
  </si>
  <si>
    <t>ONTARIO MINISTRY OF ENVIRONMENT AND CLIMATE CHANGE</t>
  </si>
  <si>
    <t>HEALTH TECHNOLOGY ASSESSMENT INTERNATIONAL SOCIETY</t>
  </si>
  <si>
    <t>CHURCHILL RESEARCH CENTRE INC.</t>
  </si>
  <si>
    <t>STATION UAPISHKA S.E.N.C.</t>
  </si>
  <si>
    <t>AURORA COLLEGE</t>
  </si>
  <si>
    <t>CANADIAN HIGH ARCTIC RESEARCH STATION</t>
  </si>
  <si>
    <t>AGENCE UNIVERSITAIRE DE LA FRANCOPHONIE</t>
  </si>
  <si>
    <t>Organization of World Heritage Cities</t>
  </si>
  <si>
    <t>CENTRE INTEGRE UNIVERSITAIRE DE SANTE ET DE SERVICES SOCIAUX DE L ESTRIE-CENTRE HOSPITALIER UNIVERSITAIRE DE SHERBROOKE</t>
  </si>
  <si>
    <t>CENTRE FOR ADDICTION AND MENTAL HEALTH</t>
  </si>
  <si>
    <t>UNIVERSITY HEALTH NETWORK</t>
  </si>
  <si>
    <t>British Columbia Cancer Agency Branch</t>
  </si>
  <si>
    <t>WILFRID LAURIER UNIVERSITY</t>
  </si>
  <si>
    <t>BALLARD POWER SYSTEMS INC</t>
  </si>
  <si>
    <t>FEDERATION FOR INTERNATIONAL REFRACTORY RESEARCH AND EDUCATION</t>
  </si>
  <si>
    <t>Amila De Silva</t>
  </si>
  <si>
    <t>Fisheries and Oceans Canada</t>
  </si>
  <si>
    <t>Cult Food Science</t>
  </si>
  <si>
    <t>Mitacs Inc</t>
  </si>
  <si>
    <t>TECK IRELAND LTD</t>
  </si>
  <si>
    <t>INTERNATIONAL FEDERATION OF AIR TRAFFIC CONTROLLERS ASSOCIATIONS</t>
  </si>
  <si>
    <t>ESMIA CONSULTANTS INC.</t>
  </si>
  <si>
    <t>SEANERGY SHIPMANAGEMENT CORP</t>
  </si>
  <si>
    <t>Traffic Injury Research Foundation of Canada</t>
  </si>
  <si>
    <t>BHP Canada Inc.</t>
  </si>
  <si>
    <t>The Forum of Federations</t>
  </si>
  <si>
    <t>International Federation on Ageing</t>
  </si>
  <si>
    <t>International Barcode of Life Consortium</t>
  </si>
  <si>
    <t>University of British Columbia - Okanagan</t>
  </si>
  <si>
    <t>INTERNATIONAL INSTITUTE FOR SUSTAINABLE DEVELOPMENT - INSTITUT INTERNATIONAL DU DEVELOPPEMENT DURABLE</t>
  </si>
  <si>
    <t>La Coop Carbone</t>
  </si>
  <si>
    <t>University Network of Excellence in Nuclear Engineering</t>
  </si>
  <si>
    <t>McGill School of Biomedical Sciences</t>
  </si>
  <si>
    <t>UN Women Papua New Guinea Country Office</t>
  </si>
  <si>
    <t>Thompson Rivers University</t>
  </si>
  <si>
    <t>SNOLAB</t>
  </si>
  <si>
    <t>UNIVERSITE DU QUEBEC EN OUTAOUAIS</t>
  </si>
  <si>
    <t>3DBioFibR Inc.</t>
  </si>
  <si>
    <t>TONKIN &amp; TAYLOR INTERNATIONAL LIMITED</t>
  </si>
  <si>
    <t>The Humber College Institute of Technology and Advanced Learning</t>
  </si>
  <si>
    <t>The Sheridan College Institute of Technology and Advanced Learning</t>
  </si>
  <si>
    <t>George Brown College of Applied Arts and Technology</t>
  </si>
  <si>
    <t>LINCOLN AGRITECH LIMITED</t>
  </si>
  <si>
    <t>AGT Food and Ingredients</t>
  </si>
  <si>
    <t>CHILDREN'S HOSPITAL OF EASTERN ONTARIO RESEARCH INSTITUTE INC</t>
  </si>
  <si>
    <t>UWO</t>
  </si>
  <si>
    <t>NRC</t>
  </si>
  <si>
    <t>AUT</t>
  </si>
  <si>
    <t>UNIVERSITY OF ALBERTA</t>
  </si>
  <si>
    <t>TESSONICS</t>
  </si>
  <si>
    <t>UDEM</t>
  </si>
  <si>
    <t>UQAM</t>
  </si>
  <si>
    <t>UQAR</t>
  </si>
  <si>
    <t>UNICALGARY</t>
  </si>
  <si>
    <t>ESG</t>
  </si>
  <si>
    <t>RSNZ</t>
  </si>
  <si>
    <t>FRST</t>
  </si>
  <si>
    <t>MBIE</t>
  </si>
  <si>
    <t>AECL</t>
  </si>
  <si>
    <t>SSHRC</t>
  </si>
  <si>
    <t>ICA</t>
  </si>
  <si>
    <t>Telligence</t>
  </si>
  <si>
    <t>PKC</t>
  </si>
  <si>
    <t>CFI</t>
  </si>
  <si>
    <t>MoRST</t>
  </si>
  <si>
    <t>USP</t>
  </si>
  <si>
    <t>ERSL</t>
  </si>
  <si>
    <t>UOA</t>
  </si>
  <si>
    <t>BCT</t>
  </si>
  <si>
    <t>JGH</t>
  </si>
  <si>
    <t>AAFC</t>
  </si>
  <si>
    <t>VKS</t>
  </si>
  <si>
    <t>LANDCARE RESEARCH</t>
  </si>
  <si>
    <t>NUS</t>
  </si>
  <si>
    <t>APOTEX</t>
  </si>
  <si>
    <t>APOPHARMA</t>
  </si>
  <si>
    <t>Amorfix Life Science</t>
  </si>
  <si>
    <t>INRS</t>
  </si>
  <si>
    <t>AITF</t>
  </si>
  <si>
    <t>HHS</t>
  </si>
  <si>
    <t>NAVIOS</t>
  </si>
  <si>
    <t>UBC</t>
  </si>
  <si>
    <t>USASK</t>
  </si>
  <si>
    <t>CRC</t>
  </si>
  <si>
    <t>McGill University</t>
  </si>
  <si>
    <t>YORKU</t>
  </si>
  <si>
    <t>PPF</t>
  </si>
  <si>
    <t>DFATD</t>
  </si>
  <si>
    <t>AUCC</t>
  </si>
  <si>
    <t>CIHR</t>
  </si>
  <si>
    <t>Octane</t>
  </si>
  <si>
    <t>K.A.B.S.</t>
  </si>
  <si>
    <t>MSH</t>
  </si>
  <si>
    <t>NRI</t>
  </si>
  <si>
    <t>OHRI</t>
  </si>
  <si>
    <t>FONDS DE LA RECHERCHEEN SANTE DU QUEBEC</t>
  </si>
  <si>
    <t>AH</t>
  </si>
  <si>
    <t>WSAVA</t>
  </si>
  <si>
    <t>RIM</t>
  </si>
  <si>
    <t>IC</t>
  </si>
  <si>
    <t>AIAC</t>
  </si>
  <si>
    <t>NSERC CRSN</t>
  </si>
  <si>
    <t>MAYA</t>
  </si>
  <si>
    <t>PNG IMR</t>
  </si>
  <si>
    <t>ESR</t>
  </si>
  <si>
    <t>SickKids</t>
  </si>
  <si>
    <t>ULeth</t>
  </si>
  <si>
    <t>CTTG</t>
  </si>
  <si>
    <t>CMC</t>
  </si>
  <si>
    <t>BLOOM</t>
  </si>
  <si>
    <t>TCP Inc.</t>
  </si>
  <si>
    <t>MPB</t>
  </si>
  <si>
    <t>CHU</t>
  </si>
  <si>
    <t>CIGI</t>
  </si>
  <si>
    <t>WIB</t>
  </si>
  <si>
    <t>AU</t>
  </si>
  <si>
    <t>OCAD UNIVERSITY</t>
  </si>
  <si>
    <t>URegina</t>
  </si>
  <si>
    <t>ETS</t>
  </si>
  <si>
    <t>MAHRN</t>
  </si>
  <si>
    <t>uOttawa</t>
  </si>
  <si>
    <t>Nu Echo</t>
  </si>
  <si>
    <t>EMC</t>
  </si>
  <si>
    <t>RI MUHC</t>
  </si>
  <si>
    <t>DFO</t>
  </si>
  <si>
    <t>EC</t>
  </si>
  <si>
    <t>CO2SOL</t>
  </si>
  <si>
    <t>SFU</t>
  </si>
  <si>
    <t>TRENT</t>
  </si>
  <si>
    <t>STEMCELL</t>
  </si>
  <si>
    <t>SUN</t>
  </si>
  <si>
    <t>Thales RSS</t>
  </si>
  <si>
    <t>BINKZ</t>
  </si>
  <si>
    <t>IGNIS CA</t>
  </si>
  <si>
    <t>HAL</t>
  </si>
  <si>
    <t>SMH</t>
  </si>
  <si>
    <t>Massey</t>
  </si>
  <si>
    <t>IRCM</t>
  </si>
  <si>
    <t>NIWA</t>
  </si>
  <si>
    <t>P3G</t>
  </si>
  <si>
    <t>WWF</t>
  </si>
  <si>
    <t>AINA</t>
  </si>
  <si>
    <t>etcGroup</t>
  </si>
  <si>
    <t>RTV</t>
  </si>
  <si>
    <t>UNIVERSITY OF TORONTO</t>
  </si>
  <si>
    <t>CGC</t>
  </si>
  <si>
    <t>Genome Canada</t>
  </si>
  <si>
    <t>HRC</t>
  </si>
  <si>
    <t>SCION</t>
  </si>
  <si>
    <t>CANADIAN CENTRE FOR ARCHITECTURE</t>
  </si>
  <si>
    <t>PI</t>
  </si>
  <si>
    <t>SAINT MARYS UNIVERSITY</t>
  </si>
  <si>
    <t>EPM</t>
  </si>
  <si>
    <t>UNB</t>
  </si>
  <si>
    <t>Advanis Inc.</t>
  </si>
  <si>
    <t>MONTREAL PORT AUTHORITY</t>
  </si>
  <si>
    <t>UVIC</t>
  </si>
  <si>
    <t>CanmetENERGY / Natural Resources Canada</t>
  </si>
  <si>
    <t>Voleo</t>
  </si>
  <si>
    <t>UNU-INWEH</t>
  </si>
  <si>
    <t>VARTC</t>
  </si>
  <si>
    <t>CEMI</t>
  </si>
  <si>
    <t>Brilliant Matters</t>
  </si>
  <si>
    <t>CAPITAL EXECUTIVE</t>
  </si>
  <si>
    <t>not applicable</t>
  </si>
  <si>
    <t>ANSYS</t>
  </si>
  <si>
    <t>UOIT</t>
  </si>
  <si>
    <t>GCM</t>
  </si>
  <si>
    <t>CONSEIL DES ACADEMIES CANADIENNES</t>
  </si>
  <si>
    <t>CFIA</t>
  </si>
  <si>
    <t>MUSEE CANADIEN DE LA NATURE</t>
  </si>
  <si>
    <t>AGENCE SPATIALE CANADIENNE</t>
  </si>
  <si>
    <t>MEOPAR Incorporated</t>
  </si>
  <si>
    <t>Innolab Space</t>
  </si>
  <si>
    <t>ICCIDD</t>
  </si>
  <si>
    <t>GEOSCIENTIFIQUES CANADA</t>
  </si>
  <si>
    <t>GNS SCIENCE</t>
  </si>
  <si>
    <t>RPBC</t>
  </si>
  <si>
    <t>ONC</t>
  </si>
  <si>
    <t>SCIEX</t>
  </si>
  <si>
    <t>MAPLESOFT</t>
  </si>
  <si>
    <t>SEMIOS</t>
  </si>
  <si>
    <t>HTAi</t>
  </si>
  <si>
    <t>CHURCHILL NORTHERN STUDIES CENTRE</t>
  </si>
  <si>
    <t>OWHC</t>
  </si>
  <si>
    <t>CAMH</t>
  </si>
  <si>
    <t>BC Cancer Agency</t>
  </si>
  <si>
    <t>FIRRE</t>
  </si>
  <si>
    <t>Environment and Climate Change Canada</t>
  </si>
  <si>
    <t>The Fields Institute</t>
  </si>
  <si>
    <t>IFATCA</t>
  </si>
  <si>
    <t>Traffic Injury Research Foundation</t>
  </si>
  <si>
    <t>BHP</t>
  </si>
  <si>
    <t>iBOL</t>
  </si>
  <si>
    <t>Coop Carbone</t>
  </si>
  <si>
    <t>Faculty of Medicine and Health Sciences, McGill University</t>
  </si>
  <si>
    <t>3DBioFibR</t>
  </si>
  <si>
    <t>Tonkin + Taylor International</t>
  </si>
  <si>
    <t>George Brown College</t>
  </si>
  <si>
    <t>AGT Food and Ingredients R&amp;D Centre</t>
  </si>
  <si>
    <t>INSTITUTDE RECHERCHE DE L HOPITAL POUR ENFANTS DE L EST DE L ONTARIO INC</t>
  </si>
  <si>
    <t>HES</t>
  </si>
  <si>
    <t>REC</t>
  </si>
  <si>
    <t>PRC</t>
  </si>
  <si>
    <t>OTH</t>
  </si>
  <si>
    <t>PUB</t>
  </si>
  <si>
    <t>CP</t>
  </si>
  <si>
    <t>BSG-CSO</t>
  </si>
  <si>
    <t>CP-IP</t>
  </si>
  <si>
    <t>CP-FP</t>
  </si>
  <si>
    <t>ERC-CG</t>
  </si>
  <si>
    <t>ERC-SG</t>
  </si>
  <si>
    <t>ERC-AG</t>
  </si>
  <si>
    <t>MC-IAPP</t>
  </si>
  <si>
    <t>CSA-SA</t>
  </si>
  <si>
    <t>CSA-CA</t>
  </si>
  <si>
    <t>JTI-CP-FCH</t>
  </si>
  <si>
    <t>MC-IOF</t>
  </si>
  <si>
    <t>CP-FP-SICA</t>
  </si>
  <si>
    <t>CP-SICA</t>
  </si>
  <si>
    <t>BSG-SME</t>
  </si>
  <si>
    <t>CSA</t>
  </si>
  <si>
    <t>CP-IP-SICA</t>
  </si>
  <si>
    <t>CP-TP</t>
  </si>
  <si>
    <t>CPCSA</t>
  </si>
  <si>
    <t>NoE</t>
  </si>
  <si>
    <t>CP-CSA-Infra</t>
  </si>
  <si>
    <t>JTI-CP-IMI</t>
  </si>
  <si>
    <t>ERA-NET-Cofund</t>
  </si>
  <si>
    <t>RIA</t>
  </si>
  <si>
    <t>IA</t>
  </si>
  <si>
    <t>ERC-ADG</t>
  </si>
  <si>
    <t>ERC-POC</t>
  </si>
  <si>
    <t>MSCA-IF</t>
  </si>
  <si>
    <t>MSCA-IF-GF</t>
  </si>
  <si>
    <t>MSCA-COFUND</t>
  </si>
  <si>
    <t>MSCA-ITN-EID</t>
  </si>
  <si>
    <t>ERC-COG</t>
  </si>
  <si>
    <t>MSCA-ITN-ETN</t>
  </si>
  <si>
    <t>MSCA-RISE</t>
  </si>
  <si>
    <t>MSCA-COFUND-DP</t>
  </si>
  <si>
    <t>MSCA-ITN</t>
  </si>
  <si>
    <t>ERC-STG</t>
  </si>
  <si>
    <t>SESAR-RIA</t>
  </si>
  <si>
    <t>COFUND-EJP</t>
  </si>
  <si>
    <t>ERC-SyG</t>
  </si>
  <si>
    <t>IMI2-RIA</t>
  </si>
  <si>
    <t>MSCA-ITN-EJD</t>
  </si>
  <si>
    <t>HORIZON-RIA</t>
  </si>
  <si>
    <t>HORIZON-IA</t>
  </si>
  <si>
    <t>HORIZON-TMA-MSCA-SE</t>
  </si>
  <si>
    <t>HORIZON-TMA-MSCA-PF-EF</t>
  </si>
  <si>
    <t>HORIZON-TMA-MSCA-PF-GF</t>
  </si>
  <si>
    <t>HORIZON-TMA-MSCA-Cofund-D</t>
  </si>
  <si>
    <t>ERC-SYG</t>
  </si>
  <si>
    <t>HORIZON-ERC-SYG</t>
  </si>
  <si>
    <t>HORIZON-TMA-MSCA-DN</t>
  </si>
  <si>
    <t>MSCA-PF</t>
  </si>
  <si>
    <t>HORIZON-AG</t>
  </si>
  <si>
    <t>HORIZON-CSA</t>
  </si>
  <si>
    <t>HORIZON-JU-RIA</t>
  </si>
  <si>
    <t>HORIZON-EIC</t>
  </si>
  <si>
    <t>HORIZON-TMA-MSCA-DN-ID</t>
  </si>
  <si>
    <t>EURATOM-CSA</t>
  </si>
  <si>
    <t>HORIZON-AG-UN</t>
  </si>
  <si>
    <t>HORIZON-TMA-MSCA-DN-JD</t>
  </si>
  <si>
    <t>HORIZON-TMA-MSCA-Cofund-P</t>
  </si>
  <si>
    <t>ERC</t>
  </si>
  <si>
    <t>HORIZON-ERC</t>
  </si>
  <si>
    <t>HORIZON-COFUND</t>
  </si>
  <si>
    <t>FP7-ICT-2009-4</t>
  </si>
  <si>
    <t>FP7-SSH-2007-1</t>
  </si>
  <si>
    <t>FP7-AAT-2012-RTD-1</t>
  </si>
  <si>
    <t>FP7-HEALTH-2013-INNOVATION-1</t>
  </si>
  <si>
    <t>FP7-HEALTH-2010-single-stage</t>
  </si>
  <si>
    <t>FP7-SST-2007-RTD-1</t>
  </si>
  <si>
    <t>FP7-NMP-2010-EU-Mexico</t>
  </si>
  <si>
    <t>ERC-2013-CoG</t>
  </si>
  <si>
    <t>ERC-2012-StG_20111124</t>
  </si>
  <si>
    <t>FP7-SPACE-2013-1</t>
  </si>
  <si>
    <t>ERC-2013-ADG</t>
  </si>
  <si>
    <t>FP7-PEOPLE-IAPP-2008</t>
  </si>
  <si>
    <t>FP7-INCO-2009-5</t>
  </si>
  <si>
    <t>FP7-KBBE-2010-4</t>
  </si>
  <si>
    <t>FP7-Fission-2009</t>
  </si>
  <si>
    <t>FP7-SSH-2013-2</t>
  </si>
  <si>
    <t>FP7-INCO-2009-2</t>
  </si>
  <si>
    <t>FP7-INCO-2009-1</t>
  </si>
  <si>
    <t>FP7-ERANET-2011-RTD</t>
  </si>
  <si>
    <t>FCH-JU-2009-1</t>
  </si>
  <si>
    <t>FP7-HEALTH-2012-INNOVATION-1</t>
  </si>
  <si>
    <t>FP7-SPACE-2011-1</t>
  </si>
  <si>
    <t>FP7-KBBE-2008-2B</t>
  </si>
  <si>
    <t>FP7-Fission-2011</t>
  </si>
  <si>
    <t>FP7-INCO-2013-1</t>
  </si>
  <si>
    <t>FP7-ENERGY-2013-1</t>
  </si>
  <si>
    <t>FP7-SSH-2013-1</t>
  </si>
  <si>
    <t>FP7-KBBE-2007-1</t>
  </si>
  <si>
    <t>FP7-PEOPLE-2013-IAPP</t>
  </si>
  <si>
    <t>FP7-NMP-2008-SMALL-2</t>
  </si>
  <si>
    <t>FP7-PEOPLE-2007-4-1-IOF</t>
  </si>
  <si>
    <t>FP7-ENV-2009-1</t>
  </si>
  <si>
    <t>FP7-ENERGY-NMP-2008-1</t>
  </si>
  <si>
    <t>FP7-ENERGY-2010-1</t>
  </si>
  <si>
    <t>FP7-SEC-2012-1</t>
  </si>
  <si>
    <t>FP7-HEALTH-2007-B</t>
  </si>
  <si>
    <t>FP7-SST-2011-RTD-1</t>
  </si>
  <si>
    <t>FP7-ENV-2010</t>
  </si>
  <si>
    <t>FP7-INFRASTRUCTURES-2007-1</t>
  </si>
  <si>
    <t>FP7-SCIENCE-IN-SOCIETY-2010-1</t>
  </si>
  <si>
    <t>FP7-INCO-2013-2</t>
  </si>
  <si>
    <t>FP7-ERANET-2013-RTD</t>
  </si>
  <si>
    <t>FP7-HEALTH-2011-two-stage</t>
  </si>
  <si>
    <t>FP7-SME-2013</t>
  </si>
  <si>
    <t>FP7-SSH-2012-2</t>
  </si>
  <si>
    <t>FP7-HEALTH-2010-two-stage</t>
  </si>
  <si>
    <t>FP7-INFRASTRUCTURES-2009-1</t>
  </si>
  <si>
    <t>FP7-ICT-2009-C</t>
  </si>
  <si>
    <t>FP7-KBBE-2007-2A</t>
  </si>
  <si>
    <t>FP7-PEOPLE-2009-IAPP</t>
  </si>
  <si>
    <t>FP7-ICT-2007-C</t>
  </si>
  <si>
    <t>ERC-2012-ADG_20120216</t>
  </si>
  <si>
    <t>FP7-ICT-2009-5</t>
  </si>
  <si>
    <t>FP7-HEALTH-2007-A</t>
  </si>
  <si>
    <t>FP7-KBBE-2011-5</t>
  </si>
  <si>
    <t>FP7-KBBE-2009-3</t>
  </si>
  <si>
    <t>FP7-NMP-2007-LARGE-1</t>
  </si>
  <si>
    <t>FP7-NMP-2013-SME-7</t>
  </si>
  <si>
    <t>FP7-AAT-2011-RTD-1</t>
  </si>
  <si>
    <t>FP7-AAT-2013-RTD-1</t>
  </si>
  <si>
    <t>FP7-SST-2012-RTD-1</t>
  </si>
  <si>
    <t>FP7-INFRASTRUCTURES-2011-2</t>
  </si>
  <si>
    <t>FP7-ICT-2011-7</t>
  </si>
  <si>
    <t>ERC-2011-ADG_20110310</t>
  </si>
  <si>
    <t>FP7-SPACE-2012-1</t>
  </si>
  <si>
    <t>FP7-ICT-2011-9</t>
  </si>
  <si>
    <t>FP7-NMP-2012-CSA-6</t>
  </si>
  <si>
    <t>FP7-SPACE-2010-1</t>
  </si>
  <si>
    <t>FP7-NMP-2010-LARGE-4</t>
  </si>
  <si>
    <t>FP7-ENV-2008-1</t>
  </si>
  <si>
    <t>FP7-NMP-2012-SMALL-6</t>
  </si>
  <si>
    <t>FP7-INFRASTRUCTURES-2011-1</t>
  </si>
  <si>
    <t>FP7-ICT-2011-C</t>
  </si>
  <si>
    <t>FP7-ICT-2007-1</t>
  </si>
  <si>
    <t>FP7-NMP-2013-SMALL-7</t>
  </si>
  <si>
    <t>FP7-INCO-2012-2</t>
  </si>
  <si>
    <t>FP7-ICT-2007-3</t>
  </si>
  <si>
    <t>FP7-ICT-2013-10</t>
  </si>
  <si>
    <t>FP7-ENERGY-2009-1</t>
  </si>
  <si>
    <t>FP7-HEALTH-2009-two-stage</t>
  </si>
  <si>
    <t>FP7-Fission-2008</t>
  </si>
  <si>
    <t>FP7-ICT-2013-SME-DCA</t>
  </si>
  <si>
    <t>FP7-INFRASTRUCTURES-2008-2</t>
  </si>
  <si>
    <t>FP7-ENV-2012-two-stage</t>
  </si>
  <si>
    <t>FP7-KBBE-2013-7-single-stage</t>
  </si>
  <si>
    <t>FCH-JU-2011-1</t>
  </si>
  <si>
    <t>FP7-INFRASTRUCTURES-2012-1-RTD</t>
  </si>
  <si>
    <t>FP7-ICT-2011-FET-F</t>
  </si>
  <si>
    <t>FP7-ICT-2009-6</t>
  </si>
  <si>
    <t>FP7-SEC-2013-1</t>
  </si>
  <si>
    <t>FP7-ICT-2013-X</t>
  </si>
  <si>
    <t>FP7-SST-2013-RTD-1</t>
  </si>
  <si>
    <t>FP7-2013-NMP-ICT-FOF</t>
  </si>
  <si>
    <t>FP7-ENV-2013-two-stage</t>
  </si>
  <si>
    <t>FP7-ICT-2007-2</t>
  </si>
  <si>
    <t>FP7-KBBE-2012-6-singlestage</t>
  </si>
  <si>
    <t>FP7-SPACE-2007-1</t>
  </si>
  <si>
    <t>FP7-ICT-2013-FET-F</t>
  </si>
  <si>
    <t>FP7-INFRASTRUCTURES-2010-1</t>
  </si>
  <si>
    <t>FP7-HEALTH-2011-single-stage</t>
  </si>
  <si>
    <t>FP7-ICT-2011-8</t>
  </si>
  <si>
    <t>FP7-SCIENCE-IN-SOCIETY-2012-1</t>
  </si>
  <si>
    <t>FP7-AAT-2007-RTD-1</t>
  </si>
  <si>
    <t>ERC-2011-ADG_20110406</t>
  </si>
  <si>
    <t>IMI-JU-11-2013</t>
  </si>
  <si>
    <t>FP7-ICT-2013-C</t>
  </si>
  <si>
    <t>FP7-INCO-2007-2</t>
  </si>
  <si>
    <t>H2020-IBA-INFRA-CONF-2019</t>
  </si>
  <si>
    <t>H2020-SC1-DTH-2018-1</t>
  </si>
  <si>
    <t>H2020-SC1-2020-Single-Stage-RTD</t>
  </si>
  <si>
    <t>H2020-Adhoc-2014-20</t>
  </si>
  <si>
    <t>H2020-ICT-2015</t>
  </si>
  <si>
    <t>H2020-CS2-CFP04-2016-02</t>
  </si>
  <si>
    <t>H2020-HCO-2014</t>
  </si>
  <si>
    <t>H2020-ISIB-2015-1</t>
  </si>
  <si>
    <t>H2020-MG-2018-TwoStages</t>
  </si>
  <si>
    <t>ERC-2020-ADG</t>
  </si>
  <si>
    <t>ERC-2014-ADG</t>
  </si>
  <si>
    <t>H2020-SC1-2018-Single-Stage-RTD</t>
  </si>
  <si>
    <t>H2020-SC1-2017-Single-Stage-RTD</t>
  </si>
  <si>
    <t>ERC-2019-PoC</t>
  </si>
  <si>
    <t>ERC-2017-ADG</t>
  </si>
  <si>
    <t>H2020-SEC-2016-2017-2</t>
  </si>
  <si>
    <t>H2020-NMBP-ERA-NET-2016</t>
  </si>
  <si>
    <t>H2020-MSCA-IF-2018</t>
  </si>
  <si>
    <t>H2020-MSCA-IF-2016</t>
  </si>
  <si>
    <t>H2020-MSCA-IF-2017</t>
  </si>
  <si>
    <t>H2020-MSCA-COFUND-2016</t>
  </si>
  <si>
    <t>H2020-MSCA-IF-2019</t>
  </si>
  <si>
    <t>H2020-MSCA-ITN-2017</t>
  </si>
  <si>
    <t>H2020-MSCA-IF-2015</t>
  </si>
  <si>
    <t>H2020-MSCA-IF-2014</t>
  </si>
  <si>
    <t>H2020-MSCA-IF-2020</t>
  </si>
  <si>
    <t>H2020-LC-SC3-2020-NZE-RES-CC</t>
  </si>
  <si>
    <t>ERC-2018-COG</t>
  </si>
  <si>
    <t>H2020-MG-2014_TwoStages</t>
  </si>
  <si>
    <t>H2020-Galileo-2014-1</t>
  </si>
  <si>
    <t>H2020-MSCA-ITN-2016</t>
  </si>
  <si>
    <t>H2020-FETPROACT-2018-01</t>
  </si>
  <si>
    <t>H2020-MSCA-RISE-2017</t>
  </si>
  <si>
    <t>H2020-MSCA-RISE-2018</t>
  </si>
  <si>
    <t>H2020-MSCA-RISE-2014</t>
  </si>
  <si>
    <t>H2020-MSCA-RISE-2015</t>
  </si>
  <si>
    <t>H2020-MSCA-RISE-2016</t>
  </si>
  <si>
    <t>H2020-MG-2020-SingleStage-INEA</t>
  </si>
  <si>
    <t>H2020-SESAR-2019-1</t>
  </si>
  <si>
    <t>H2020-LC-SC3-2020-RES-RIA</t>
  </si>
  <si>
    <t>H2020-MG-2019-TwoStages</t>
  </si>
  <si>
    <t>NFRP-2014-2015</t>
  </si>
  <si>
    <t>H2020-LC-SC3-2019-NZE-RES-CC</t>
  </si>
  <si>
    <t>H2020-SFS-2017-2</t>
  </si>
  <si>
    <t>H2020-MSCA-COFUND-2014</t>
  </si>
  <si>
    <t>H2020-RUR-2019-1</t>
  </si>
  <si>
    <t>H2020-MSCA-ITN-2018</t>
  </si>
  <si>
    <t>H2020-MSCA-ITN-2014</t>
  </si>
  <si>
    <t>H2020-MSCA-RISE-2019</t>
  </si>
  <si>
    <t>H2020-BG-2020-2</t>
  </si>
  <si>
    <t>H2020-SC6-CULT-COOP-2016</t>
  </si>
  <si>
    <t>NFRP-2019-2020</t>
  </si>
  <si>
    <t>H2020-SwafS-2016-1</t>
  </si>
  <si>
    <t>H2020-INFRAIA-2017-1-two-stage</t>
  </si>
  <si>
    <t>H2020-MSCA-ITN-2015</t>
  </si>
  <si>
    <t>H2020-SwafS-2019-1</t>
  </si>
  <si>
    <t>H2020-ICT-2014-1</t>
  </si>
  <si>
    <t>H2020-LC-CLA-2019-2</t>
  </si>
  <si>
    <t>H2020-COMPET-2014</t>
  </si>
  <si>
    <t>NFRP-2018</t>
  </si>
  <si>
    <t>H2020-CS2-CFP06-2017-01</t>
  </si>
  <si>
    <t>H2020-SC5-2020-1</t>
  </si>
  <si>
    <t>H2020-SPACE-EGNSS-2019</t>
  </si>
  <si>
    <t>H2020-ICT-2017-1</t>
  </si>
  <si>
    <t>H2020-JTI-FCH-2019-1</t>
  </si>
  <si>
    <t>ERC-2020-COG</t>
  </si>
  <si>
    <t>ERC-2015-AdG</t>
  </si>
  <si>
    <t>ERC-2018-STG</t>
  </si>
  <si>
    <t>H2020-SC6-MIGRATION-2020</t>
  </si>
  <si>
    <t>H2020-EIC-FETPROACT-2019</t>
  </si>
  <si>
    <t>H2020-FETOPEN-2018-2019-2020-01</t>
  </si>
  <si>
    <t>H2020-SC1-2016-RTD</t>
  </si>
  <si>
    <t>H2020-CS2-CFP10-2019-01</t>
  </si>
  <si>
    <t>H2020-LCCI-2020-EASME-singlestage</t>
  </si>
  <si>
    <t>H2020-NMBP-2016-two-stage</t>
  </si>
  <si>
    <t>H2020-MSCA-RISE-2020</t>
  </si>
  <si>
    <t>H2020-FNR-2020-1</t>
  </si>
  <si>
    <t>H2020-BG-2014-2</t>
  </si>
  <si>
    <t>ERC-2014-STG</t>
  </si>
  <si>
    <t>H2020-BG-2015-2</t>
  </si>
  <si>
    <t>H2020-SESAR-2015-2</t>
  </si>
  <si>
    <t>H2020-SC1-DTH-2020-1</t>
  </si>
  <si>
    <t>H2020-INFRAIA-2018-1</t>
  </si>
  <si>
    <t>H2020-SFS-2018-1</t>
  </si>
  <si>
    <t>H2020-INFRASUPP-2016-1</t>
  </si>
  <si>
    <t>H2020-HCO-2015</t>
  </si>
  <si>
    <t>H2020-PHC-2014-two-stage</t>
  </si>
  <si>
    <t>H2020-PHC-2015-two-stage</t>
  </si>
  <si>
    <t>H2020-SFS-2020-2</t>
  </si>
  <si>
    <t>H2020-WATER-2015-two-stage</t>
  </si>
  <si>
    <t>H2020-SC5-2017-OneStageB</t>
  </si>
  <si>
    <t>H2020-COMPET-2016</t>
  </si>
  <si>
    <t>H2020-LC-GD-2020-1</t>
  </si>
  <si>
    <t>H2020-EURO-SOCIETY-2014</t>
  </si>
  <si>
    <t>H2020-MSCA-COFUND-2015</t>
  </si>
  <si>
    <t>H2020-BG-2018-2</t>
  </si>
  <si>
    <t>H2020-INFRAIA-2020-1</t>
  </si>
  <si>
    <t>ERC-2020-SyG</t>
  </si>
  <si>
    <t>H2020-BG-2016-1</t>
  </si>
  <si>
    <t>H2020-SFS-2018-2</t>
  </si>
  <si>
    <t>H2020-LC-CLA-2020-2</t>
  </si>
  <si>
    <t>H2020-SC6-MIGRATION-2019</t>
  </si>
  <si>
    <t>H2020-LCCI-2020-INEA-singlestage</t>
  </si>
  <si>
    <t>H2020-MG-2019-SingleStage-INEA</t>
  </si>
  <si>
    <t>H2020-LC-CLA-2018-2</t>
  </si>
  <si>
    <t>H2020-SC5-2014-one-stage</t>
  </si>
  <si>
    <t>H2020-MG-2018-SingleStage-INEA</t>
  </si>
  <si>
    <t>H2020-SC5-2018-2</t>
  </si>
  <si>
    <t>H2020-SFS-2014-2</t>
  </si>
  <si>
    <t>H2020-WATER-2015-one-stage</t>
  </si>
  <si>
    <t>H2020-SFS-2019-2</t>
  </si>
  <si>
    <t>H2020-SFS-2019-1</t>
  </si>
  <si>
    <t>H2020-GV-2017</t>
  </si>
  <si>
    <t>H2020-SC1-2018-Two-Stage-RTD</t>
  </si>
  <si>
    <t>ERC-2016-STG</t>
  </si>
  <si>
    <t>H2020-SFS-2015-2</t>
  </si>
  <si>
    <t>H2020-LC-BAT-2019</t>
  </si>
  <si>
    <t>H2020-JTI-IMI2-2020-21-single-stage</t>
  </si>
  <si>
    <t>H2020-BG-2019-2</t>
  </si>
  <si>
    <t>H2020-NMBP-BIO-2017</t>
  </si>
  <si>
    <t>H2020-PHC-2015-single-stage_RTD</t>
  </si>
  <si>
    <t>H2020-LC-SC3-2020-RES-IA-CSA</t>
  </si>
  <si>
    <t>H2020-BG-2017-1</t>
  </si>
  <si>
    <t>H2020-JTI-IMI2-2016-10-two-stage</t>
  </si>
  <si>
    <t>H2020-INFRAIA-2019-1</t>
  </si>
  <si>
    <t>H2020-BG-2019-1</t>
  </si>
  <si>
    <t>ERC-2018-ADG</t>
  </si>
  <si>
    <t>H2020-INFRASUPP-2014-2</t>
  </si>
  <si>
    <t>H2020-LC-GD-2020-4</t>
  </si>
  <si>
    <t>H2020-SFS-2017-1</t>
  </si>
  <si>
    <t>H2020-INFRADEV-2016-1</t>
  </si>
  <si>
    <t>H2020-JTI-IMI2-2019-18-two-stage</t>
  </si>
  <si>
    <t>H2020-JTI-IMI2-2019-17-two-stage</t>
  </si>
  <si>
    <t>H2020-SC1-2019-Two-Stage-RTD</t>
  </si>
  <si>
    <t>H2020-INFRAIA-2016-1</t>
  </si>
  <si>
    <t>HORIZON-CL5-2021-D3-03</t>
  </si>
  <si>
    <t>HORIZON-CL5-2023-D5-01</t>
  </si>
  <si>
    <t>HORIZON-MSCA-2022-SE-01</t>
  </si>
  <si>
    <t>HORIZON-MSCA-2022-PF-01</t>
  </si>
  <si>
    <t>HORIZON-MSCA-2023-PF-01</t>
  </si>
  <si>
    <t>HORIZON-MSCA-2022-COFUND-01</t>
  </si>
  <si>
    <t>HORIZON-CL6-2021-BIODIV-01</t>
  </si>
  <si>
    <t>HORIZON-CL5-2022-D1-02</t>
  </si>
  <si>
    <t>ERC-2022-SYG</t>
  </si>
  <si>
    <t>HORIZON-CL6-2023-ZEROPOLLUTION-01</t>
  </si>
  <si>
    <t>HORIZON-HLTH-2023-ENVHLTH-02</t>
  </si>
  <si>
    <t>HORIZON-CL6-2022-CIRCBIO-02-two-stage</t>
  </si>
  <si>
    <t>HORIZON-CL5-2021-D1-01</t>
  </si>
  <si>
    <t>HORIZON-CL6-2023-CLIMATE-01</t>
  </si>
  <si>
    <t>HORIZON-INFRA-2023-SERV-01</t>
  </si>
  <si>
    <t>HORIZON-CL4-2021-DIGITAL-EMERGING-01</t>
  </si>
  <si>
    <t>HORIZON-CL6-2023-FARM2FORK-01</t>
  </si>
  <si>
    <t>HORIZON-MSCA-2021-SE-01</t>
  </si>
  <si>
    <t>HORIZON-MSCA-2022-DN-01</t>
  </si>
  <si>
    <t>HORIZON-MSCA-2021-PF-01</t>
  </si>
  <si>
    <t>HORIZON-CL6-2021-CLIMATE-01</t>
  </si>
  <si>
    <t>HORIZON-CL5-2023-D1-01</t>
  </si>
  <si>
    <t>HORIZON-CL4-2022-SPACE-01</t>
  </si>
  <si>
    <t>HORIZON-CL4-2021-HUMAN-01</t>
  </si>
  <si>
    <t>HORIZON-CL4-2021-RESILIENCE-01</t>
  </si>
  <si>
    <t>HORIZON-CL4-2023-DIGITAL-EMERGING-01</t>
  </si>
  <si>
    <t>HORIZON-CL2-2022-TRANSFORMATIONS-01</t>
  </si>
  <si>
    <t>HORIZON-CL6-2022-BIODIV-02-two-stage</t>
  </si>
  <si>
    <t>HORIZON-CL5-2021-D5-01</t>
  </si>
  <si>
    <t>HORIZON-CL5-2022-D3-03</t>
  </si>
  <si>
    <t>HORIZON-SESAR-2022-DES-ER-01</t>
  </si>
  <si>
    <t>HORIZON-EIC-2021-PATHFINDEROPEN-01</t>
  </si>
  <si>
    <t>HORIZON-EIC-2022-PATHFINDEROPEN-01</t>
  </si>
  <si>
    <t>HORIZON-CL4-2023-HUMAN-01-CNECT</t>
  </si>
  <si>
    <t>HORIZON-HLTH-2023-TOOL-05</t>
  </si>
  <si>
    <t>HORIZON-EIC-2023-PATHFINDEROPEN-01</t>
  </si>
  <si>
    <t>HORIZON-CL2-2021-DEMOCRACY-01</t>
  </si>
  <si>
    <t>HORIZON-MSCA-2021-DN-01</t>
  </si>
  <si>
    <t>HORIZON-CL6-2022-FARM2FORK-01</t>
  </si>
  <si>
    <t>HORIZON-CL6-2023-CIRCBIO-01</t>
  </si>
  <si>
    <t>HORIZON-EURATOM-2021-NRT-01</t>
  </si>
  <si>
    <t>HORIZON-HLTH-2023-DISEASE-03</t>
  </si>
  <si>
    <t>HORIZON-HLTH-2022-DISEASE-07</t>
  </si>
  <si>
    <t>HORIZON-HLTH-2021-DISEASE-04</t>
  </si>
  <si>
    <t>HORIZON-MSCA-2021-COFUND-01</t>
  </si>
  <si>
    <t>HORIZON-CL6-2022-CIRCBIO-01</t>
  </si>
  <si>
    <t>HORIZON-CL2-2021-TRANSFORMATIONS-01</t>
  </si>
  <si>
    <t>ERC-2021-ADG</t>
  </si>
  <si>
    <t>HORIZON-CL2-2022-DEMOCRACY-01</t>
  </si>
  <si>
    <t>HORIZON-WIDERA-2023-ERA-01</t>
  </si>
  <si>
    <t>HORIZON-INFRA-2022-DEV-01</t>
  </si>
  <si>
    <t>HORIZON-MISS-2023-CANCER-01</t>
  </si>
  <si>
    <t>HORIZON-HLTH-2021-STAYHLTH-01</t>
  </si>
  <si>
    <t>HORIZON-INFRA-2021-SERV-01</t>
  </si>
  <si>
    <t>HORIZON-CL2-2023-TRANSFORMATIONS-01</t>
  </si>
  <si>
    <t>HORIZON-CL2-2023-DEMOCRACY-01</t>
  </si>
  <si>
    <t>HORIZON-WIDERA-2021-ERA-01</t>
  </si>
  <si>
    <t>ERC-2021-COG</t>
  </si>
  <si>
    <t>HORIZON-WIDERA-2021-ACCESS-05</t>
  </si>
  <si>
    <t>HORIZON-WIDERA-2023-ACCESS-03</t>
  </si>
  <si>
    <t>HORIZON-CL6-2023-GOVERNANCE-01</t>
  </si>
  <si>
    <t>HORIZON-EIE-2021-INNOVSMES-01</t>
  </si>
  <si>
    <t>HORIZON-CL2-2023-HERITAGE-01</t>
  </si>
  <si>
    <t>HORIZON-CL6-2021-FARM2FORK-01</t>
  </si>
  <si>
    <t>HORIZON-HLTH-2022-DISEASE-06-two-stage</t>
  </si>
  <si>
    <t>HORIZON-INFRA-2021-EOSC-01</t>
  </si>
  <si>
    <t>participant</t>
  </si>
  <si>
    <t>coordinator</t>
  </si>
  <si>
    <t>internationalPartner</t>
  </si>
  <si>
    <t>partner</t>
  </si>
  <si>
    <t>thirdParty</t>
  </si>
  <si>
    <t>associatedPartner</t>
  </si>
  <si>
    <t>projectCount</t>
  </si>
  <si>
    <t>Framework programmes</t>
  </si>
  <si>
    <t>Total EU funding (€)</t>
  </si>
  <si>
    <t>FP7 projects</t>
  </si>
  <si>
    <t>FP7 funded projects</t>
  </si>
  <si>
    <t>FP7 total funding (€)</t>
  </si>
  <si>
    <t>H2020 projects</t>
  </si>
  <si>
    <t>H2020 funded projects</t>
  </si>
  <si>
    <t>H2020 total funding (€)</t>
  </si>
  <si>
    <t>HEU projects</t>
  </si>
  <si>
    <t>HEU funded projects</t>
  </si>
  <si>
    <t>HEU total funding (€)</t>
  </si>
  <si>
    <t>FP7, H2020, HORIZON</t>
  </si>
  <si>
    <t>FP7, H2020</t>
  </si>
  <si>
    <t>FP7, HORIZON</t>
  </si>
  <si>
    <t>H2020, HORIZON</t>
  </si>
  <si>
    <t>country_ecContribution</t>
  </si>
  <si>
    <t>total_ecContribution</t>
  </si>
  <si>
    <t>Matched countries</t>
  </si>
  <si>
    <t>All countries</t>
  </si>
  <si>
    <t>['CA']</t>
  </si>
  <si>
    <t>['NZ']</t>
  </si>
  <si>
    <t>['CA' 'NZ']</t>
  </si>
  <si>
    <t>['NZ' 'CA']</t>
  </si>
  <si>
    <t>['PG' 'NZ' 'FJ']</t>
  </si>
  <si>
    <t>['PG' 'VU' 'NZ' 'FJ' 'WS']</t>
  </si>
  <si>
    <t>['MH' 'CA']</t>
  </si>
  <si>
    <t>['PG' 'FJ']</t>
  </si>
  <si>
    <t>['PG']</t>
  </si>
  <si>
    <t>['FJ' 'VU' 'SB']</t>
  </si>
  <si>
    <t>['MH']</t>
  </si>
  <si>
    <t>['PG' 'NZ' 'CA']</t>
  </si>
  <si>
    <t>['FJ']</t>
  </si>
  <si>
    <t>['BE' 'AT' 'NL' 'CA' 'DE' 'UK' 'FR' 'IT' 'ES']</t>
  </si>
  <si>
    <t>['BE' 'NL' 'DE' 'UK' 'RS' 'CA' 'FR']</t>
  </si>
  <si>
    <t>['US' 'FR' 'UK' 'NL' 'AU' 'TR' 'CZ' 'DE' 'BE' 'IT' 'RU' 'CA' 'RO' 'ES']</t>
  </si>
  <si>
    <t>['UK' 'NL' 'BE' 'DK' 'FI' 'SK' 'IT' 'FR' 'NO' 'AT' 'US' 'DE' 'CN' 'AU'
 'SE' 'NZ' 'HU']</t>
  </si>
  <si>
    <t>['FR' 'NL' 'DE' 'UK' 'IT' 'CA' 'ES' nan 'IE' 'BE' 'EE' 'SI' 'RO' 'PT' 'FI'
 'NZ' 'SE' 'HR' 'US' 'CH' 'EL' 'BG']</t>
  </si>
  <si>
    <t>['NO' 'UK' 'FR' 'EL' 'CA' 'DE' 'HR' 'NL' 'IT' 'US' 'ES' 'CZ']</t>
  </si>
  <si>
    <t>['PL' 'CA' 'DE' 'MX' 'FR']</t>
  </si>
  <si>
    <t>['CH' 'CA' 'NL']</t>
  </si>
  <si>
    <t>['FR' 'CA']</t>
  </si>
  <si>
    <t>['RU' 'UK' 'NO' 'NZ' 'FR' 'CA']</t>
  </si>
  <si>
    <t>['IN' 'UK' 'CA' 'PL' 'PT' 'DE' 'ES' 'IT' 'FR' 'SE' 'AT' 'NL' 'CZ' 'LU']</t>
  </si>
  <si>
    <t>['CZ' 'SK' 'NO' 'CA' 'ZA' 'FR' 'IT' 'DE' 'EL' 'NL' 'AT' 'SE' 'PT']</t>
  </si>
  <si>
    <t>['NZ' 'DE' 'FR']</t>
  </si>
  <si>
    <t>['MX' 'FR' 'IN' 'DE' 'ET' 'ES' 'UK' 'NL' 'NZ' 'AU' 'RU' 'DK' 'BE' 'CN'
 'BR' 'IT' 'AR']</t>
  </si>
  <si>
    <t>['FR' 'US' 'DE' 'CA' 'NL' 'CH']</t>
  </si>
  <si>
    <t>['NL' 'CA' 'UK' 'FR' 'FI' 'DE' 'BR' 'MX' 'PT']</t>
  </si>
  <si>
    <t>['IT' 'CA' 'DE' 'FR']</t>
  </si>
  <si>
    <t>['IT' 'CA' 'DE']</t>
  </si>
  <si>
    <t>['PG' 'IT' 'NZ' 'FJ' 'MT' 'DE' 'NC' 'AU' 'FR']</t>
  </si>
  <si>
    <t>['NL' 'DK' 'HU' 'AT' 'EE' 'ES' 'IL' 'IT' 'DE' 'RS' 'LV' 'NZ' 'NO' 'CA'
 'UK' 'FR' 'PL' 'BE' 'PT']</t>
  </si>
  <si>
    <t>['ES' 'IT' 'US' 'NZ' 'UK']</t>
  </si>
  <si>
    <t>['DE' 'IT' 'BE' 'UK' 'NO' 'FR' 'NL' 'CH' 'CA' 'EL' 'US' nan 'RS' 'AT' 'NZ'
 'ES' 'FI' 'PL' 'PT']</t>
  </si>
  <si>
    <t>['CA' 'ES' 'FR' 'NL' 'IL' 'US' 'IT' 'DE' 'UK']</t>
  </si>
  <si>
    <t>['CZ' 'CA' 'FR' 'SE' 'US' 'EL' 'UK']</t>
  </si>
  <si>
    <t>['DK' 'NZ' 'CH' 'NL' 'BE' 'SI' 'PE' 'ES' 'UK' 'CZ' 'CN' 'IT' 'FR' 'BR'
 'ZA']</t>
  </si>
  <si>
    <t>['FR' 'BE' 'SK' 'NL' 'CH' 'CA' 'SE' 'LT' 'DE' 'CZ']</t>
  </si>
  <si>
    <t>['KZ' 'FR' 'ZA' 'MA' 'HU' 'DE' 'IT' 'RU' 'GH' 'UA' 'IN' 'EG' 'CL' 'TN'
 'CN' 'BR' 'EL' 'NZ' 'CA' 'MX' 'AR']</t>
  </si>
  <si>
    <t>['PG' 'AU' 'PF' 'VU' 'AT' 'DE' 'PT' 'NZ' 'FJ' 'NC' 'WS' 'FR' 'NL' 'UK']</t>
  </si>
  <si>
    <t>['ZA' 'UK' 'PL' 'HK' 'DE' 'CN' 'AU' 'DK' 'CA' 'US' 'SI' 'NL']</t>
  </si>
  <si>
    <t>['DE' 'IT' 'NL' 'EL' 'CA' 'UK' 'EG' 'CY' 'TN' 'AL' 'ES' 'CH' 'FR' 'IL'
 'BE' 'DK' 'NO']</t>
  </si>
  <si>
    <t>['CO' 'HR' 'IT' 'AT' 'AU' 'BE' 'NL' 'SE' 'EG' 'LT' 'ZA' 'BG' 'CN' 'CL'
 'TR' 'DE' 'CA' 'UK' 'RU' 'RO' 'ES' 'IN']</t>
  </si>
  <si>
    <t>['NZ' 'UK' 'BG' 'FR' 'CZ' 'IT' 'DE' 'AU' 'NL' 'CH']</t>
  </si>
  <si>
    <t>['UK' 'IT' 'PT' 'CA']</t>
  </si>
  <si>
    <t>['UK' 'CH' 'DE' 'NL' 'BE' 'FR' 'IL' 'CA' 'CY' 'RU']</t>
  </si>
  <si>
    <t>['AT' 'IT' 'UK' 'DK' 'CA' 'LV' 'SE' 'NL']</t>
  </si>
  <si>
    <t>['CA' 'SE']</t>
  </si>
  <si>
    <t>['AT' 'DE' 'IT' 'FR' 'TN' 'TR' 'PS' 'EG' 'CA' 'CH' 'NZ' 'IE' 'ES']</t>
  </si>
  <si>
    <t>['RU' 'ES' 'NL' 'FR' 'PT' 'UK' 'CA']</t>
  </si>
  <si>
    <t>['AU' 'NL' 'JP' 'UK' 'FR' 'SE' 'NO' 'CA' 'DE' 'IT' 'DK' 'US']</t>
  </si>
  <si>
    <t>['SE' 'BE' 'NL' 'DE' 'NO' 'FR' 'UK' 'CA' 'IL' 'AT' 'EL' 'TR' 'ES' 'US'
 'FI' 'PT' 'IT' 'PL' 'CH']</t>
  </si>
  <si>
    <t>['AT' 'UK' 'MD' 'KZ' 'GE' 'BY' 'UA' 'RU' 'CA']</t>
  </si>
  <si>
    <t>['ES' 'UK' 'FI' 'IT' 'EL' 'MH' 'PT' 'CZ' 'DK' 'NO' 'AU' 'DE' 'SE' 'NL'
 'EE' 'AT' nan 'FR' 'CA' 'TR' 'BE' 'PL' 'BG' 'SI' 'CN' 'HU' 'KE']</t>
  </si>
  <si>
    <t>['AT' 'DE' 'NL' 'NZ' 'UK' 'SE' 'CH' 'FR' 'DK' 'IT' 'ES' 'FI']</t>
  </si>
  <si>
    <t>['CA' 'PT' 'DE' 'FR' 'AT' 'CH' 'NO' 'IT' 'UK' 'NL' 'ES' 'BE']</t>
  </si>
  <si>
    <t>['ES' 'DE' 'CN' 'FR' 'US' 'CA']</t>
  </si>
  <si>
    <t>['NL' 'US' 'CA' 'DE' 'SE' 'PL' 'CN' 'BE' 'AU' 'UK' 'FR' 'IT' 'IE']</t>
  </si>
  <si>
    <t>['SK' 'DK' 'HU' 'ZA' 'IS' 'RS' 'BE' 'LV' 'CY' 'IT' 'LT' 'HR' 'TR' 'BG'
 'MT' 'LU' 'PT' 'ME' 'NL' 'ES' 'DE' 'SE' 'RU' 'PL' 'IL' 'NO' 'IE' 'EE'
 'RO' 'CH' 'EL' 'FR' 'CZ' 'AT' 'CA']</t>
  </si>
  <si>
    <t>['CZ' 'UK' 'HU' 'IT' 'DE' 'BE' 'NL' 'ES' 'FR' 'CA' 'DK']</t>
  </si>
  <si>
    <t>['HT' 'DK' 'MX' 'ES' 'CA' 'UK' 'PT' 'FR' 'SN']</t>
  </si>
  <si>
    <t>['BE' 'DE' 'UK' 'ES' 'FR' 'IT' 'NO' 'CH' 'CA' 'SE' 'EG' 'RO' 'NL' 'PT']</t>
  </si>
  <si>
    <t>['NL' 'UK' 'DE' 'ES' 'DK' 'IT' 'SG' 'CA' 'FR' 'SI' 'CH' 'SE' 'FI']</t>
  </si>
  <si>
    <t>['CA' 'IT' 'DE' 'AT' 'FR']</t>
  </si>
  <si>
    <t>['CA' 'CH' 'CY' 'ES' 'FR' 'NO' 'UK' 'IE' 'US' 'SI' 'BE' 'IL']</t>
  </si>
  <si>
    <t>['CH' 'HR' 'CA' 'IT' 'DE' 'UK']</t>
  </si>
  <si>
    <t>['CA' 'DE' 'NL' 'UK' 'SE' 'FR']</t>
  </si>
  <si>
    <t>['UK' 'DE' 'CA' 'FR' 'EL' 'US' 'BE' 'NL' 'IT' 'ES' 'FI' 'DK' 'AT' 'PL'
 'CZ' 'EE' 'TR' 'RO' 'JO' 'MK' 'IL']</t>
  </si>
  <si>
    <t>['NL' 'PG' 'FJ' 'UK' 'FR' 'NO']</t>
  </si>
  <si>
    <t>['NL' 'UK' 'NO' 'DE' 'PL' 'CA']</t>
  </si>
  <si>
    <t>['FR' 'IT' 'US' 'CA' 'UK']</t>
  </si>
  <si>
    <t>['AT' 'DE' 'CH' nan 'FR' 'CA']</t>
  </si>
  <si>
    <t>['CZ' 'NL' 'DE' 'ID' 'UK' 'RO' 'NZ' 'PE' 'ZA' 'EE' 'EL' 'DK' 'SK' 'CH'
 'GH' 'UY' 'FR' 'IE' 'FI' 'BE' 'IT' 'UA' 'ES' 'AT' 'PL']</t>
  </si>
  <si>
    <t>['CA' 'DK']</t>
  </si>
  <si>
    <t>['NL' 'NZ' 'EL' 'IT' 'CA' 'CH' 'ES' 'DE' 'TN' 'UK' 'SK' 'DK' 'BE' 'BR'
 'IE' 'FR' 'SI']</t>
  </si>
  <si>
    <t>['NL' 'UK' 'ZA' 'MA' 'IE' 'FR' 'DE' 'BE' 'US' 'TZ' 'TN' 'AU' 'PE' 'UY'
 'BR' 'CH' 'ES' 'CA' 'SE']</t>
  </si>
  <si>
    <t>['ES' 'FR' 'IT' 'CA' 'IL' 'US' nan 'SE']</t>
  </si>
  <si>
    <t>['CA' 'AT' 'FR' 'IL' 'IS' 'RO' 'ES' 'SE' 'FI' 'DE' 'LU' 'IT' 'UK' 'PL'
 'BE' 'PT']</t>
  </si>
  <si>
    <t>['UK' 'NZ']</t>
  </si>
  <si>
    <t>['CA' 'FR' 'DK']</t>
  </si>
  <si>
    <t>['FR' 'IT' 'CA' 'DK']</t>
  </si>
  <si>
    <t>['CA' 'UK' 'US' 'NL' 'DE']</t>
  </si>
  <si>
    <t>['PT' 'ES' 'DE' 'EL' 'UK' 'CA']</t>
  </si>
  <si>
    <t>['DE' 'NZ' 'SE' 'CH' 'SI' 'UK' 'NL' 'IT' 'AR']</t>
  </si>
  <si>
    <t>['FR' 'CA' 'DK' 'IT' 'BE' 'UK' 'IL' 'NL' 'US' 'DE' 'EL' 'KR' 'ES' 'CY']</t>
  </si>
  <si>
    <t>['FR' 'PL' 'FI' 'IE' 'DE' 'NO' 'SE' 'AT' 'CA']</t>
  </si>
  <si>
    <t>['PT' 'CZ' 'DE' 'FR' 'IT' 'SI' 'NL' 'TR' 'IL' 'ES' 'CA']</t>
  </si>
  <si>
    <t>['SE' 'DE' 'IT' 'CZ' 'SI' 'ES' 'PT' 'FR' 'CA']</t>
  </si>
  <si>
    <t>['IT' 'DE' 'TR' 'UK' 'FR' 'NL' 'IE' 'CA' 'US' 'SE' 'SI' 'CH' 'AT' 'CY'
 'ES' 'RO' 'PT' 'SK' 'BG' 'PL' 'DK' 'FI' 'EL' 'BE' 'UA']</t>
  </si>
  <si>
    <t>['FR' 'DE' 'UK' 'ES' 'CA' 'IT' 'HU' 'PL']</t>
  </si>
  <si>
    <t>['FR' 'UK' 'NL' 'BE' 'IT' 'DE' 'SE' 'CA']</t>
  </si>
  <si>
    <t>['DE' 'TR' 'FR' 'UK' 'CA' 'NL']</t>
  </si>
  <si>
    <t>['UK' 'ES' 'PL' 'AT' 'BE' 'DE' 'CH' 'NL' 'FR' 'IT' 'CA']</t>
  </si>
  <si>
    <t>['CA' 'ES' 'DK' 'US' 'UK' 'FI' 'SE']</t>
  </si>
  <si>
    <t>['CA' 'FR' 'ZM' 'UG' 'MZ' 'ET' 'NO' 'CM' 'CF' 'BF' 'SE' 'CH' 'UK' 'NL'
 'LT' 'DE' 'DK' 'IS']</t>
  </si>
  <si>
    <t>['IT' 'CH' 'FR' 'NL' 'UK' 'US' 'SE' 'CA']</t>
  </si>
  <si>
    <t>['IT' 'IN' 'ES' 'CO' 'SE' 'PG' 'GT' 'BR']</t>
  </si>
  <si>
    <t>['EE' 'UK' 'DE' 'CZ' 'ES' 'BE' 'RU' 'IE' 'FR' 'NL' 'CA' 'SE' 'EL']</t>
  </si>
  <si>
    <t>['DE' 'UK' 'NL' 'NZ' 'FR' 'IL']</t>
  </si>
  <si>
    <t>['EL' 'UK' 'FR' 'IT' 'US' 'DK' 'NL' 'NZ']</t>
  </si>
  <si>
    <t>['DK' 'DE' 'ES' 'FR' 'EL' 'RS' 'CH' 'UK' 'NL' 'BE' 'CA' 'IT' 'IE']</t>
  </si>
  <si>
    <t>['ZA' 'NL' 'UK' 'CA']</t>
  </si>
  <si>
    <t>['IT' 'UK' 'DE' 'CA' 'EL' 'US']</t>
  </si>
  <si>
    <t>[nan 'DE' 'FR' 'HR' 'NL' 'IT' 'ES' 'FI' 'UK' 'US' 'JP' 'PL' 'CA' 'CH']</t>
  </si>
  <si>
    <t>['UK' 'IE' 'IT' 'FR' 'CA']</t>
  </si>
  <si>
    <t>['IT' 'FR' 'NL' 'BE' 'DE' 'HU' nan 'CA' 'PT']</t>
  </si>
  <si>
    <t>['BE' 'IT' 'ES' 'CA']</t>
  </si>
  <si>
    <t>['DE' 'NL' 'FR' 'BE' 'CA' 'IE' 'FI']</t>
  </si>
  <si>
    <t>['CA' 'AT' 'FI' 'FR' 'US' 'ES' 'IT']</t>
  </si>
  <si>
    <t>['FI' 'US' 'ZA' 'IT' 'HU' 'NZ' 'PL' 'UK']</t>
  </si>
  <si>
    <t>['BR' 'IN' 'BE' 'IT' 'SE' 'ES' 'EE' 'DE' 'FI' 'UK' 'AT' 'CH' 'RO' 'FR'
 'CA' 'DK' 'SI']</t>
  </si>
  <si>
    <t>['PL' 'DE' 'SE' 'CA' 'UK' 'ES' 'BE' 'DK' 'NL' 'US']</t>
  </si>
  <si>
    <t>['CA' 'NL' 'CH' 'FR' 'IT' 'DE' 'PL' 'CY' 'BE']</t>
  </si>
  <si>
    <t>['DK' 'IT' 'KE' 'CH' 'PT' 'NZ' 'SN' 'FR' 'HU' 'TN' 'NL' 'UK' 'IE' 'AT'
 'ZA' 'BR' 'ES' 'BE']</t>
  </si>
  <si>
    <t>['TH' 'MY' 'DE' 'CH' 'IT' 'ES' 'CA' 'UK']</t>
  </si>
  <si>
    <t>['DE' 'IT' 'FR' 'PL' 'CH' 'ES' 'SE' 'CA']</t>
  </si>
  <si>
    <t>['UK' 'DE' 'CZ' 'CA' 'FR' 'IT' 'ES']</t>
  </si>
  <si>
    <t>['UK' 'NL' 'EL' 'FR' 'NO' 'CA' 'UA']</t>
  </si>
  <si>
    <t>['FR' 'AT' 'HU' 'NL' 'UK' 'BE' 'CA' 'DE']</t>
  </si>
  <si>
    <t>['IE' 'FR' 'CZ' 'CA' 'BE' 'DE' nan]</t>
  </si>
  <si>
    <t>['BE' 'NL' 'FR' 'CA']</t>
  </si>
  <si>
    <t>['JP' 'UK' 'IN' 'RU' 'SK' 'AR' 'CN' 'DE' 'US' 'AU' 'NZ' 'FR' 'CA' 'BE'
 'NL' 'BR']</t>
  </si>
  <si>
    <t>['ZA' 'CH' 'DE' 'UK' 'NZ' 'ES' 'BE' 'IT' 'IL' 'FR' 'CN' 'CZ' 'NL']</t>
  </si>
  <si>
    <t>['BE' 'IL' 'IT' 'ZA' 'UK' 'CA' 'SE' 'CN']</t>
  </si>
  <si>
    <t>['PT' 'FR' 'ES' 'CY' 'CA' 'DE' 'NL' 'HK' 'UK' 'DK']</t>
  </si>
  <si>
    <t>['PT' 'EL' 'FR' 'ES' 'CY' 'CA' 'DE' 'NL' 'HK' 'UK' 'DK']</t>
  </si>
  <si>
    <t>['NL' 'PT' 'UK' 'AU' 'ZA' 'US' 'IT' 'CA' 'FR' 'KR' 'DE' 'IN' 'CN' 'SE']</t>
  </si>
  <si>
    <t>['CA' 'UK' 'FI' 'DE' 'BE' 'FR' 'ES']</t>
  </si>
  <si>
    <t>['FI' 'NZ' 'DE' 'FR']</t>
  </si>
  <si>
    <t>['UK' 'ES' 'FI' 'DE' 'BE' 'IT' 'CA']</t>
  </si>
  <si>
    <t>['CH' 'FR' 'UK' 'IT' 'BE' 'CA']</t>
  </si>
  <si>
    <t>['CA' 'FR' 'NL' 'ES' 'IT' 'IN' 'CH' 'DK' 'UK' 'IL' 'EL' 'PT']</t>
  </si>
  <si>
    <t>['DE' 'CA' 'ES' 'RS' 'EE' 'AT']</t>
  </si>
  <si>
    <t>['KR' 'DE' 'ES' 'NZ' 'AU' 'FR']</t>
  </si>
  <si>
    <t>['UK' 'AT' 'CH' 'DK' 'EL' 'SE' 'DE' 'ES' 'CA' 'BE' 'IT' 'CY' 'IE']</t>
  </si>
  <si>
    <t>['AU' 'NO' 'EL' 'UK' 'IT' 'DE' 'FR' 'US' 'CA' 'SE' 'NL']</t>
  </si>
  <si>
    <t>['EL' 'DE' 'FR' 'HR' 'SE' 'UK' 'CA' 'NL']</t>
  </si>
  <si>
    <t>['SK' 'BR' 'UK' 'DE' 'US' 'IE' 'EL' 'IT' 'BE' 'RU' 'AU' 'UA' 'NZ' 'NL'
 'CA' 'MO']</t>
  </si>
  <si>
    <t>['FR' 'IE' 'EL' 'DE' 'PL' 'HU' 'PT' 'IT' 'AU' 'ES' 'CH' 'CA' 'IL' nan 'NO'
 'BE']</t>
  </si>
  <si>
    <t>['NO' 'FI' 'ES' 'CA' 'DE' 'IN' 'UG' 'KE' 'LT' 'AT' 'SE' 'CH' 'UK' 'IT'
 'FR' 'NL']</t>
  </si>
  <si>
    <t>['CH' 'IE' 'IT' 'PT' 'DE' 'MA' 'ES' 'FR' 'NL' 'EL' 'CY' 'PL' nan 'UK' 'SE'
 'CZ' 'BE' 'CA' 'AU' 'FI' 'JP' 'NO' 'UA' 'DK' 'US']</t>
  </si>
  <si>
    <t>['RU' 'FR' 'SE' 'DE' 'UK' 'LV' 'CZ' 'CA']</t>
  </si>
  <si>
    <t>['FR' 'SK' 'US' 'DE' 'SE' 'SI' 'HU' 'UK' 'CA' 'RO' 'BE' 'BG' 'ES' 'IT'
 'IN' 'NL' 'EL' 'CH' 'LT' 'CZ' 'KR' 'FI']</t>
  </si>
  <si>
    <t>['SE' 'CA' 'EL' 'PT']</t>
  </si>
  <si>
    <t>['DE' 'FR' 'PT' 'SE' 'IE' 'CH' 'PL' 'CA' 'RO' 'ES' 'UK' 'FI' 'IL' 'IT'
 'US']</t>
  </si>
  <si>
    <t>['ZA' 'DE' 'CA' 'IT' nan 'IN']</t>
  </si>
  <si>
    <t>['NL' 'IE' 'CN' 'UK' 'AT' 'PH' 'DE' 'NZ' 'BE' 'DK' 'IT' 'CZ' 'ES' 'BR'
 'AU' 'US' 'FR' 'PL']</t>
  </si>
  <si>
    <t>['IT' 'DE' 'UK' 'ES' 'FR' 'US' 'PT' 'CA' 'MT']</t>
  </si>
  <si>
    <t>['EL' 'FR' 'FI' 'CZ' 'ES' 'UK' 'DE' 'CA' 'SE' 'PT' 'DK' 'IT' 'AT']</t>
  </si>
  <si>
    <t>['FR' 'UK' 'NO' 'IE' 'ES' 'DK' 'CA' 'NL' 'CH' 'DE' 'US' 'ZA' 'IS' 'MA'
 'SE']</t>
  </si>
  <si>
    <t>['DE' 'CA' 'NO' 'DK' 'SE' 'CZ' 'FI' 'SI' 'RU' 'ES' 'CH' 'UK']</t>
  </si>
  <si>
    <t>['RU' 'FR' 'NL' 'NO' 'ES' 'AT' 'CA' 'UK' 'AU']</t>
  </si>
  <si>
    <t>['DE' 'AU' 'AT' 'FR' 'UK' 'RS' 'NL' 'ES' 'US' 'DK' 'BE' 'IT' 'IE' 'NZ'
 'CA']</t>
  </si>
  <si>
    <t>['DK' 'NO' 'UK' 'NL' 'FR' 'CH' 'BE' 'ES' 'DE' 'IT' 'CN' 'CA']</t>
  </si>
  <si>
    <t>['IT' 'FR' 'DE' 'ES' 'CA' 'UK' 'BE']</t>
  </si>
  <si>
    <t>['UK' 'ES' 'DE' 'CA' 'FI']</t>
  </si>
  <si>
    <t>['FR' 'FI' 'DE' 'UK' 'CZ' 'CA' 'PT' 'DK' 'ES' 'IT' 'NL' 'AT' 'IL' 'EL'
 'SE' 'BE']</t>
  </si>
  <si>
    <t>['SE' 'UK' 'AT' 'NL' 'CH' 'DE' 'ES' 'FR' 'IT' 'LU' 'NZ' nan 'BE']</t>
  </si>
  <si>
    <t>['DE' 'CH' 'HU' 'DK' 'CA']</t>
  </si>
  <si>
    <t>['ES' 'FR' 'DE' 'PL' 'UK' 'AT' 'IT' 'NZ' 'NL' nan 'IL']</t>
  </si>
  <si>
    <t>['IT' 'DE' 'UK' 'ES' 'NZ' 'US' 'FR' 'NL' 'CN' 'JP' 'PL' 'CH' 'CA']</t>
  </si>
  <si>
    <t>['NO' 'DK' 'NL' 'UK' 'ES' 'EE' 'CH' 'DE' 'SE' 'FI' 'AU' 'IT' 'FR' 'CA'
 'AT']</t>
  </si>
  <si>
    <t>['EL' 'NO' 'DK' 'ES' 'UK' 'SE' 'IT' 'DE' 'NL' 'NZ' 'FR' 'FI']</t>
  </si>
  <si>
    <t>['UK' 'IT' 'DE' 'HU' 'IN' 'NO' 'SE' 'PL' 'BE' 'FR' 'CH' 'ES' 'NL' 'US'
 'CA' 'AT' 'DK' 'CY' 'EL' 'LU' 'RO' 'IE' 'IL' 'EE' 'FI' 'PT']</t>
  </si>
  <si>
    <t>['ES' 'BE' 'CH' 'EL' 'UK' 'DE' 'NL' 'SE' 'CA' 'BG' 'IT']</t>
  </si>
  <si>
    <t>['IT' 'DE' 'BE' 'ES' 'CA' 'FR' 'HU' 'UK']</t>
  </si>
  <si>
    <t>['BE' 'NO' 'SE' 'UK' 'CA' 'DE' 'DK' 'FR' 'ES' 'PT']</t>
  </si>
  <si>
    <t>['ES' 'IT' 'BE' 'SE' 'FR' 'DE' 'CA' 'CZ' 'UK']</t>
  </si>
  <si>
    <t>['NL' 'CA' 'NO' 'FR' 'IT' 'ES' 'UK' 'CH' 'DE' 'SI' 'EL' 'IE' 'MK' 'SE'
 'PT' 'AT' 'LT' 'BE' 'PL']</t>
  </si>
  <si>
    <t>['RS' 'ES' 'MA' 'DE' 'UK' 'SI' 'NL' 'EL' 'IT' 'SE' 'HR' 'CA' 'FR' 'BE']</t>
  </si>
  <si>
    <t>['CA' 'FR' 'IE' 'UK' 'AT' 'DE' 'AU' 'CH' 'EL' 'NL']</t>
  </si>
  <si>
    <t>['IT' 'UK' 'DE' 'IE' 'NZ' 'NL' 'CZ']</t>
  </si>
  <si>
    <t>['ES' 'IT' 'CA' 'FR' 'AT' 'UK' 'EL' 'NL' 'DE' 'CH' 'KR' 'AU' 'NO' 'SE'
 'CN' 'BE' 'SI']</t>
  </si>
  <si>
    <t>['NO' 'DE' 'UK' 'DK' 'SE' 'CA']</t>
  </si>
  <si>
    <t>['AT' 'BE' 'UK' 'CZ' 'ES' 'CA' 'DK' 'NL']</t>
  </si>
  <si>
    <t>['NO' 'UK' 'AT' 'CR' 'IT' 'DE' 'ES' 'CH' 'CN' 'ZA' 'DK' 'BE' 'NZ' 'CL'
 'IE']</t>
  </si>
  <si>
    <t>['RO' 'NO' 'CA' 'DK' 'UK' 'UA' 'FI' 'DE' 'BG' 'EL' 'IE' 'SI' 'BE' 'ES'
 'RU' 'IT' 'SE' 'IL' 'PL' 'FR' 'LT' 'NL' 'MT' 'LV' 'PT' 'CY' 'MA' 'EE'
 'TR']</t>
  </si>
  <si>
    <t>['ES' 'UK' 'US' 'DE' 'NZ' 'DK']</t>
  </si>
  <si>
    <t>['UK' 'DK' 'FI' 'CA' 'SE' 'DE' 'NO']</t>
  </si>
  <si>
    <t>['CA' 'NO' 'UK' 'DE' 'IT' 'ES' 'US' 'PT' 'BE' 'NL' 'DK' 'IE']</t>
  </si>
  <si>
    <t>['ES' 'UK' 'IT' 'SE' 'CA' 'BE' 'SK' 'CZ' 'NL' 'IE']</t>
  </si>
  <si>
    <t>['AT' 'DE' 'IL' 'FR' 'ES' 'NZ' 'EL' 'UK' 'IT' 'AU' 'NL' 'CA']</t>
  </si>
  <si>
    <t>['NO' 'UK' 'NL' 'CY' 'IT' 'PL' 'US' 'CA' 'FR' 'DE' 'ES' 'IE']</t>
  </si>
  <si>
    <t>['FI' 'FR' 'BE' 'DE' 'CA']</t>
  </si>
  <si>
    <t>['RO' 'NO' 'UK' 'ES' 'FI' 'PL' 'ZA' 'IS' 'IE' 'SE' 'DK' 'IT' 'AU' 'FO'
 'NL' 'NZ']</t>
  </si>
  <si>
    <t>['FI' 'IL' 'FR' 'ES' 'DE' 'NL' 'AT' 'LU' 'IT' 'UK' 'CA']</t>
  </si>
  <si>
    <t>['NO' 'FI' 'FR' 'CA' 'UK' 'AT' 'DE' 'NL' 'SE']</t>
  </si>
  <si>
    <t>['DE' 'UK' 'FR' 'BE' 'CH' 'AT' 'SE' 'IL' 'ES' 'NL' 'CY' 'FI' 'JP' 'SI'
 'EL' 'IT' 'TR' 'HU' 'NO' 'US' 'DK' 'CN' nan 'CA' 'PT']</t>
  </si>
  <si>
    <t>['CH' 'BG' 'UK' 'FI' 'DK' 'NL' 'AU' 'ES' 'NZ' 'DE' 'CA' 'HU' 'IT' 'IE']</t>
  </si>
  <si>
    <t>['UK' 'DE' 'NL' 'IT' 'PL' 'EL' 'LU' nan 'BE' 'FR' 'US' 'NO' 'DK' 'ES' 'SE'
 'FI' 'FO' 'CA' 'RU' 'GL' 'IS' 'IE' 'KE' 'NZ' 'PT' 'RO' 'AT' 'CZ']</t>
  </si>
  <si>
    <t>['CA' 'ES' 'FI' 'SE' 'UK' 'PH' 'EL' 'IE' 'DK' 'FR']</t>
  </si>
  <si>
    <t>['IT' 'ES' 'UK' 'DK' 'PL' 'DE' 'FI' 'CA' 'AT' 'IE' 'NL' 'US']</t>
  </si>
  <si>
    <t>['DK' 'RO' 'NL' 'FI' 'IT' 'UK' 'CA']</t>
  </si>
  <si>
    <t>['BE' 'CH' 'CA' 'DE' 'DK']</t>
  </si>
  <si>
    <t>['CZ' 'IT' 'DE' 'NZ' 'DK' 'NL' 'IL' 'UK']</t>
  </si>
  <si>
    <t>['DE' 'FR' 'AT' 'NL' 'US' 'CA' 'IT' 'UK' 'FI' 'CH' 'DK' 'SE' 'BE' 'NO'
 'SI']</t>
  </si>
  <si>
    <t>['NL' 'EL' 'DE' 'UK' 'IL' 'LU' 'FR' 'CY' 'RO' 'NO' 'IT' 'CH' 'ES' 'LT'
 'EE' 'FI' 'CA' 'SE' 'IS' 'AU' 'LV' 'SK' 'BE' 'PL' 'TR' 'CN' 'IN' 'JP'
 'RU' 'VN' 'HU' 'BR' 'KR' 'AT' 'ID' 'TH' 'US']</t>
  </si>
  <si>
    <t>['CA' 'NO' 'AT' 'FR' 'FI' 'UK' 'ES' 'SE' 'IT' 'BE' 'NL' 'PT']</t>
  </si>
  <si>
    <t>['ES' 'FR' 'UK' 'DE' 'IT' 'EL' 'BE' 'NZ' 'SE' nan]</t>
  </si>
  <si>
    <t>['US' 'DE' 'NL' 'UK' 'PL' 'SI' 'CA' 'IT']</t>
  </si>
  <si>
    <t>['NL' 'NO' 'EE' 'FI' 'FR' 'PL' 'CA' 'AT' 'UK' 'DK' 'ES' 'DE' 'HR' 'LV'
 'SE' 'IS' 'IT' 'HU']</t>
  </si>
  <si>
    <t>['SE' 'RS' 'IE' 'EL' 'UK' 'DE' nan 'US' 'LU' 'NZ']</t>
  </si>
  <si>
    <t>['FR' 'DE' 'AT' 'UK' 'IT' 'BE' 'CA' 'ZA']</t>
  </si>
  <si>
    <t>['FR' 'NO' 'EE' 'DE' 'NL' 'CA' 'CY']</t>
  </si>
  <si>
    <t>['SE' 'DE' 'FR' 'ES' 'IT' 'CA' 'UK' 'CZ' 'PL' 'AT' 'AR' 'ZA' 'CU' 'MX']</t>
  </si>
  <si>
    <t>['BE' 'CA' 'IL']</t>
  </si>
  <si>
    <t>['DK' 'FR' 'DE' 'ES' 'IT' 'CZ' 'CA' 'CO' 'UK']</t>
  </si>
  <si>
    <t>['UK' 'CH' 'SE' 'CA' 'DE' 'BE']</t>
  </si>
  <si>
    <t>['IE' 'SE' 'UK' 'HU' 'DE' 'CA' 'AU' 'ES']</t>
  </si>
  <si>
    <t>['HR' 'EL' 'NL' 'CZ' 'RU' 'IN' 'IT' 'FR' 'CN' 'SE' 'UK' 'DE' 'PT' 'PL'
 'HU' nan 'DK' 'US' 'CA' 'IE' 'ES' 'CH' 'RO' 'BE' 'IL' 'AT' 'CY' 'NO' 'FI'
 'UA']</t>
  </si>
  <si>
    <t>['NL' 'DE' 'ES' 'IE' 'UK' 'BG' 'BE' 'IT' 'CA' 'NZ' 'NO' 'AU' 'HU' 'FR'
 'US' 'AT']</t>
  </si>
  <si>
    <t>['IT' 'PL' 'DK' 'UA' 'CA' 'SE' 'NL' 'GL' 'FI' 'FR' 'NO' 'BE' 'LV' 'AU'
 'ES' 'DE' 'IE' 'BG' 'AT' 'EL' 'PT']</t>
  </si>
  <si>
    <t>['FR' 'UA' 'UK' 'NO' 'AT' 'BE' 'ES' 'DE' 'NL' 'SE' 'CA' 'CH' 'PL' 'FI'
 'IT' 'IE' 'EL' 'RO' 'LU' 'IS' 'TR']</t>
  </si>
  <si>
    <t>['KE' 'US' 'AU' 'ZA' 'GT' 'UG' 'UK' 'DE' 'CA' 'BD' 'BE']</t>
  </si>
  <si>
    <t>['AT' 'PL' 'BE' 'CA']</t>
  </si>
  <si>
    <t>['FR' 'EL' 'JP' 'IT' 'US' 'KR' 'CN' 'DE' 'CA']</t>
  </si>
  <si>
    <t>['HU' 'CA' 'EL' 'AT' 'TW' 'EE' 'IL' 'IT' 'RO' 'ES' 'TR' 'DE' 'NO' 'LV'
 'FR' 'SK' 'IE' 'PL' 'BE' 'PT']</t>
  </si>
  <si>
    <t>['FR' 'IL' 'US' 'CA' 'IT']</t>
  </si>
  <si>
    <t>['SG' 'AU' 'NZ' 'AT' 'BE' 'SE' 'NL' 'HU' 'DE' 'UK' 'FR' 'ES' 'IT' 'TR'
 'IE' 'IR' 'NO' 'US' 'CZ' 'DK' 'EL' 'CH' 'IL']</t>
  </si>
  <si>
    <t>['CA' 'BE']</t>
  </si>
  <si>
    <t>['HU' 'CA' 'EL' 'AT' 'IL' 'IT' 'RO' 'ES' 'TR' 'DE' 'LV' 'NL' 'CH' 'FR'
 'PL' 'BE' 'PT']</t>
  </si>
  <si>
    <t>['CA' 'DE' 'ES' 'FR' 'SE' 'NL' 'FI' 'UK' 'IT']</t>
  </si>
  <si>
    <t>['NZ' 'DE' 'IT' 'ES' 'NL' 'BE' 'FR' 'CZ']</t>
  </si>
  <si>
    <t>['UK' 'CH' 'ES' 'DK' 'FR' 'DE' 'CA']</t>
  </si>
  <si>
    <t>['BR' 'NZ' 'UK' 'IT' 'BE' 'DE' 'ES' 'CH']</t>
  </si>
  <si>
    <t>['NZ' 'BR' 'UK']</t>
  </si>
  <si>
    <t>['CZ' 'HU' 'CA' 'FR' 'IL' 'ES' 'PT' 'TR' 'IT' 'SE' 'DK' 'NL' 'LV' 'FI'
 'DE' 'PL' 'UK' 'NO' 'CH' 'LU' 'SI' 'IE' 'BE' 'AT']</t>
  </si>
  <si>
    <t>['HU' 'CA' 'ES' 'AT' 'EE' 'IL' 'RO' 'HR' 'TR' 'SE' 'DK' 'DE' 'NL' 'LV'
 'FI' 'NO' 'LU' 'IT' 'SI' 'FR' 'IE' 'PL' 'BE']</t>
  </si>
  <si>
    <t>['NL' 'CA']</t>
  </si>
  <si>
    <t>['JP' 'NZ' 'FR' 'PL']</t>
  </si>
  <si>
    <t>['NO' 'UK' 'FI' 'DE' 'FO' 'IE' 'IT' 'US' 'SE' 'IS' 'CA' 'NZ' 'RU']</t>
  </si>
  <si>
    <t>['HU' 'CA' 'AR' 'EE' 'IL' 'LT' 'ES' 'SE' 'DK' 'DE' 'NL' 'LV' 'FI' 'PL'
 'UK' 'NO' 'MD' 'IE' 'IT' 'FR' 'BE']</t>
  </si>
  <si>
    <t>['BG' 'EL' 'ES' 'NL' 'TW' 'EE' 'IL' 'CA' 'LT' 'RO' 'TR' 'IT' 'DE' 'LV'
 'IE' 'NO' 'CZ' 'SK' 'FR' 'PL' 'BE' 'PT']</t>
  </si>
  <si>
    <t>['CA' 'DE']</t>
  </si>
  <si>
    <t>['BE' 'CA']</t>
  </si>
  <si>
    <t>['CA' 'TR']</t>
  </si>
  <si>
    <t>['NZ' 'ES']</t>
  </si>
  <si>
    <t>['FR' 'TN' 'ES' nan 'IT' 'UK' 'PT' 'US' 'CA']</t>
  </si>
  <si>
    <t>['ES' 'CA']</t>
  </si>
  <si>
    <t>['CA' 'IT']</t>
  </si>
  <si>
    <t>['IT' 'CA']</t>
  </si>
  <si>
    <t>['FR' 'NZ']</t>
  </si>
  <si>
    <t>['IT' 'VA' 'CA']</t>
  </si>
  <si>
    <t>['EE' 'CA' 'US']</t>
  </si>
  <si>
    <t>['CA' 'FR' 'AU' 'UK']</t>
  </si>
  <si>
    <t>['PT' 'CA']</t>
  </si>
  <si>
    <t>['DE' 'CA' 'FR']</t>
  </si>
  <si>
    <t>['CA' 'ES']</t>
  </si>
  <si>
    <t>['CA' 'CY']</t>
  </si>
  <si>
    <t>['CA' 'HR']</t>
  </si>
  <si>
    <t>['UK' 'DE' 'AT' 'CH' 'SE' 'ES' 'IT' 'BE' 'EL' 'CA' 'NL' 'PT' 'PL']</t>
  </si>
  <si>
    <t>['CH' 'CA']</t>
  </si>
  <si>
    <t>['DE' 'CA']</t>
  </si>
  <si>
    <t>['NO' 'CA']</t>
  </si>
  <si>
    <t>['CA' 'UK']</t>
  </si>
  <si>
    <t>['CA' 'NL']</t>
  </si>
  <si>
    <t>['DK' 'NZ']</t>
  </si>
  <si>
    <t>['IT' 'EL' 'DK' 'UK' 'BE' 'PT' 'CA' 'ES' 'SE']</t>
  </si>
  <si>
    <t>['EL' 'TR' 'PT' 'CH' 'NO' 'IT' 'BG' 'DE' 'AT' 'CA']</t>
  </si>
  <si>
    <t>['SE' 'CA']</t>
  </si>
  <si>
    <t>['CA' 'IE']</t>
  </si>
  <si>
    <t>['IE' 'CA']</t>
  </si>
  <si>
    <t>['BE' 'SE' 'CA' 'NL' 'NO' 'PL' 'ES' 'DE' 'DK']</t>
  </si>
  <si>
    <t>['FR' 'DE' 'CA' 'IT']</t>
  </si>
  <si>
    <t>['FR' 'DK' 'CH' 'DE' 'UK' 'RU' 'PT' 'KR' 'NL' 'PL' 'BE' 'BR' 'AU' 'US'
 'IT' 'CA' 'CN' 'EE' 'ES' 'LV' 'SI' 'RS' 'HR' 'LT' 'AT' 'CZ']</t>
  </si>
  <si>
    <t>['CA' 'SE' 'FR' 'UK' 'NL' 'IT' 'EL' 'AU']</t>
  </si>
  <si>
    <t>['US' 'NO' 'IE' 'ES' 'IT' 'CA']</t>
  </si>
  <si>
    <t>['IE' 'FR' 'JP' 'BR' 'CA' 'CN' 'ZA' 'US' 'UK' 'NO' 'IN' 'PL']</t>
  </si>
  <si>
    <t>['EL' 'UK' 'FR' 'BE' 'DE' 'IT' 'IE' 'NO' 'CZ' 'CH' 'ES' 'CA' 'BR' 'AT'
 'NL' 'IS' 'FI' 'RO' 'DK']</t>
  </si>
  <si>
    <t>['BR' 'DE' 'PT' 'FR' 'CA']</t>
  </si>
  <si>
    <t>['ES' 'AU' 'HU' 'BR' 'NZ' 'US']</t>
  </si>
  <si>
    <t>['CH' 'FR' 'MG' 'BE' 'SN' 'UG' 'BF' 'KE' 'ML' 'CA']</t>
  </si>
  <si>
    <t>['EL' 'IT' 'BG' 'US' 'FR' 'DE' 'CA' 'BE' 'ES' 'FI' 'AT' 'PL' 'JP' 'KR'
 'UK' 'LV']</t>
  </si>
  <si>
    <t>['FR' 'EL' 'CY' 'DE' 'US' 'ES' 'IL' 'NL' 'SE' 'IT' 'RU' 'CA' 'CH' 'BE'
 'DK' 'AT' 'UK' 'UA' 'PT' 'RO' 'IS']</t>
  </si>
  <si>
    <t>['BR' 'NL' 'DE' 'FR' 'IT' 'RU' 'CA' 'CH']</t>
  </si>
  <si>
    <t>['FR' 'TR' 'EL' 'CY' 'IT' 'EG' 'JO' 'CA']</t>
  </si>
  <si>
    <t>['EL' 'CA']</t>
  </si>
  <si>
    <t>['BE' 'UK' 'ES' 'AT' 'ET' 'NZ']</t>
  </si>
  <si>
    <t>['IL' 'CA']</t>
  </si>
  <si>
    <t>['FR' 'ES' 'PL' 'IT' 'DK' 'CZ' 'CH' 'SE' 'DE' 'LT' 'US' 'BE' 'NO' 'UK'
 'SK' 'PT' 'CA' 'NL']</t>
  </si>
  <si>
    <t>['BR' 'CA' 'EL' 'UA' 'IT' 'DE' 'LU' 'UK']</t>
  </si>
  <si>
    <t>['ET' 'PL' 'DE' 'ZA' 'AR' 'FR' 'CH' 'IN' 'AU' 'AT' 'IT' 'CA' 'SG' 'ES'
 'MK']</t>
  </si>
  <si>
    <t>['ES' 'UK' 'ME' 'PL' 'BE' 'DE' 'CN' 'PT' 'SE' 'CO' 'NL' 'CA' 'CH' 'US'
 'FI' 'LT' 'LV']</t>
  </si>
  <si>
    <t>['SE' 'FR' 'BE' 'CZ' 'SK' 'NL' 'BG' 'CA' 'CH' 'HU' 'LT' 'DE']</t>
  </si>
  <si>
    <t>['IT' 'BE' 'UK' 'CN' 'NL' 'FR' 'SE' 'DE' 'ES' 'CA']</t>
  </si>
  <si>
    <t>['BE' 'UK' 'EL' 'ES' 'DE' 'CA' 'FR' 'IT' 'NL']</t>
  </si>
  <si>
    <t>['UK' 'IT' 'CA' 'PL' 'BE' 'DE' 'ES' 'IL' 'US' 'CH' 'LT']</t>
  </si>
  <si>
    <t>['CA' 'FI']</t>
  </si>
  <si>
    <t>['RO' 'UK' 'AT' 'IT' 'NO' 'EL' 'DK' 'DE' 'FI' 'SE' 'CA' 'ES']</t>
  </si>
  <si>
    <t>['EE' 'NZ']</t>
  </si>
  <si>
    <t>['US' 'CA' 'NL' 'ES' 'BE' 'UK' 'AT' 'DE']</t>
  </si>
  <si>
    <t>['FR' 'SE' 'CN' 'TR' 'US' 'UK' 'CA']</t>
  </si>
  <si>
    <t>['UK' 'CZ' 'CA' 'TR' nan 'BE' 'FR' 'DE' 'PT' 'NL' 'IE']</t>
  </si>
  <si>
    <t>['CA' 'FR']</t>
  </si>
  <si>
    <t>['DE' 'FJ' 'AU' 'VU' 'NC' 'SB' 'FR']</t>
  </si>
  <si>
    <t>['CA' 'EL' 'NL' 'CY' 'UK' 'PH' 'ES' 'IL' 'BG' 'BD' 'BE' 'PT' 'IT' 'FR'
 'NO' 'MT' 'DE']</t>
  </si>
  <si>
    <t>['CY' 'CZ' 'HU' 'PT' 'BA' 'CA' 'FR' 'IT']</t>
  </si>
  <si>
    <t>['SK' 'CN' 'SE' 'UK' 'SI' 'CA' 'FI' 'CZ' 'UA' 'HU' 'ES' 'IT' 'DE' 'BE'
 'RO']</t>
  </si>
  <si>
    <t>['IT' 'CL' 'CA' 'ES' 'TH']</t>
  </si>
  <si>
    <t>['CA' 'AT' 'EE' 'CY' 'ES' 'SE' 'NO' 'CZ' 'IE' 'IT' 'FR' 'BE' 'IL']</t>
  </si>
  <si>
    <t>['SE' 'FR' 'IS' 'US' 'NO' 'ES' 'DE' 'UK' 'IT' 'PL' 'DK' 'FI' 'CA' 'AT'
 'AM' 'CZ']</t>
  </si>
  <si>
    <t>['FR' 'IT' 'NL' 'UK' 'US' 'CA']</t>
  </si>
  <si>
    <t>['CA' 'JP' 'PL' 'ES' 'FR']</t>
  </si>
  <si>
    <t>['FR' 'DE' 'SI' 'CA' 'ES' 'UA' 'NL']</t>
  </si>
  <si>
    <t>['FR' 'CA' 'NL']</t>
  </si>
  <si>
    <t>['SE' 'UK' 'DE' 'IN' 'NL' 'FR' 'BE' 'ZA' 'CH' nan 'ES' 'PL' 'RU' 'BG' 'SI'
 'CZ' 'AT' 'EL' 'IL' 'IT' 'KR' 'NO' 'HU' 'FI' 'DK' 'SK' 'NZ' 'CA' 'TR'
 'PT' 'IE' 'US']</t>
  </si>
  <si>
    <t>['CL' 'CA' 'AT' 'AR' 'PT' 'FI' 'CN' 'ES' 'ZA' 'IN' 'MX' 'US' 'IT' 'KR'
 'FR' 'BR']</t>
  </si>
  <si>
    <t>['CH' 'DE' 'PL' 'UK' 'CA' 'IT']</t>
  </si>
  <si>
    <t>['SE' 'NO' 'UK' 'FI' 'CA' 'RU' 'IT' 'AT' 'FO' 'IS' 'GL']</t>
  </si>
  <si>
    <t>['AT' 'DE' 'SE' 'AU' 'NZ' 'CH' 'NL' 'SI' 'UK' 'ES' 'IS' 'NO' 'AR']</t>
  </si>
  <si>
    <t>['CA' 'IT' 'AT' 'DE' 'IE' 'SE' 'NL']</t>
  </si>
  <si>
    <t>['DE' 'ES' 'IT' 'UK' 'FR' 'FI' 'PL' 'US' 'BE' 'BG' 'UA' 'CA' 'CH' 'LT'
 'JP' 'CN' 'KR' 'ET' 'KE' 'CU' 'NG' 'CR']</t>
  </si>
  <si>
    <t>['FR' 'US' 'SK' 'SE' 'BE' 'DK' 'FI' 'RU' 'NO' 'ES' 'IT' 'DE' 'CA' 'AT'
 'RO' 'LT' 'CZ']</t>
  </si>
  <si>
    <t>['CA' 'PT' 'BE' 'FR']</t>
  </si>
  <si>
    <t>['BG' 'BE' 'ZA' 'ES' 'EE' 'DE' 'RO' 'TR' 'IT' 'FI' 'BR' 'SE' 'CZ' 'FR'
 'CA' 'IE' 'SK' 'SI' 'PL' 'PT']</t>
  </si>
  <si>
    <t>['DE' 'IT' 'CA' 'CZ' 'BE' 'ES' 'FR' 'NL']</t>
  </si>
  <si>
    <t>['ES' 'DK' 'FI' 'CA' 'PL' 'FR' 'NL']</t>
  </si>
  <si>
    <t>['IT' 'DE' 'FR' 'CH' 'CA' 'SA' 'DK']</t>
  </si>
  <si>
    <t>['SE' 'FI' 'FR' 'UK' 'CA' 'IT' 'IR' 'CO' 'AU' 'NO' 'BR' 'CN' 'GL']</t>
  </si>
  <si>
    <t>['NO' 'MH' 'DE' 'CY' 'FR' 'EL' 'UK']</t>
  </si>
  <si>
    <t>['CA' 'CH' 'CN' 'UK' 'NL']</t>
  </si>
  <si>
    <t>['DE' 'UK' 'PL' 'US' 'BE' 'MX' 'IT' 'DK' 'AU' 'NZ' 'CA']</t>
  </si>
  <si>
    <t>['UK' 'CN' 'AU' 'US' 'CA']</t>
  </si>
  <si>
    <t>['US' 'CA' 'CZ' 'IL' 'FR']</t>
  </si>
  <si>
    <t>['IE' 'US' 'HU' 'SK' 'CA']</t>
  </si>
  <si>
    <t>['EL' 'CH' 'DE' 'IL' 'FR' 'IT' 'DK' 'AT' 'NL' 'UK' 'BE' 'ES' 'US' 'NO'
 'ZA' 'NZ' 'SE' 'CZ' 'PT']</t>
  </si>
  <si>
    <t>['UK' 'CN' 'BG' 'NO' 'NL' 'CH' 'IT' 'ES' 'BE' 'FR' 'IL' 'CZ' 'AT' 'RO'
 'CA' 'HU' 'IN' 'PT' 'FI']</t>
  </si>
  <si>
    <t>['FR' 'CZ' 'IT' 'ES' 'NL' 'BE' 'DE' 'SE' 'CA' 'DK' 'CH' 'UK' 'HU' 'SI']</t>
  </si>
  <si>
    <t>['DE' 'PL' 'UK' 'JP' 'TW' 'NZ' 'RU' 'DK' 'BR']</t>
  </si>
  <si>
    <t>['US' 'DE' 'CA' 'AU' 'IT']</t>
  </si>
  <si>
    <t>['IT' 'HU' 'SK' 'SI' 'FR' 'SE' 'US' 'PL' 'DE' 'BE' 'CA']</t>
  </si>
  <si>
    <t>['CA' 'DE' 'IT' 'ES' 'TR' 'DK' 'RO' 'BE' 'NL' 'AT' 'UK' 'IE' 'FR' 'PL']</t>
  </si>
  <si>
    <t>['DK' 'UK' 'DE' 'HU' 'CA' 'IT' 'NL']</t>
  </si>
  <si>
    <t>['DK' 'PL' 'EL' 'IT' 'RO' 'CA']</t>
  </si>
  <si>
    <t>['BE' 'FR' 'DK' 'LU' 'ES' 'CA' 'US' 'DE']</t>
  </si>
  <si>
    <t>['ES' 'HU' 'BG' 'KR' 'BE' 'EL' 'ZA' 'TW' 'EE' 'IS' 'DE' 'CY' 'IL' 'LT'
 'RO' 'HR' 'TR' 'FI' 'DK' 'IT' 'LV' 'SE' 'PL' 'IE' 'NO' 'CZ' 'CA' 'BR'
 'FR' 'CH' 'LU' 'RU' 'SK' 'SI' 'AT' 'PT']</t>
  </si>
  <si>
    <t>['SK' 'FR' 'CA' 'DE' 'CH' 'ES' 'IT' 'IL']</t>
  </si>
  <si>
    <t>['RS' 'CN' 'CA' 'ES' 'UK' 'AU' 'SK' 'JP' 'PT' 'DE' 'FR' 'FI']</t>
  </si>
  <si>
    <t>['UK' 'CN' 'CL' 'EG' 'ES' 'CA' 'SG' 'IT' 'TH' 'DE' 'US']</t>
  </si>
  <si>
    <t>['UK' 'BR' 'DK' 'AU' 'DE' 'CL' 'NZ']</t>
  </si>
  <si>
    <t>['DK' 'CA']</t>
  </si>
  <si>
    <t>['UK' 'NL' 'DE' 'CH' 'DK' 'ES' 'CA' 'SE' 'LU' 'NO' 'EL' 'FR' 'HU' 'CY'
 'BE' 'AT']</t>
  </si>
  <si>
    <t>['US' 'UK' 'ZA' 'IT' 'CL' 'NZ' 'SG' 'CZ' 'AU' 'FR' 'CA']</t>
  </si>
  <si>
    <t>['CA' 'ES' 'SE' 'FI' 'HU' 'BE']</t>
  </si>
  <si>
    <t>['UK' 'NZ' 'NO']</t>
  </si>
  <si>
    <t>['CN' 'UK' 'AU' 'FR' 'PT' 'IT' 'FI' 'SE' 'ZA' 'CH' 'NL' 'BG' 'NZ' 'US'
 'CZ']</t>
  </si>
  <si>
    <t>['IT' 'EL' 'UK' 'CA' 'FR']</t>
  </si>
  <si>
    <t>['DK' 'ES' 'BE' 'FI' 'UK' 'NL' 'DE' 'CH' 'RS' 'FR' 'CA' 'HU']</t>
  </si>
  <si>
    <t>['FR' 'CA' 'CZ' 'DE' 'NL' 'IT' 'CH' 'BE']</t>
  </si>
  <si>
    <t>['AR' 'BE' 'US' 'CL' 'DE' 'UK' 'PL' 'CA' 'NL']</t>
  </si>
  <si>
    <t>['SE' 'NO' 'NZ']</t>
  </si>
  <si>
    <t>['NZ' 'IT']</t>
  </si>
  <si>
    <t>['DK' 'DE' 'NL' 'SE' 'CH' 'UK' 'HU' 'ES' 'BG' 'RO' 'GE' 'EL' 'PL' 'CZ'
 'BE' 'TR' 'BA' 'SK' 'IE' 'IT' 'UA' 'FR' 'NZ' 'CN' 'CA' 'NO' 'UY']</t>
  </si>
  <si>
    <t>['BE' 'DE' 'CH' 'UK' 'DK' 'EL' 'ES' 'PT' 'LT' 'IT' 'CA' 'IE' 'NO' 'US']</t>
  </si>
  <si>
    <t>['CA' 'CH']</t>
  </si>
  <si>
    <t>['DE' 'UK' 'DK' 'CA']</t>
  </si>
  <si>
    <t>['EE' 'FR' 'CZ' 'UK' 'AT' 'DE' 'NL' 'ZA' 'CH' 'CA' 'ES' 'FI']</t>
  </si>
  <si>
    <t>['PT' 'IT' 'CA' 'UK' 'SE' 'DE' 'ES' 'US' 'NO' 'NL']</t>
  </si>
  <si>
    <t>['SI' 'UK' 'EL' 'CH' 'DE' 'ES' 'NL' 'CA' 'BE' 'IT' 'US']</t>
  </si>
  <si>
    <t>['FR' 'SE' 'DE' 'US' 'UK' 'ES' 'LU' 'CA' 'AU' 'JP' 'NZ']</t>
  </si>
  <si>
    <t>['CA' 'RO' 'BY' 'CN' 'US' 'HU' 'AT' 'ES' 'CL' 'BR']</t>
  </si>
  <si>
    <t>['IT' 'CA' 'RO' 'FR' 'IL' 'NL' 'SI' 'ES' 'US' 'AT' 'UK' 'SE' 'FI' 'LV'
 'BE' 'NO' 'CH' 'MT' 'IE' 'PT']</t>
  </si>
  <si>
    <t>['CM' 'AR' 'UK' 'ES' 'MY' 'EL' 'CZ' 'FR' 'US' 'CA' 'CL' 'TN' 'CU' 'IT'
 'TR' 'AT' 'SI' 'CH']</t>
  </si>
  <si>
    <t>['BR' 'UK' 'DE' 'JP' 'US' 'CA' 'EL' 'AT' 'SE']</t>
  </si>
  <si>
    <t>['US' 'FR' 'ES' 'AT' 'PL' 'PT' 'IT' 'CA' 'SE' 'HU' 'CZ' 'CH' 'DE' 'LT'
 'BE' 'HR' 'NO' 'BG' 'UK' 'SK' 'IE' 'DK' 'NL']</t>
  </si>
  <si>
    <t>['US' 'ES' 'FR' 'AT' 'IT' 'CA' 'PL' 'SE' 'HU' 'CZ' 'NL' 'CH' 'NO' 'DE'
 'LT' 'RO' 'BE' 'HR' 'BG' 'UK' 'SK' 'IE' 'DK']</t>
  </si>
  <si>
    <t>['AT' 'CA' 'PL' 'IT' 'SE' 'HU' 'CZ' 'NL' 'CH' 'NO' 'DE' 'LT' 'RO' 'BE'
 'HR' 'FR' 'ES' 'UK' 'SK' 'IE' 'DK']</t>
  </si>
  <si>
    <t>['EL' 'IT' 'NL' 'UK' 'RO' 'ES' 'FI' 'DE' 'FR' 'BE' 'CZ' 'SE' 'NO' 'DK'
 'BG' 'HU' 'TR' 'CH' 'CA' 'PT' 'IE' 'SI' 'CY' 'PL']</t>
  </si>
  <si>
    <t>['UK' 'US' 'ES' 'FR' 'AT' 'PL' 'IT' 'SE' 'CH' 'CZ' 'NL' 'NO' 'DE' 'LT'
 'BE' 'HR' 'AU' 'SK' 'IE' 'PT' 'DK' 'CA']</t>
  </si>
  <si>
    <t>['NO' 'ES' 'IE' 'UK' 'US' 'PT' 'FO' 'FI' 'FR' 'EL' 'IS' 'TR' 'IT' 'BE'
 'DE' 'RO' 'PL' 'DK' 'NL' 'GL' 'CA' 'SE' 'EE' 'NZ']</t>
  </si>
  <si>
    <t>['UK' 'CA']</t>
  </si>
  <si>
    <t>['UK' 'CH' 'FR' 'IT' 'DE' 'NL' 'PT' 'ZA' 'EL' 'SE' 'ES' 'AU' 'NZ' 'BE'
 'FI' 'RO' 'AT']</t>
  </si>
  <si>
    <t>['UK' 'NZ' 'AU' 'NO' 'SE']</t>
  </si>
  <si>
    <t>['DE' 'FR' 'UK' 'CZ' 'NL' 'IT' 'CA' 'SE']</t>
  </si>
  <si>
    <t>['US' 'UK' 'CA' 'PT' 'FR' 'IT' 'JP']</t>
  </si>
  <si>
    <t>['CA' nan 'UK' 'DK' 'BE' 'DE' 'FR' 'US']</t>
  </si>
  <si>
    <t>['CA' 'BE' 'EL' 'ES' 'DE' 'NL' 'RO' 'CH' 'HU' 'PL' 'UK']</t>
  </si>
  <si>
    <t>['ES' 'CA' 'UK' 'ZM' 'NL' 'TR' 'RO' 'US']</t>
  </si>
  <si>
    <t>['UK' 'ES' 'DE' 'NL' 'AU' 'BE' 'US' 'SE' 'CA']</t>
  </si>
  <si>
    <t>['IT' 'IL' 'ZA' 'FR' 'ME' 'DE' 'LT' 'EL' 'RS' 'SE' 'RO' 'TR' 'BG' 'AL'
 'RU' 'CA' 'AU' 'UK' 'BE' 'AZ' 'MK' 'DK' 'NL']</t>
  </si>
  <si>
    <t>['CA' 'DE' 'IT' 'FR' 'UK']</t>
  </si>
  <si>
    <t>['HU' 'NZ' 'CN' 'IT' 'ES' 'CZ' 'UK' 'AT' 'BG']</t>
  </si>
  <si>
    <t>['FR' 'DE' 'IT' 'UK' 'CA' 'CY']</t>
  </si>
  <si>
    <t>['US' 'DE' 'CA']</t>
  </si>
  <si>
    <t>['SE' 'MC' 'EE' 'ES' 'IT' 'CA' 'CH' 'FR' 'UK' 'AU' 'NZ' 'CN' 'DE' 'NL']</t>
  </si>
  <si>
    <t>['ES' 'IT' 'UK' 'NO' 'PT' 'EL' 'IL' 'CH' 'NL' 'CA' 'DE']</t>
  </si>
  <si>
    <t>['IT' 'DE' 'NL' 'US' 'NO' 'CA' 'ES' 'IE' 'UK' 'PT' 'CN' 'PL' 'FR' 'GE']</t>
  </si>
  <si>
    <t>['IT' 'DE' 'FR' 'IE' 'SE' 'UK' 'NO' 'FI' 'DK' 'ES' 'RU' 'CA' 'NL' 'CY'
 'EL' 'PL']</t>
  </si>
  <si>
    <t>['SK' 'RO' 'UA' 'SE' 'TR' 'EG' 'LU' 'ZA' 'UK' 'ES' 'DE' 'NZ']</t>
  </si>
  <si>
    <t>['CA' 'ZA' 'IE' 'SE' 'FR' 'IT' 'FI' 'UK']</t>
  </si>
  <si>
    <t>['IT' 'CA' 'FR' 'DE']</t>
  </si>
  <si>
    <t>['FR' 'CA' 'SE' 'NL' 'EL' 'DK' 'DE' 'CH' 'BE' 'PL' 'UK']</t>
  </si>
  <si>
    <t>['DE' 'DK' 'IS' 'FI' 'UK' 'AU' 'RO' 'US' 'NO' 'CA' 'CO']</t>
  </si>
  <si>
    <t>['US' 'JP' 'IL' 'RU' 'CN' 'AU' 'NZ' 'FR' 'UK' 'BR']</t>
  </si>
  <si>
    <t>['JP' 'UK' 'SK' 'US' 'CA' 'FR' 'CN' 'IT' 'DE' 'NL']</t>
  </si>
  <si>
    <t>['FI' 'PT' 'MA' 'JP' 'SE' 'EG' 'UK' 'US' 'FR' 'CA']</t>
  </si>
  <si>
    <t>['NL' 'FR' 'CZ' 'BE' 'AT' 'HU' 'MT' 'CA' 'EL' 'LV' 'EE' 'IT' 'UK' 'ES'
 'IL' 'DE' 'HR' 'LT' 'IE' 'TR' 'SE' 'NO' 'GE' 'CH' 'PL' 'RS' 'FI' 'PT'
 'BG' 'DK' 'LU' 'SI' 'SK' 'RO' 'AM']</t>
  </si>
  <si>
    <t>['CA' 'CN' 'PL' 'HU' 'UK' 'AU' 'ES']</t>
  </si>
  <si>
    <t>['UK' 'BG' 'DK' 'IT' 'CH' 'DE' 'BE' 'ES' 'ZA' 'SK' 'FR' 'AT' 'NL' 'NO'
 'PT' 'CY' 'PL' 'RO' 'EL' 'IE' 'LT' 'HU' 'SE' 'SI' 'HR' 'EE' 'FI' 'CA'
 'GL' 'JP' 'IS']</t>
  </si>
  <si>
    <t>['DE' 'IT' 'FR' 'AU' 'NL' 'ES' 'BE' 'UK' 'CN' 'RO' 'CA' 'CH' 'PT' 'EL']</t>
  </si>
  <si>
    <t>['BR' 'SE' 'UK' 'IE' 'NO' 'DK' 'CA' 'AT' 'CZ']</t>
  </si>
  <si>
    <t>['NO' 'DK' 'US' 'CN' 'DE' 'CA' 'GL' 'FR']</t>
  </si>
  <si>
    <t>['UK' 'FR' 'IT' 'PL' 'DE' 'CA']</t>
  </si>
  <si>
    <t>['FR' 'DE' 'NL' 'UK' 'AT' 'ES' 'PT' 'CZ' 'IT' 'CA']</t>
  </si>
  <si>
    <t>['IT' 'FR' 'DE' 'SE' 'NO' 'UK' 'CA']</t>
  </si>
  <si>
    <t>['CA' 'NL' 'PL' 'FR' 'DE' 'US' 'SI' 'CH' 'ES' 'HU' 'UK' 'IT']</t>
  </si>
  <si>
    <t>['US' 'BE' 'DK' 'DE' 'AR' 'UK' 'NL' 'BR' 'ZA' 'CA' 'FR' 'IS' 'ES' 'PT'
 'MX' 'IE' 'SE']</t>
  </si>
  <si>
    <t>['IT' 'FR' 'US' 'DE' nan 'BG' 'CL' 'CA' 'PL' 'BE' 'MX' 'UK' 'ES']</t>
  </si>
  <si>
    <t>['BE' 'FR' 'DE' 'SE' 'IT' 'UK' 'CN' 'CH' 'IL' 'DK' nan 'BR' 'RO' 'PT' 'ES'
 'EL' 'US' 'NL' 'SK' 'AT' 'MX' 'CZ' 'CL' 'CA' 'FI' 'LU' 'CY']</t>
  </si>
  <si>
    <t>['SK' 'FR' 'HU' 'CZ' 'FI' 'BE' 'DE' 'NL' 'UK' 'PL' 'SI' 'AT' 'ES' 'LT'
 'CH' 'DK' 'SE' 'UA' 'PT' 'CA' 'EL' 'JP' 'AU' 'RO' 'CY' 'BG']</t>
  </si>
  <si>
    <t>['FR' 'BE' 'CA' 'DE' 'NL' 'FI' 'CZ' 'SE' 'IT' 'UK' 'ES' 'CH']</t>
  </si>
  <si>
    <t>['CA' 'IL' 'CH' 'FR']</t>
  </si>
  <si>
    <t>['UK' 'RU' 'DK' 'CN' 'FR' 'FO' 'US' 'ES' 'FI' 'IS' 'NL' 'IE' 'DE' 'NO'
 'CA' 'CH' 'IT' 'PT' 'KR']</t>
  </si>
  <si>
    <t>['UK' 'CA' 'NL' 'ID' 'CO' 'SE' 'DE' 'PT' 'CH' 'ES']</t>
  </si>
  <si>
    <t>['NO' 'DK' 'EE' 'MK' 'DE' 'HU' 'BG' 'ES' 'SE' 'AT' 'BE' 'FR' 'IT' 'UK'
 'FI' 'CH' 'PT' 'LV' 'IL' 'NL' 'SI' 'IS' 'EL' 'HR' 'CA' 'CZ' 'PL']</t>
  </si>
  <si>
    <t>['AT' 'MK' 'CA' 'FR' 'EL' 'CH' 'RO' 'BE' 'NL' 'UK' 'IE']</t>
  </si>
  <si>
    <t>['US' 'UK' 'ZA' 'CL' 'NZ' 'CH' 'CZ' 'CN' 'IT' 'AU' 'FR' 'CA']</t>
  </si>
  <si>
    <t>['DK' 'BE' 'PL' 'DE' 'FR' 'IT' 'CA' 'FI' 'AU' 'CH' 'PT' 'UK' 'NL' 'ES']</t>
  </si>
  <si>
    <t>['DE' 'HU' 'EL' 'AT' 'NL' 'FR' 'CH' 'ZW' 'IT' 'ES' 'BE' 'CA' 'SN']</t>
  </si>
  <si>
    <t>['AT' 'PL' 'IT' 'BE' 'CA' 'TR' 'DE' 'NL' 'ES' 'SE']</t>
  </si>
  <si>
    <t>['UK' 'PL' 'DK' 'DE' 'FR' 'ES' 'IT' 'CH' 'NL' 'SE' 'BE' 'AT' 'CA' 'ZA'
 'NO' 'SI' 'IE' 'EL' 'MT' 'MV' 'GL' 'IL' 'PT' 'RU' 'SK' 'MZ' 'MW' 'UG'
 'KE']</t>
  </si>
  <si>
    <t>['AT' 'NL' 'NO' 'UK' 'CA' 'DE']</t>
  </si>
  <si>
    <t>['EL' 'DK' 'UK' 'CN' 'RO' 'NL' 'CA']</t>
  </si>
  <si>
    <t>['FR' 'IT' 'CA']</t>
  </si>
  <si>
    <t>['DE' 'IE' 'FI' 'AU' 'NZ']</t>
  </si>
  <si>
    <t>['PT' 'IE' 'FR' 'UK' 'DE' 'NL' 'EL' 'CA']</t>
  </si>
  <si>
    <t>['AR' 'DK' 'IT' 'ES' 'EL' 'CA' 'ZA']</t>
  </si>
  <si>
    <t>['DE' 'IT' 'ES' 'NO' 'BE' 'BG' 'CZ' 'UK' 'FI' 'FR' 'NL' 'EL' 'US' 'CN'
 'JP' 'CA' 'NZ' 'SI' 'AT' 'PT' 'IE' 'RS']</t>
  </si>
  <si>
    <t>['FR' 'AT' 'NL' 'BE' 'IT' 'RU' 'DE' 'PL' 'CA' 'ES' 'UK' 'RO' 'SE']</t>
  </si>
  <si>
    <t>['NO' 'UK' 'ES' 'CA' 'FR' 'IS' 'CH' 'DE' 'SE' 'IN' 'AT' 'ZA' 'IT' 'NL'
 'EL' 'BE']</t>
  </si>
  <si>
    <t>['NL' 'FR' 'BE' 'DK' 'NO' 'DE' 'FI' 'UK' 'UA' 'PL' 'IE' 'IT' 'ES' 'CH'
 'AT' 'RO' 'HU' 'PT' 'SK' 'CZ' 'SE' 'CA' 'SI']</t>
  </si>
  <si>
    <t>['PT' 'DE' 'FI' 'ZA' 'IT' 'CA' 'UK' 'IS']</t>
  </si>
  <si>
    <t>['HU' 'CA' 'AT']</t>
  </si>
  <si>
    <t>['ES' 'AT' 'UK' 'DE' 'US' 'PL' 'FR' 'SI' 'NL' 'PT' 'AU' 'UA' 'CH' 'SE'
 'BE' 'HU' 'RU' 'CA' 'IE' 'ZA' 'CZ' 'FI' 'RS' 'IT' 'HR']</t>
  </si>
  <si>
    <t>['TR' 'CA']</t>
  </si>
  <si>
    <t>['DE' 'FR' 'DK' 'UK' 'IT' 'CA']</t>
  </si>
  <si>
    <t>['AT' 'FR' 'CA' 'DE' 'BE' 'JP' 'CH' 'RU' 'UK' 'IT']</t>
  </si>
  <si>
    <t>['US' 'FR' 'BR' 'CZ' 'DE' 'RU' 'CA' 'IT' 'ES' 'UK' 'IE']</t>
  </si>
  <si>
    <t>['AT' 'RO' 'RS' 'DE' 'CH' 'JP' 'US' 'RU' 'UK' 'SE' 'FR' 'IT' 'BE' 'EL'
 'ES' 'HK' 'CA']</t>
  </si>
  <si>
    <t>['ES' 'ET' 'SE' 'IN' 'BR' 'CL' 'PT' 'FR' 'UK' 'RU' 'DK' 'US' 'MA' 'NL'
 'NG' 'IE' 'CA' 'DE']</t>
  </si>
  <si>
    <t>['FI' 'ZA' 'CH' 'NO' 'ES' 'DE' 'UK' 'CA' 'NL' 'RU' 'IT' 'FR' 'IN' 'SE']</t>
  </si>
  <si>
    <t>['FR' 'DE' 'UK' 'JP' 'NL' 'IT' 'KR' 'NZ' 'SG' 'PT' 'RU' 'US' 'CL' 'ZA'
 'SI' 'SE' 'IE' 'CA']</t>
  </si>
  <si>
    <t>['EE' 'TW' 'US' 'EL' 'IT' 'IE' 'UK' 'IN' 'CN' 'SE' 'CY' 'DE' 'IS' 'JP'
 'NZ' 'FR' 'IL' 'NL' 'CH' 'TR' 'MX' 'RO' 'MD' 'ZA' 'MK' 'AT']</t>
  </si>
  <si>
    <t>['NO' 'HU' 'IT' 'UK' 'CA' 'AU' 'EL' 'ES' 'DE' 'PT' 'FR' 'CN' 'IE']</t>
  </si>
  <si>
    <t>['BE' 'ES' 'TW' 'FI' 'DE' 'NL' 'CY' 'IT' 'RO' 'TR' 'DK' 'EG' 'SE' 'NO'
 'ZA' 'IE' 'TN' 'MD' 'CA' 'FR' 'PL' 'PT']</t>
  </si>
  <si>
    <t>['AT' 'NL' 'SI' 'BE' 'EL' 'DK' 'IT' 'HU' 'UK' 'IN' 'DE' 'AR' 'RO' 'PT'
 'FR' 'ES' 'RU' 'US' 'PL' 'LB' 'CA']</t>
  </si>
  <si>
    <t>['IE' 'FR' 'CH' 'JP' 'CA' 'NO' 'ES' 'IR' 'CZ' 'NL' 'SE']</t>
  </si>
  <si>
    <t>['NL' 'DE' 'IE' 'BE' 'IL' 'NZ' 'IT' 'DK' 'AT' 'TH' 'ES' 'PT' 'US' 'CH']</t>
  </si>
  <si>
    <t>['FR' 'NO' 'NL' 'ES' 'CH' 'IS' 'PT' 'DE' 'IT' 'CZ' 'PL' 'UA' 'AT' 'BE'
 'CA' 'SE' 'CO' 'UK' 'AR' 'EG' 'MA' 'HU']</t>
  </si>
  <si>
    <t>['DK' 'AT' 'NZ' 'DE' 'ES' 'NL' 'PL']</t>
  </si>
  <si>
    <t>['IT' 'EL' 'US' 'RU' 'HU' 'SK' 'CA']</t>
  </si>
  <si>
    <t>['IT' 'CH' 'UK' 'MW' 'GH' 'BE' 'NZ' 'BF' 'KE']</t>
  </si>
  <si>
    <t>['DK' 'IE' 'NZ' 'BE' 'NL' 'FR' 'IT' 'IL' 'UK' 'ES' 'CA' 'FI' 'NO' 'LT'
 'US' 'AU' 'DE']</t>
  </si>
  <si>
    <t>['AT' 'CA']</t>
  </si>
  <si>
    <t>['FR' 'DZ' 'US' 'ID' 'ES' 'EL' 'DK' 'PL' 'AU' 'CA' 'CH' 'VN' 'UK']</t>
  </si>
  <si>
    <t>['DE' 'NO' 'FI' 'EL' 'IT' 'FR' 'SE' 'ES' 'UK' 'CH' 'RU' 'AT' 'LT' 'NZ']</t>
  </si>
  <si>
    <t>['CR' 'ES' 'US' 'PT' 'DE' 'CL' 'SE' 'CA' 'FI' 'BR']</t>
  </si>
  <si>
    <t>['CA' 'CH' 'SE']</t>
  </si>
  <si>
    <t>['NL' 'AT' 'FR' 'IL' 'CA' 'RO' 'ES' 'TR' 'DE' 'LV' 'FI' 'UK' 'NO' 'IT'
 'SK' 'PL' 'BE' 'PT']</t>
  </si>
  <si>
    <t>['CA' 'FR' 'IL' 'ES' 'TR' 'IT' 'SE' 'DK' 'RO' 'NL' 'FI' 'DE' 'AT' 'UK'
 'NO' 'LU' 'SK' 'PL' 'BE' 'PT']</t>
  </si>
  <si>
    <t>['IT' 'NZ']</t>
  </si>
  <si>
    <t>['CZ' 'CA']</t>
  </si>
  <si>
    <t>['DE' 'CA' 'CH']</t>
  </si>
  <si>
    <t>['DE' 'NL' 'IE' 'UK' 'DK' 'IT' 'US' 'CA']</t>
  </si>
  <si>
    <t>['DE' 'IT' 'EL' 'UK' 'BE' 'FI' 'NL' 'AT' 'IL' 'PT' 'ES' 'SK' 'CY' 'NZ'
 'DK']</t>
  </si>
  <si>
    <t>['JP' 'IT' 'VN' 'NO' 'US' 'FR' 'CA' 'DE' 'UK' 'SE']</t>
  </si>
  <si>
    <t>['ES' 'IT' 'DE' 'BE' 'PT' 'FR' 'CA']</t>
  </si>
  <si>
    <t>['DE' 'BE' 'FR' 'ES' 'IT' 'NL' 'CA']</t>
  </si>
  <si>
    <t>['ES' 'CA' 'ID' 'BA' 'IT' 'AU' 'DE' 'EL' 'CH' 'CZ' 'PL' 'AT' 'NO' 'DK'
 'FR' 'NL' 'RO']</t>
  </si>
  <si>
    <t>['IT' 'IE' 'BE' 'FR' 'CA']</t>
  </si>
  <si>
    <t>['UK' 'CA' 'NL' 'FR']</t>
  </si>
  <si>
    <t>['NL' 'HR' 'HU' 'DE' 'RO' 'BE' 'AT' 'EL' 'SK' 'RS' 'NO' 'IT' 'CA']</t>
  </si>
  <si>
    <t>['UK' 'ES' 'IE' 'IT' 'SI' 'NL' 'DE' 'DK' 'SE' 'BE' 'CH' 'FR' 'EL' 'EE'
 'HU' 'NO' 'CZ' 'BO' 'CN' 'AU' 'NZ' 'AT' 'KZ' 'FI']</t>
  </si>
  <si>
    <t>['NO' 'CA' 'DK' 'CN' 'PL' 'UK' 'BE' 'DE' 'FI' 'US' 'IE' 'RU' 'SE' 'PT'
 'FR' 'KR' 'IT' 'GL' 'JP' 'ES']</t>
  </si>
  <si>
    <t>['NO' 'BE' 'UK' 'ES' 'IS' 'SE' 'ZA' 'IE' 'DE' 'PT' 'DK' 'FR' 'BR' 'CA']</t>
  </si>
  <si>
    <t>['IT' 'SE' 'DE' 'EL' 'CA' 'FI' 'DK' 'UK']</t>
  </si>
  <si>
    <t>['AT' 'DE' 'EL' 'IT' 'US' 'NO' 'UK' 'CA']</t>
  </si>
  <si>
    <t>['US' 'ES' 'AU' 'IT' 'AR' 'FR' 'TW' 'CA']</t>
  </si>
  <si>
    <t>['NZ' 'UK']</t>
  </si>
  <si>
    <t>['IT' 'JP' 'CA' 'US' 'FR' 'PT']</t>
  </si>
  <si>
    <t>['ES' 'FR' 'BR' 'AT' 'US' 'CL' 'CZ' 'UK' 'NL' 'CA']</t>
  </si>
  <si>
    <t>['AT' 'HU' 'FI' 'BE' 'EL' 'BG' 'ES' 'IT' 'CA' 'NL' 'FR']</t>
  </si>
  <si>
    <t>['UK' 'CA' 'FI' 'AT' 'FR' 'PT' 'NL' 'ES' 'DK']</t>
  </si>
  <si>
    <t>['NL' 'US' 'FR' 'EL' 'SE' 'DE' 'UK' 'BE' 'CA']</t>
  </si>
  <si>
    <t>['CH' 'IL' 'UK' 'DE' 'IE' 'FR' 'SK' 'IT' 'CZ' 'NL' 'SE' 'BE' 'DK' 'NO'
 'EE' 'NZ' 'CY' 'SI']</t>
  </si>
  <si>
    <t>['DK' 'FR' 'NZ' 'IT' 'JP' 'MX']</t>
  </si>
  <si>
    <t>['CA' 'BE' 'UK' 'TW' 'DE' 'NL' 'US' 'FR' 'ZA']</t>
  </si>
  <si>
    <t>['FR' 'CN' 'IT' 'US' 'NZ' 'CA']</t>
  </si>
  <si>
    <t>['CN' 'FI' 'SE' 'AT' 'NZ' 'DK' 'AU' 'CZ' 'BE' 'CH' 'DE' 'JP' 'ES' 'US'
 'BG']</t>
  </si>
  <si>
    <t>['CA' 'PL' 'AT' 'BR' 'DE' 'DK' 'AR' 'IT' 'ES' 'IE' 'ZA' 'EL' 'BE' 'US'
 'NL' 'IN' 'AU' 'FR' 'UK' 'NZ' 'EE' 'CN']</t>
  </si>
  <si>
    <t>['CA' 'IL' 'ES' 'SE' 'RO' 'DE' 'AR' 'NL' 'PL' 'UK' 'FR']</t>
  </si>
  <si>
    <t>['FR' 'UK' 'DE' 'AT' 'ES' 'NL' 'IT' 'AU' 'HU' 'US' 'CA' 'SE']</t>
  </si>
  <si>
    <t>['US' 'UK' 'BE' 'FR' 'DE' 'CA' 'CH']</t>
  </si>
  <si>
    <t>['IE' 'FR' 'DE' 'HU' 'ES' 'SK' 'UK' 'CA' 'IT' 'CH' 'CZ' 'US' 'ET' 'BE'
 'ZA' 'BG']</t>
  </si>
  <si>
    <t>['SE' 'FR' 'NL' 'DE' 'UK' 'PL' 'CZ' 'FI' 'ES' 'CA' 'IT' 'BE' 'HU' 'LV'
 'AT' 'EL' 'HR']</t>
  </si>
  <si>
    <t>['US' 'EG' 'UK' 'TR' 'CA' 'DK']</t>
  </si>
  <si>
    <t>['CA' 'UK' 'NL' 'DE' 'FR' 'US' 'IL' 'CN' 'ES']</t>
  </si>
  <si>
    <t>['CA' 'PK' 'UK' 'BE' 'PT' 'DE' 'AU' 'FR' 'CH' 'NO' 'AT' 'PL' 'NL' 'FI'
 'RO' 'BG' 'ES' 'IT' 'CZ' 'EE' 'US' 'DK' 'SE']</t>
  </si>
  <si>
    <t>['UK' 'CH' 'US' 'EL' 'CA']</t>
  </si>
  <si>
    <t>['CZ' 'ES' 'DE' 'NO' 'UK' 'BE' 'SI' 'FR' 'US' 'IS' 'BR' 'EL' 'NL' 'CH'
 'CY' 'DK' 'IT' 'SE' 'CA']</t>
  </si>
  <si>
    <t>['CN' 'CA' 'EL' 'UK' 'NL' 'DE' 'IT' 'FR' 'PT' 'IN' 'PL']</t>
  </si>
  <si>
    <t>['CA' 'UK' 'EL' 'IT' 'ES' 'RO' 'US' 'BE']</t>
  </si>
  <si>
    <t>['DE' 'AT' 'UK' 'IL' 'CH' 'NL' 'DK' 'CA' 'BE']</t>
  </si>
  <si>
    <t>['ES' 'DE' 'FR' 'IT' 'CA' 'US' 'IE' 'UK' 'FI' 'IS' 'PT']</t>
  </si>
  <si>
    <t>['NL' 'DE' 'FI' 'CA' 'BE' 'AT' 'UK' 'ES' 'DK' 'LU' 'SE' 'IS']</t>
  </si>
  <si>
    <t>['IT' 'DE' 'UA' 'CY' 'UK' 'HR' 'PT' 'IL' 'NL' 'BG' 'EL' 'AU' 'SE' 'ES'
 'CA' 'RO' 'FR' 'FI']</t>
  </si>
  <si>
    <t>['ES' 'UK' 'AR' 'JP' 'BE' 'US' 'AU' 'CN' 'CZ' 'NL' 'IN' 'NG' 'CA' 'ZA'
 'NO' 'CO' 'SE']</t>
  </si>
  <si>
    <t>['IS' 'PT' 'FI' 'NL' 'UK' 'AT' 'SE' 'NO' 'DE' 'BE' 'FR' 'IT' 'DK' 'CA']</t>
  </si>
  <si>
    <t>['CA' 'FI' 'FR' 'NL' 'UK' 'DE' 'IT' 'US' 'NO']</t>
  </si>
  <si>
    <t>['SE' 'IT' 'UK' 'DE' 'ES' 'NL' 'PL' 'FR' 'BE' 'CH' 'US' 'DK' 'CA' 'LU']</t>
  </si>
  <si>
    <t>['CA' 'NL' 'US' 'IT' 'FI' 'IL' 'BE' 'SE' 'CZ' 'PL']</t>
  </si>
  <si>
    <t>['SK' 'FR' 'JP' 'HU' 'CA' 'FI' 'DE' 'UK' 'US' 'ES' 'BE' 'NL' 'CH' 'LT'
 'CZ']</t>
  </si>
  <si>
    <t>['PL' 'AT' 'DE' 'DK' 'FR' 'CZ' 'IT' 'IL' 'CA' 'SK']</t>
  </si>
  <si>
    <t>['NO' 'UK' 'DE' 'BE' 'BR' 'ES' 'FO' 'DK' 'FR' 'CA' 'HR' 'IE' 'PT' 'PL'
 'ZA' 'IT' 'NL' 'US']</t>
  </si>
  <si>
    <t>['CH' 'BE' 'UK' 'DK' 'FR' 'CA' 'EL' 'ES' 'DE' 'IT' 'IE' 'BR' 'NO' 'PL'
 'PT' 'EE']</t>
  </si>
  <si>
    <t>['UK' 'PL' 'DK' 'DE' 'FR' 'CH' 'CZ' 'RO' 'ES' 'IL' 'AT' 'NL' 'IT' 'BE'
 'BG' 'CA']</t>
  </si>
  <si>
    <t>['UK' 'US' 'NL' 'IN' 'SE' 'UY' 'NZ' 'IT' 'NO' 'DE' 'ES' 'AU' 'ID']</t>
  </si>
  <si>
    <t>['CA' 'IT' 'UA' 'BR' 'UK' 'FR' 'NL' 'DK' 'NO' 'US' 'ES' 'LY' 'TN' 'PL'
 'TR']</t>
  </si>
  <si>
    <t>['TW' 'PG' 'EE' 'NL' 'ID' 'NZ' 'CH' 'SE' 'AT' 'CA' 'AU' 'PH' 'UK' 'DE'
 'US' 'FR']</t>
  </si>
  <si>
    <t>['NL' 'DE' 'FI' 'DK' 'UK' 'CA' 'SE' 'EL' 'HU' 'FR' 'BE' 'CZ' 'ES' 'AT'
 'IL' 'US']</t>
  </si>
  <si>
    <t>['BE' 'CH' 'IT' 'US' 'UK' 'DE' 'DK' 'CA' 'JP']</t>
  </si>
  <si>
    <t>['AT' 'ZA' 'UK' 'DE' 'CA']</t>
  </si>
  <si>
    <t>['CH' 'UK' 'CA']</t>
  </si>
  <si>
    <t>['UK' 'ES' 'CA']</t>
  </si>
  <si>
    <t>['DE' 'US' 'PL' 'CR' 'AR' 'SE' 'AT' 'IT' 'FR' 'IL' 'UK' 'ZA' 'DK' 'CN'
 'ES' 'ID' 'CA']</t>
  </si>
  <si>
    <t>['UK' 'AT' 'CA']</t>
  </si>
  <si>
    <t>['ES' 'IT' 'DE' 'UK' 'CA' 'FR']</t>
  </si>
  <si>
    <t>['IT' 'SE' 'NL' 'IL' 'PL' 'UK' 'DE' 'BE' 'CA']</t>
  </si>
  <si>
    <t>['AR' 'NZ' 'IE' 'IT' 'NL' 'ES' 'US']</t>
  </si>
  <si>
    <t>['HU' 'EL' 'TW' 'EE' 'FR' 'IL' 'CA' 'RO' 'ES' 'HR' 'TR' 'LV' 'FI' 'DE'
 'UK' 'NO' 'CH' 'IT' 'SK' 'IE' 'PL' 'BE' 'PT']</t>
  </si>
  <si>
    <t>['BE' 'DE' 'HU' 'NZ']</t>
  </si>
  <si>
    <t>['CA' 'ES' 'IT' 'CZ' 'DE' 'AT' 'FR' 'FI' 'NL' 'UK' 'BE']</t>
  </si>
  <si>
    <t>['CA' 'US' 'DE' 'SN' 'CO' 'BR' 'NL' 'DK' 'FR']</t>
  </si>
  <si>
    <t>['FR' 'UK' 'IT' 'PL' 'ES' 'BE' 'CH' 'AT' 'EL' 'DE' 'NL' 'PT' 'CY' 'IL'
 'NO' 'HU' 'DK' 'US' 'SE' 'AU' 'CA']</t>
  </si>
  <si>
    <t>['DE' 'EL' 'FR' 'UK' 'US' 'CA' 'NL' 'ES']</t>
  </si>
  <si>
    <t>['NL' 'IT' 'HU' 'UK' 'US' 'CA' 'ES']</t>
  </si>
  <si>
    <t>['UK' 'DE' 'CZ' 'CA' 'ES' 'FR' 'IT']</t>
  </si>
  <si>
    <t>['UK' 'PT' 'IT' 'NZ' 'FR' 'BE' 'NL' 'CH' 'ES' 'RO' 'DE' 'IE' 'SE' 'RS'
 'PL' 'UA']</t>
  </si>
  <si>
    <t>['DK' 'UK' 'ZA' 'NG' 'MG' 'NZ' 'CO' 'US' 'NL' 'AT' 'FR' 'AU' 'CN' 'BR'
 'DE' 'RU' 'BE']</t>
  </si>
  <si>
    <t>['DE' 'FR' 'FI' 'UK' 'EL' 'CZ' 'NL' 'CA' 'PT' 'DK' 'ES' 'IT' 'AT' 'IL'
 'SE']</t>
  </si>
  <si>
    <t>['CA' 'UK' 'FR' 'SE' 'SI' 'AT' 'EL' 'US' 'IT']</t>
  </si>
  <si>
    <t>['US' 'CZ' 'SK' 'AR' 'LV' 'AT' 'ID' 'CA' 'IE']</t>
  </si>
  <si>
    <t>['CZ' 'AT' 'FR' 'UK' 'ES' 'JP' 'US' 'HU' 'DE' 'CA' 'CH' 'IT' 'PL' 'UA']</t>
  </si>
  <si>
    <t>['DE' 'ES' 'NL' 'CA' 'FR']</t>
  </si>
  <si>
    <t>['EC' 'AR' 'UK' 'NL' 'CO' 'ES' 'DE' 'CL' 'CA' 'PE' 'BR']</t>
  </si>
  <si>
    <t>['ES' 'NL' 'DK' 'UK' 'US' 'NO' 'CH' 'HR' 'BE' 'DE' 'FR' 'AT' 'AU' 'JP'
 'CA']</t>
  </si>
  <si>
    <t>['NL' 'UK' 'DE' 'CA' 'SE' 'CH' 'US' 'FR']</t>
  </si>
  <si>
    <t>['US' 'BE' 'IL' 'PT' 'FR' 'NO' 'DE' 'CA' 'ES']</t>
  </si>
  <si>
    <t>['PL' 'UK' 'SE' 'CA' 'ES' 'DE' 'CH']</t>
  </si>
  <si>
    <t>['CZ' 'US' 'IT' 'NL' 'UK' 'CA' 'HU']</t>
  </si>
  <si>
    <t>['DE' 'NL' 'UK' 'IL' 'SE' 'AT' 'CA' 'CH']</t>
  </si>
  <si>
    <t>['DE' 'FI' 'NO' 'NL' 'SE' 'US' 'DK' 'IT' 'RU' 'CA' 'UK' 'CH' 'KR' 'GL'
 'JP' 'FR' 'IN' 'BE']</t>
  </si>
  <si>
    <t>['DK' 'IE' 'NO' 'IT' 'UK' 'PL' 'IS' 'FR' 'ES' 'PT' 'BE' 'EL' 'CA']</t>
  </si>
  <si>
    <t>['DE' 'CA' 'SE' 'NO' 'DK' 'IT' 'UK' 'US' 'IE' 'FR' 'RS' 'FI' 'AU' 'ES'
 'NL' 'CH']</t>
  </si>
  <si>
    <t>['NO' 'IT' 'DE' 'ES' 'IS' 'FO' 'UK' 'FR' 'CA' 'DK' 'VN']</t>
  </si>
  <si>
    <t>['NO' 'CZ' 'UK' 'IT' 'FR' 'CL' 'EL' 'ES' 'HU' 'IS' 'FO' 'DK' 'DE' 'CA'
 'SE' 'VN']</t>
  </si>
  <si>
    <t>['NO' 'SE' 'BR' 'ES' 'DE' 'IE' 'UK' 'ZA' 'US' 'PT' 'IS' 'FO' 'DK' 'CA'
 'FR' nan]</t>
  </si>
  <si>
    <t>['NO' 'NL' 'BE' 'DK' 'CY' 'FR' 'DE' 'UK' 'IT' 'PT' 'SI' 'CA']</t>
  </si>
  <si>
    <t>['FR' 'DE' 'AU' 'DK' 'CH' 'NL' 'US' 'IT' 'NZ' 'CA']</t>
  </si>
  <si>
    <t>['PT' 'FR' 'PL' 'AT' 'DE' 'CA' 'SE' 'NL']</t>
  </si>
  <si>
    <t>['SE' 'DE' 'CA']</t>
  </si>
  <si>
    <t>['DE' 'LB' 'CA' 'BE' 'IT' 'NO']</t>
  </si>
  <si>
    <t>['UK' 'ES' 'EE' 'DE' 'SE' 'NL' 'IT' 'IN' 'CA' 'HU' nan 'FR']</t>
  </si>
  <si>
    <t>['BG' 'FR' 'ES' 'BE' 'PL' 'IL' 'IT' 'NL' 'EL' 'CA' 'MA' 'CY' 'DE' 'SE'
 'IE']</t>
  </si>
  <si>
    <t>['FR' 'IT' 'CA' 'UK' 'BE' 'US']</t>
  </si>
  <si>
    <t>['DE' 'CY' 'JP' 'EE' 'SK' 'IE' 'ZA' 'EL' 'CH' 'UK' 'NO' 'PK' 'LU' 'IT'
 'FI' 'BR' 'PL' 'KR' 'CA']</t>
  </si>
  <si>
    <t>['ES' 'DE' 'CA' 'PT' 'US' 'FR' 'DK']</t>
  </si>
  <si>
    <t>['UK' 'IE' 'ES' 'IT' 'NL' 'DE' 'CA' 'BE' 'HU' 'FR' 'SE' 'NO' 'IL']</t>
  </si>
  <si>
    <t>['IT' 'ES' 'FR' 'CU' 'US' 'CA']</t>
  </si>
  <si>
    <t>['DE' 'AT' 'LT' 'EL' 'SE' 'IT' 'CA']</t>
  </si>
  <si>
    <t>['FR' 'RO' 'ES' 'NL' 'SK' 'IT' 'UK' 'DE' 'DK' 'NO' 'IS' 'PT' 'CA' 'TR']</t>
  </si>
  <si>
    <t>['UK' 'IT' 'IL' 'HR' 'BE' 'NO' 'SE' 'NL' 'DE' 'EL' 'ES' 'US' 'CO' 'AR'
 'CU' 'CA']</t>
  </si>
  <si>
    <t>['IT' 'BR' 'CA']</t>
  </si>
  <si>
    <t>['CA' 'DE' 'DK' 'IT']</t>
  </si>
  <si>
    <t>['CA' 'FR' 'IT']</t>
  </si>
  <si>
    <t>['CZ' 'IT' 'IE' 'FR' 'DE' 'SE' 'UK' 'CH' 'CA' 'EL' 'NO']</t>
  </si>
  <si>
    <t>['NZ' 'IE']</t>
  </si>
  <si>
    <t>['IT' 'ES' 'UK' 'CA' 'BE' 'DE' 'LT' 'DK']</t>
  </si>
  <si>
    <t>['ES' 'IT' 'CA']</t>
  </si>
  <si>
    <t>['CA' 'ES' 'IT' 'BE' 'IE' 'DE' 'UK' 'PT' 'DK' 'EL' 'NL']</t>
  </si>
  <si>
    <t>['IT' 'CA' 'EL' 'IE' 'BE' 'FR' 'NL' 'ES' 'UK' 'DE' 'PT' 'DK' 'HU' 'US']</t>
  </si>
  <si>
    <t>['MT' 'FR' 'ES' 'CH' 'CA' 'SI']</t>
  </si>
  <si>
    <t>['FI' 'NL' 'AT' 'CA' 'SE' 'NO' 'DE' 'IT' 'DK' 'IS']</t>
  </si>
  <si>
    <t>['AT' 'FI' 'IE' 'US' 'ES' 'CH' 'MT' 'NO' 'NL' 'FR' 'CA' 'DE']</t>
  </si>
  <si>
    <t>['CA' 'AT' 'US' 'DE' 'RO' 'FR' 'PL' 'RS' 'NL']</t>
  </si>
  <si>
    <t>['NO' 'DK' 'BE' 'UK' 'FI' 'SE' 'CA' 'DE' 'GL' 'FR']</t>
  </si>
  <si>
    <t>['RO' 'DK' 'CA' 'UK' 'FI' 'EL' 'TR' 'IE' 'ES' 'DE' 'IT' 'PT' 'NO' 'FR'
 'NL']</t>
  </si>
  <si>
    <t>['CA' 'NL' 'IL']</t>
  </si>
  <si>
    <t>['NO' 'DK' 'UK' 'DE' 'CA' 'GL' 'FR' 'PT']</t>
  </si>
  <si>
    <t>['NO' 'DK' 'NL' 'UA' 'SE' 'FI' 'PT' 'US' 'CA' 'BG' 'PL' 'ES' 'IS' 'IE'
 'FR' 'DE' 'UK' 'IT' 'AT' 'GL']</t>
  </si>
  <si>
    <t>['CH' 'DE' 'PL' 'CA' 'UK' 'IT' 'ES']</t>
  </si>
  <si>
    <t>['DK' 'FR' 'IT' 'JP' 'DE' 'SE' 'ES' 'BE' 'AT' 'CH' 'NL' 'CA' 'PL' 'EL'
 'PT' 'SI' 'NO']</t>
  </si>
  <si>
    <t>['CA' 'AT' 'DE' 'FR' 'IT' 'MT']</t>
  </si>
  <si>
    <t>['IT' 'US' 'DE' 'JP' 'NZ' 'LV']</t>
  </si>
  <si>
    <t>['CA' 'NO']</t>
  </si>
  <si>
    <t>['PL' 'SI' 'ES' 'DE' 'IT' 'FI' 'PT' 'DK' 'NL' 'UK' 'JP' 'CA' 'US' 'NO'
 'TR' 'IE']</t>
  </si>
  <si>
    <t>['US' 'PL' 'NL' 'IL' 'MX' 'DE' 'IT' 'DK' 'CA']</t>
  </si>
  <si>
    <t>['DK' 'JP' 'CA' 'PT' 'AR' 'DE' 'FR']</t>
  </si>
  <si>
    <t>['US' 'CZ' 'DE' 'ES' 'NZ' 'CH' 'IT' 'NL']</t>
  </si>
  <si>
    <t>['CA' 'TN' 'EE' 'TR' 'DE' 'FR' 'SG' 'IT' 'UK' 'DK' 'PT' 'SE']</t>
  </si>
  <si>
    <t>['NL' 'UK' 'FR' 'DE' 'SE' 'CA' 'AU']</t>
  </si>
  <si>
    <t>['FI' 'IT' 'ES' 'BE' 'AR' 'US' 'FR' 'CA' 'NL' 'DE']</t>
  </si>
  <si>
    <t>['UK' 'IT' 'ES' 'FR' nan 'DE' 'DK' 'NL' 'NO' 'CA' 'US']</t>
  </si>
  <si>
    <t>['FR' 'EL' 'PT' 'NL' 'UK' 'DE' 'ES' 'CA' 'BE' 'IT']</t>
  </si>
  <si>
    <t>['LU' 'CA']</t>
  </si>
  <si>
    <t>['CA' 'ES' 'CR' 'CY' 'DE' 'BE' 'AU' 'IL' 'KR' 'DK' 'IT' 'EE']</t>
  </si>
  <si>
    <t>['FI' 'CA']</t>
  </si>
  <si>
    <t>['CA' 'ES' 'IT' 'DE']</t>
  </si>
  <si>
    <t>['FR' 'IT' 'US' 'PT' 'UA' 'CH' 'UK' 'CA']</t>
  </si>
  <si>
    <t>['PT' 'BE' 'DE' 'NL' 'IT' 'IE' 'CA' 'ES' 'BG' 'UK' 'RS']</t>
  </si>
  <si>
    <t>['CA' 'ES' 'PL' 'TR' 'UK' 'PT' 'SE']</t>
  </si>
  <si>
    <t>['FR' 'DE' 'SE' 'IT' 'BE' 'RS' 'EL' 'PL' 'UK' 'ES' 'NL' 'IL' 'NO' 'CA'
 'DK' 'CH' 'US']</t>
  </si>
  <si>
    <t>['BE' 'IT' 'CA']</t>
  </si>
  <si>
    <t>['PL' 'DE' 'AF' 'NG' 'NL' 'TR' 'MA' 'SE' 'IQ' 'CA' 'JO' 'UK' 'EL' 'TN']</t>
  </si>
  <si>
    <t>['FJ' 'US' 'AU' 'DE']</t>
  </si>
  <si>
    <t>['FR' 'BG' 'DK' 'IT' 'CH' 'DE' 'NZ' 'NL' 'AT' 'PL' 'EL' 'UK' 'ES' 'BE'
 'CZ' 'US']</t>
  </si>
  <si>
    <t>['BE' 'ES' 'IT' 'AT' 'DK' 'FR' 'NL' 'IE' 'RS' 'UK' 'PL' 'DE' 'CA']</t>
  </si>
  <si>
    <t>['MA' 'BR' 'FR' 'DE' 'TR' 'IE' 'NL' 'DK' 'CA' 'CH']</t>
  </si>
  <si>
    <t>['DE' 'CA' 'ES' 'NL' 'IT' 'BE' 'FR']</t>
  </si>
  <si>
    <t>['CH' 'SE' 'UK' 'AT' 'EE' 'DE' 'IL' 'IT' 'SI' 'FI' 'FR' 'NL' 'ES' 'RS'
 'PL' 'TR' 'IE' 'PT' 'CA' 'US' 'NO' 'EL' 'CY']</t>
  </si>
  <si>
    <t>['EL' 'NO' 'IT' 'NL' 'MH' 'DE' 'UK']</t>
  </si>
  <si>
    <t>['AT' 'NO' 'IT' 'ES' 'SI' 'FR' 'RO' 'CA' 'DE' 'SE' 'EL' 'UK' 'NL' 'CZ'
 'BE']</t>
  </si>
  <si>
    <t>['CA' 'DE' 'SE' 'NL' 'IE']</t>
  </si>
  <si>
    <t>['ES' 'EL' 'IT' 'UK' 'SI' 'FR' 'DK' 'NL' 'DE' 'NO' 'BE' 'AT' 'CZ' 'SK'
 'RS' 'CY' 'SE' 'IE' 'CA' 'CH' 'IN']</t>
  </si>
  <si>
    <t>['BE' 'UK' 'FR' 'NL' 'EL' 'IT' 'PT' 'ZA' 'SI' 'CA' 'HR']</t>
  </si>
  <si>
    <t>['FR' 'PT' 'TH' 'IE' 'UK' 'FI' 'CA' 'NL']</t>
  </si>
  <si>
    <t>['FR' 'IE' 'TR' 'UK' 'IT' 'EL' 'ES' 'FI' 'PL' 'NL' 'RS' 'CZ' 'BE' 'SI'
 'DK' 'NO' 'US' 'HU' 'AT' 'DE' 'PT' 'CH' 'NZ']</t>
  </si>
  <si>
    <t>['JO' 'AU' 'US' 'CA' 'DE' 'UK' 'NL' 'IT' 'BE' 'ES']</t>
  </si>
  <si>
    <t>['PL' 'IT' 'FR' 'CA' 'NL']</t>
  </si>
  <si>
    <t>['FR' 'AT' 'DE' 'NL' 'IT' 'UK' 'CH' 'US' 'CA']</t>
  </si>
  <si>
    <t>['ES' 'BE' 'NL' 'HR' 'SE' 'SI' 'IT' 'CA' 'DE' 'CH' 'NO']</t>
  </si>
  <si>
    <t>['BE' 'UK' 'IE' 'CZ' 'NL' 'CA' 'CH' 'NO' 'FI' 'DE' 'IT']</t>
  </si>
  <si>
    <t>['IT' 'US' 'AT' 'IS' 'NL' 'IE' 'CA' 'DE' 'FR' 'BE']</t>
  </si>
  <si>
    <t>['ES' 'CY' 'EL' 'FR' 'FI' 'BE' 'CA' 'DE' 'PT']</t>
  </si>
  <si>
    <t>['EL' 'UK' 'ES' 'HR' 'EE' 'TR' 'FR' nan 'PL' 'IT' 'NL' 'AT' 'PT' 'BE' 'DE'
 'CH' 'SI' 'IE' 'DK' 'CZ' 'NO' 'SE' 'CY' 'HU' 'IN' 'CA' 'BR']</t>
  </si>
  <si>
    <t>['PT' 'NL' 'CA' 'EE' 'HR' 'CH' 'UK' 'DE' 'EL' 'ES' 'FR' 'IT' 'FI' 'HU'
 'US' 'SE' 'BE' 'SI' 'NO' 'UA' 'PL']</t>
  </si>
  <si>
    <t>['UK' 'CA' 'NL' 'NO']</t>
  </si>
  <si>
    <t>['NO' 'FI' 'CA' 'UK' 'SE' 'US' 'PT' 'DE' 'FR']</t>
  </si>
  <si>
    <t>['US' 'IT' 'IL' 'CA' 'CL' 'FR' 'ES']</t>
  </si>
  <si>
    <t>['IT' 'SI' 'CH' 'KE' 'DK' 'BE' 'HU' 'CZ' 'DE' 'ES' 'FI' 'LV' 'PT' 'NL'
 'EL' 'FR' 'US' 'CA' 'UK']</t>
  </si>
  <si>
    <t>['BE' 'SK' 'ES' 'FR' 'KR' 'FI' 'CA' 'JP' 'SI' 'DE' 'CN' 'CZ' 'HU' 'PL'
 'UK' 'IT' 'US' 'RO' 'NL' 'BG' 'PT' 'SE']</t>
  </si>
  <si>
    <t>['CA' 'CZ' 'IT' 'IE' 'NL' 'PT' 'UK' 'BE' 'SI' 'PL']</t>
  </si>
  <si>
    <t>['CH' 'FR' 'DE' 'IE' 'DK' 'ES' 'UK' 'CA']</t>
  </si>
  <si>
    <t>['DE' 'NZ']</t>
  </si>
  <si>
    <t>['UK' 'ES' 'SA' 'AR' 'PT' 'CL' 'AU' 'FR' 'CA' 'US' 'MX']</t>
  </si>
  <si>
    <t>['BE' 'AT' 'FR' 'DE' 'KR' 'HK' 'CA' 'SE' 'NO' 'NL']</t>
  </si>
  <si>
    <t>['IT' 'ES' 'IE' 'DE' 'NL' 'DK' 'CA']</t>
  </si>
  <si>
    <t>['CA' 'DE' 'NL' 'UK' 'FR' 'CH' 'IT' 'US']</t>
  </si>
  <si>
    <t>['AT' 'AU' 'PL' 'IT' 'IE' 'DE' 'UK' 'IL' 'ES' 'CA']</t>
  </si>
  <si>
    <t>['SE' 'ES' 'JP' 'US' 'DE' 'FR' 'IT' 'CH' 'UK' 'CA']</t>
  </si>
  <si>
    <t>['IE' 'US' 'TR' 'IT' 'SA' 'CA' 'DE' 'LV' 'UA' 'RS']</t>
  </si>
  <si>
    <t>['JP' 'UK' 'AT' 'NZ']</t>
  </si>
  <si>
    <t>['IE' 'HR' 'ID' 'TH' 'BO' 'RO' 'BR' 'MA' 'CL' 'KE' 'PG' 'CZ' 'KG' 'EC'
 'SK' 'SN' 'VN' 'LV' 'ZM' 'IT' 'NL' 'ES' 'FR' 'CO' 'AL' 'MX' 'GE']</t>
  </si>
  <si>
    <t>['DK' 'CH' 'UK' 'IE' 'PL' 'NL' 'DE' 'CA']</t>
  </si>
  <si>
    <t>['CA' 'CN' 'FR' 'UK' 'ES' 'DE' 'US' 'DK' 'LU' 'IT' 'AT']</t>
  </si>
  <si>
    <t>['ES' 'NZ']</t>
  </si>
  <si>
    <t>['JP' 'US' 'FR' 'PT' 'IT' 'AU' 'CA' 'VN']</t>
  </si>
  <si>
    <t>['DK' 'IE' 'CA']</t>
  </si>
  <si>
    <t>['NO' 'FR' 'SE' 'DE' 'IT' 'AT' 'PT' 'EL' 'LU' 'IE' 'GI' 'BA' 'CH' 'ES'
 'NL' 'FI' 'BE' 'UK' 'US' 'JP' 'CA' 'KR']</t>
  </si>
  <si>
    <t>['ES' 'AT' 'BE' 'IT' 'HU' 'DK' 'SI' 'US' 'DE' 'CA' 'NZ' 'AU' 'UK']</t>
  </si>
  <si>
    <t>['CH' 'DE' 'JP' 'IT' 'UK' 'US' 'NL' 'DK' 'FR' 'CA' 'ES']</t>
  </si>
  <si>
    <t>['CA' 'IT' 'FR']</t>
  </si>
  <si>
    <t>['CA' 'CZ']</t>
  </si>
  <si>
    <t>['BE' 'BR' 'RO' 'CH' 'IT' 'DK' 'FR' 'UK' 'CA' 'JP' 'NL']</t>
  </si>
  <si>
    <t>['CA' 'CN' 'TH' 'UK' 'FR' 'KR' 'IT' 'TR' 'PT' 'SG' 'ZA']</t>
  </si>
  <si>
    <t>['IT' 'PL' 'DE' 'LT' 'CZ' 'FI' 'CA' 'US']</t>
  </si>
  <si>
    <t>['HR' 'ES' 'HU' 'CH' 'BE' 'FR' 'SE' 'IE' 'DE' 'RO' 'PT' 'LV' 'IT' 'UK'
 'SI' 'NL' 'CA']</t>
  </si>
  <si>
    <t>['CA' 'IT' 'IE' 'DK' 'US' 'LU' 'NL' 'FR' 'ES']</t>
  </si>
  <si>
    <t>['UK' 'DE' 'IN' 'US' 'AU' 'CO' 'NZ' 'JP' 'IT' 'BI' 'PL' 'BR']</t>
  </si>
  <si>
    <t>['NO' 'DE' 'CY' 'PK' 'BD' 'UK' 'SE' 'DK' 'BE' 'SI' 'CA' 'PL']</t>
  </si>
  <si>
    <t>['MZ' 'UK' 'ES' 'DE' 'GA' 'IT' 'CA']</t>
  </si>
  <si>
    <t>['ES' 'DE' 'UK' 'AT' 'CZ' 'NL' 'SE' 'CA']</t>
  </si>
  <si>
    <t>['FI' 'SE' 'PL' 'CZ' 'DE' 'FR' 'BR' 'DK' 'NO' 'US' 'IE' 'CH' 'CN' 'NZ'
 'UK']</t>
  </si>
  <si>
    <t>['NO' 'IT' 'CA']</t>
  </si>
  <si>
    <t>['CA' 'NO' 'DK' 'ES']</t>
  </si>
  <si>
    <t>['CY' 'NO' 'DE' 'FR' 'UK' 'NL' 'PL' 'BE' 'ES' 'PT' 'IT' 'RU' 'IL' 'US'
 'AT' 'RO' 'SE' 'SI' 'FI' 'IE' 'EL' 'CA' 'BR' 'CZ' 'HU' 'RS']</t>
  </si>
  <si>
    <t>['BE' 'PL' 'AT' 'PT' 'NL' 'IT' 'CA' 'EL' 'ES' 'DE' 'UK' 'FI']</t>
  </si>
  <si>
    <t>['BE' 'NL' 'IT' 'ZA' 'DK' 'NO' 'DE' 'IL' 'JP' 'EE' 'CA']</t>
  </si>
  <si>
    <t>['EE' 'NO' 'SK' 'UK' 'FR' 'CH' 'DE' 'NZ' 'US' 'BE' 'SE' 'AT' 'ES' 'EL'
 'DK' 'TR' 'LT' 'IT' 'CA' 'AU' 'PT' 'PL']</t>
  </si>
  <si>
    <t>['NO' 'IE' 'CA' 'ES' 'PT' 'TR' 'DK' 'BE']</t>
  </si>
  <si>
    <t>['US' 'CY' 'DE' 'FR' 'UK' 'CA' 'ES' 'IT' 'CH' 'BE' 'CN' 'RS']</t>
  </si>
  <si>
    <t>['AT' 'DK' 'NO' 'FR' 'IE' 'HR' 'ES' 'NL' 'EL' 'DE' 'CH' 'CA']</t>
  </si>
  <si>
    <t>['FR' 'CA' 'IT' 'NL' 'IL' 'DE' 'UK' 'PL']</t>
  </si>
  <si>
    <t>['BE' 'FR' 'CA' 'US' 'DE' 'UK']</t>
  </si>
  <si>
    <t>['DK' 'BE' 'UK' 'AU' 'FR' 'IE' 'CH' 'NL' 'IL' 'DE' 'SE' 'ES' 'CA' 'IT']</t>
  </si>
  <si>
    <t>['BE' 'CZ' 'UK' 'EL' 'IT' 'DE' 'ES' 'SK' 'CA' 'FR']</t>
  </si>
  <si>
    <t>['ZA' 'NG' 'EG' 'GH' 'SI' 'EL' 'NL' 'DE' 'KE' 'CA']</t>
  </si>
  <si>
    <t>['IT' 'EL' 'FR' 'PT' 'CA' 'UK' 'NL' 'MK' 'BE']</t>
  </si>
  <si>
    <t>['GH' 'AT' 'DE' 'MA' 'CA' 'UA' 'PL' 'PH' 'NL']</t>
  </si>
  <si>
    <t>['IT' 'BE' 'FR' 'UK' 'ES' 'ZA' 'PT' 'IE' 'NZ' 'CY']</t>
  </si>
  <si>
    <t>['CY' 'US' 'DK' 'AU' 'UK' 'NO' 'KE' 'DE' 'BE' 'IE' 'FR' 'BR' 'NZ']</t>
  </si>
  <si>
    <t>['FR' 'BE' 'DE' 'CA' 'ES']</t>
  </si>
  <si>
    <t>['PT' 'SK' 'CA' 'FI' 'FR' 'DE']</t>
  </si>
  <si>
    <t>['BE' 'UK' 'CV' 'CA' 'IE' 'LT' 'US' 'PT' 'DK' 'FR' 'BG' 'SK' 'EE']</t>
  </si>
  <si>
    <t>['CH' 'RO' 'FR' 'ES' 'NL' 'CA']</t>
  </si>
  <si>
    <t>['FI' 'NZ' 'EL' 'IT' 'AT' 'BE' 'FR' 'LT']</t>
  </si>
  <si>
    <t>['CA' 'IE' 'BE' 'PT' 'NL' 'IT' 'PL']</t>
  </si>
  <si>
    <t>['NL' 'EL' 'UG' 'UK' 'RO' 'BE' 'KG' 'CA' 'PK']</t>
  </si>
  <si>
    <t>['EE' 'CZ' 'HU' 'IT' 'HR' 'KR' 'BE' 'EL' 'ZA' 'ES' 'CH' 'IS' 'CY' 'SG'
 'IL' 'LT' 'RO' 'TR' 'FI' 'DK' 'IE' 'DE' 'PT' 'FR' 'NL' 'SE' 'LU' 'UK'
 'NO' 'BG' 'LV' 'CA' 'SI' 'SK' 'MT' 'PL' 'AT']</t>
  </si>
  <si>
    <t>['DE' 'BE' 'IT' 'PT' 'NO' 'FI' 'UG' 'RS' 'NZ']</t>
  </si>
  <si>
    <t>['FR' 'NL' 'BG' 'CA' 'UK' 'FI' 'IT' 'DE' 'IS' 'IE' 'RS' 'PL' 'CH' 'ES'
 'PT' 'DK' 'HU']</t>
  </si>
  <si>
    <t>['EL' 'NL' 'DE' 'FR' 'CA' 'LU' 'PT' 'UK' 'SI' 'ES']</t>
  </si>
  <si>
    <t>['IT' 'LV' 'DE' 'FR' 'CH' 'BE' 'CY' 'IS' 'ES' 'PT' 'IE' 'PL' 'TR' 'HU'
 'NL' 'EL' 'UK' 'SE' 'LU' 'CA']</t>
  </si>
  <si>
    <t>['DK' 'BE' 'CA' 'FR']</t>
  </si>
  <si>
    <t>Project acronyms</t>
  </si>
  <si>
    <t>FP7 funding (€)</t>
  </si>
  <si>
    <t>H2020 funding (€)</t>
  </si>
  <si>
    <t>HEU funding (€)</t>
  </si>
  <si>
    <t>Total projects</t>
  </si>
  <si>
    <t>Total funded projects</t>
  </si>
  <si>
    <t>Total funding (€)</t>
  </si>
  <si>
    <t>['DECODER' 'INFOCON' 'HAIC' 'STOP' 'SAFEGUARD' 'NANOMINING' 'ERADICATION'
 'PrinCE' 'SWARP' 'REWARD' 'AIM' 'ERCOSAM' 'T-AP' 'ACCESS2CANADA'
 'ERA-CAN II' 'ERACAPS' 'CHIC' 'WINTHER' 'MAARBLE' 'SITEX' 'BIO CIRCLE 2'
 'TOPS' 'DEEP' 'SI-DRIVE' 'D3i4AD' 'SELFMEM' 'CIT-PART' 'CALTICA' 'CLIMB'
 'POLYZION' 'CO2CARE' 'MIRACLE' 'HITT-2008' 'MATRIX' 'IHMS' 'ICON'
 'EURORIS-NET' 'GUSTO' 'EURESCL' 'RAMSES' 'EPOCH' 'ERA-CAN PLUS'
 'GENDER-NET' 'BIO-COMET' 'ELIMOX' 'CREATE' 'TICD' 'outGRID'
 'BRAIN-I-NETS' 'MalOnco' 'LOWINPUTBREEDS' 'PARAVAC' 'TRANSLINK'
 'ERA-NET NEURON II' 'ISMS' 'NIW' 'PALs' 'CumuloNimbo' 'CALLISTO'
 'FLEXWOOD' 'INNOSHADE' 'EELICON' 'ATHENA' 'CANNAPE' 'TOICA' 'NIOPLEX'
 'MODULUSHCA' 'META-PREDICT' 'SURE' 'N4U' 'FIRE' 'EURECA' 'IMMUNOGENE'
 'I-DCC' 'GRIP' 'FISICA' 'NeuroSeeker' 'SUSTA-SMART' 'ESSenTIAL'
 'FORESTTRAC' 'NANOVALID' 'ADVANCEETV' 'CIPRNET' 'LIMPID' 'ROUTES'
 'INFRACOMP' 'SME-SAT' 'EUCELLEX' 'THE HIP TRIAL' 'ENLIGHTENMENT'
 'NTM-IMPACT' 'EU-GRASP' 'WHERE' 'WHERE2' 'PREPSKA' 'ArtESun' 'IN-LIGHT'
 'ANASTASIA' 'FIGARO' 'IntelLeo' 'Prosperity4All' 'RISCS' 'WILDTECH'
 'eGovPoliNet' 'OpenLab' 'APROPOS' 'COMET' 'CAGEKID' 'SARNET2' 'SpeDial'
 '4WARD' 'TBSUSGENT' 'MED-SUV' 'INFRAFRONTIER' 'CARBOCHANGE' 'ARCRISK'
 'HIPERCAP' 'MYNEWGUT' 'PAST4FUTURE' 'PUMA MIND' 'REFRESH' 'CAOLING'
 'INFRAFRONTIER-I3' 'STEMCAM' 'DROPSA' 'BIOMARCARE' 'CORE' 'CLOUD4all'
 'MODSAFE' 'ABACUS' 'NGTC' 'FORTISSIMO' 'GLOBAQUA' 'SYSVASC' 'EINS'
 'GigaWaM' 'NANOLYSE' 'MYOCEAN' 'POLAR ICE' 'ORECCA' 'SOPHIE' 'MOBI-KIDS'
 'SOS' 'INEF' 'PERMED' 'BIOSHARE-EU' 'HBP' 'PREVIEW' 'INTERACT' 'ECOKNOWS'
 'INTERCONNECT' 'REPOPA' 'Locomorph' 'SYN-ENERGENE' 'ENGAGE' 'PROCOGEN'
 'TIRCON' 'BBMRI-LPC' 'ALFA-BIRD' 'SCY' 'MAMBA' 'INFOPOL' 'MAGICPAH'
 'ULTRA-DD' 'PRIMES' 'AEGIS' 'NUTRITECH' 'CLEAR' 'SUCCESS' 'GO4HEALTH'
 'GRAPHENICS' 'ICRI 2020' 'IDIH' 'TRANSCAN-3' 'IF-EBOla' 'NAFTI'
 'E-Rare-3' 'J-Age II' 'AVIATOR' 'JPCOFUND2' 'ERA PerMed' 'NanoEX'
 'ARCSAR' 'JPIAMR-ACTION' 'EuroNanoMed III' 'Widow Spider Mating'
 'IceMelt3D' 'ANXINT' 'BITRECS' 'TICLAUS' 'DiaEthic' 'SONINURB' 'WoMent'
 'URBENV' 'N2N' 'SUBIMAP' 'REALE' 'IDEM' 'NONORMOPERA' 'QUABODYP'
 'GALSIZE' 'T.A.MA' 'QUANTUM LOOP' 'AGORAs' 'GrindCore' 'MUSES' 'EuroCult'
 'MOVE-NBS' 'QUMATTO' 'ArcTec' 'Si4DM' 'GloSoilBio' 'Inventing GPS'
 'ITACA' 'DIALOGUES' 'EGERNIALIZARDS' 'CANT' 'BeyondOpposition' 'InDeV'
 'ELAASTIC' 'TREASURE' 'EnTimeMent' 'MELASAT' 'DISCOVERY' 'ThermaSMART'
 'MASTER' 'FUNGLASS' 'DEMOSTAF' 'WE-TRANSFORM' 'AGILE' 'AGILE 4.0'
 'OptArch' 'RUMIC' 'UViMCA' 'FASTQUANTUM' 'QuantumSolarFuels' 'IPUOIPV'
 'PJ07-W2 OAUO' 'CERESiS' 'LoGov' 'THaCH' 'ePIcenter' 'SITEX-II' 'C4U'
 'SuperPests' 'INCIPIT' 'Combat_ALS' 'TePaChe' 'Build-in-Wood' 'DRAMATIC'
 'FINDER' 'CTFF' 'ALFF' 'CoPEC' 'CHRONOTEC' 'EcoScope' 'iMARECULTURE'
 'ECC-SMART' 'RECYCLES' 'GENDER NET Plus' 'ARICE' 'VPH-CaSE'
 'EmorphProject' 'SK2HK' 'AMHYCO' 'MIM' 'GENDER STI' 'CaPer' 'ROAM'
 'DC FlexMIL' 'ONTOMUSIC' 'ArcticHubs' 'EDEN ISS' 'MUSA' 'FASTNET'
 'IMBALS' 'ERA-MIN3' 'GISCAD-OV' 'RobotUnion' 'CITYSOLAR' 'GeoRes'
 'RDC2MT' 'QUANTUM DYNAMICS' 'DigiScore' 'CoSP' 'FORMILK' 'FUS-REPLAY'
 'SPRING' 'DISC' 'PLATYPUS' 'DYNAVOLC' 'CleanHME' 'BATON' 'ERA-HDHL'
 'HealthPros' 'IQubits' 'HIVACAR' 'IMPACT' 'M-ERA.NET3' 'FASTGRID'
 'RADIOFREPOLIS' 'SENSIBLE' 'CO-COOL' 'ICEPRINT' 'SCALE' 'GEMCLIME'
 'EUCANwin' 'INVASIoN' 'ALL-Ready' 'REPTARQ' 'SAMOSAFER' 'EVOLMARIN'
 'CoastCarb' 'SMARTER' 'INMARE' 'MICMAC' 'SCORA' 'CINECA' 'SponGES'
 'ExACT' 'HiFreq' 'Dynamics' 'TO-REACH' 'ESPERANTO' 'EventRights'
 'STRUDEL' 'PJ02-W2 AART' 'PJ03a SUMO' 'PJ05 Remote Tower' 'SMILE'
 'PJ02 EARTH' 'EurofleetsPlus' 'LAAA' 'ONCOBIOME' 'StronGrHEP'
 'RealVision' 'EUREST-PLUS' 'RISEinFAMILY' 'B-CAST' 'DEFEND'
 'Womenswriting' 'VIGO' 'HemAcure' 'SYNCHRONICS' 'MolDesign' 'MICACT'
 'SMART-Plant' 'GAIN' 'ACCESS' 'PACIFIC' 'GaNOMIC' 'SmartAnswer' 'MakEY'
 'PANGAIA' 'Extending MEDT' 'NonMinimalHiggs' 'EJP RD' 'BIOMASS-CCU'
 'GRACE' 'PIONEERS' 'FairTax' 'FACE-IT' 'DIGITENS' 'FAIR-PARK-II' 'HEMERA'
 'NaMeS' 'iAtlantic' 'artes EUmanities' 'CONNECT' 'EURAD' 'RADNEXT'
 'Quantropy' 'Blue-Action' 'LANDMARC' 'EUthyroid' 'ENCLUDE' 'GEOCEP'
 'BovReg' 'GoNEXUS' 'REFINTEG' 'Governmigration' 'Im.magine' 'Whole-COMM'
 'PROTECT' 'QuantMig' 'ConsenCUS' 'PhotoFluo' 'MIRed Streak'
 'Tendon Therapy Train' 'MAT4TREAT' 'MAIA' 'IMOTHEP' 'COMFORT' 'RadoNorm'
 'NEIGHBOURCHANGE' 'SURGE' 'GlobalKnoT' 'INTRAW' 'STRCHANGEINEQ'
 'COPERNICUS' 'ICE GENESIS' 'SENS4ICE' 'NEWS' 'DiasporaLink' 'CRiceS'
 'InSiTe-LandGov' 'AquaSpace' 'WaterWorks2015' 'INCREASE' 'AgPro4CSA'
 'VIDEC' 'IMAGE' 'SAFEMILK' 'DynaTweezers' 'HoloRuminant' 'MicroPhan'
 'EARTHBLOOM' 'GHRELMIGRA' 'GHaNA' 'DecisionES' 'ASD-carillon'
 'SALAMANDRA' 'NEURON Cofund' 'JPco-fuND' 'ISOMET' 'MarshFlux' 'PullEd-MS'
 'ATTOCHEM' 'MICROSCOPE' 'Remediate' 'CMB-INFLATE' 'MORPH' 'SAFELiMOVE'
 'TIPPING.plus' 'PIMS' 'PRIISM-HD' 'EU4HIVCURE' 'Impentri' 'RISING'
 'INTAROS' 'MISSION ATLANTIC' 'FlexSNG' 'EXCHANGE-Risk' 'GHAIA' 'GRU'
 'ARPOEXMUS' 'RandNET' 'VITALISE' 'EUCAN-Connect' 'VIVIR' 'ArthritisHeal'
 'Halo modelling' 'CLUES-DECEB' 'GCP-GEOTARCTIC' 'SATBIOFUN' 'EXPOWER'
 'IPaDEGAN' 'FINSEIS' 'High level CDFT' 'MicroEcoEvol' 'SAL-MOVE'
 'MicrobiomeSupport' 'EXEDRA' 'EAVI2020' 'FURTHER-FC' 'BOOSTER' 'EMPHASIS'
 'TACTILENet' 'ConFlex' 'PROVIDE' 'ASTROSTAT-II' 'EuroMix' 'GOLD'
 'EUREST-RISE' 'PERICO' 'ORBITAL' 'PROMISS' 'BETA-BACT' 'FirEUrisk'
 'INTERWASTE' 'Nunataryuk' 'MINDMAP' 'PARADIGM' 'I-CARE4OLD' 'FRACTESUS'
 'BASE-LiNE Earth' 'AtlantOS' 'EuroSea' 'OPTIMISE' 'SeaChanges'
 'EdgeStress' 'FR and ENG Petrarch' 'INTERPHIL' 'BIVIUM' 'Ceratina' 'CID'
 'OCSEAN' 'VERTEXCULT' 'SYNTHESYS PLUS' 'GEM-STONES' 'NOMAD-Outcome'
 'NewHuman' 'CLIMGROWTH' 'VIETNAMICA' 'ATRA' 'PAST' 'FAB-MOVE' 'iDAPT'
 'AYURYOG' 'AIDE' 'HERILAND' 'CALCULATORES' 'NEURON Cofund2' 'METAFRAX'
 'BEAMED' 'LIFESPAN' 'euCanSHare' 'RECODID' 'BRIDGES' 'MAESTRIA' 'PRECeDI'
 'IPAD-MD' 'SYNPARK' 'FFSize' 'INFRAFRONTIER2020' 'PESTNET' 'COLLDENSE'
 'InterTAU' 'Bio4Med' 'IMPED' 'SI' 'EUCANCan' 'BITCAT' 'ESCALON'
 'SISAQOL-IMI' 'EUbOPEN' 'iReceptor Plus' 'CAR ART' 'CONTRA'
 'FourCmodelling' 'InCeM' 'Arctic PASSION' 'DiscardLess' 'AFFECT-EU'
 'PrimeFish' 'ClimeFish' 'AquaVitae' 'TULIPS' 'SONAR' 'ATHOR'
 'MaritimeImagination' 'TIQ' 'VULNER' 'POLITICO' 'PREVENT' 'VIPER'
 'CompSafeNano' 'SENSOFT' 'EXPERT' 'Nano-OligoMed' 'CarbonNeutralLNG'
 'GAMMA' 'ENRICH' '2D-InTune' 'DIVE IN' 'BattleCap-CO2' 'e-Authopia'
 'ARCHEM' 'CHArT' 'ECoSync' 'FESTWAR FM' 'LEXIS' 'SAYcrifice' 'MUSICIAN'
 'FutureData4EU' 'M3DEA' 'MarinePlan' 'REWRITE' 'KARST' 'ILLUQ'
 'GO GREEN NEXT' 'HelEx' 'GreenFeedBack' 'GES4SEAS' 'Resilience' 'POMP'
 'POLARIN' 'MIRAQLS' 'FEASTS' 'HyperSpace' 'PolyPro3' 'mC-EVOLVE'
 'REMODEL' 'Graph Algebras' 'EinsteinWaves' 'TEAMING' 'COVER'
 'SmartOptoelectronics' 'HISSING' 'POHOWEP' 'DELIGHT' 'MusicalSpeech'
 'EPOC' 'EXPECT' 'MAACS' 'MAKINGHISTORIES' 'SalmoScales' 'ARCHIVWAR'
 'MiLi' 'NGI Enrichers' 'VECTOR' 'FoQaCiA' 'DECODE' 'MOLA' 'GAPs' 'HESTIA'
 'SUSTEPS' 'CODA' 'DIAMOND' 'MIMOSA' 'ArtPlac' 'PANDORA' 'IVORY'
 'HarmonicAI' 'EarthSafe' 'QUONDENSATE' 'SHARE-CTD' 'LEGITIMULT' 'HOMeAGE'
 'SD4SP' 'Mig.Pro.' 'MICROBIOMES4SOY' 'INGUMA' 'ICARUS' 'BGE' 'WHAM'
 'UTU-GreDiT' 'SameMultiPhys' 'DIGITAF' 'ENEN2plus' 'In-Touch' 'BullNet'
 'IONBIKE 2.0' 'CESAREF' 'IRB-TARGET' 'ReWire' 'eRaDicate' 'EAJADE'
 'SiTi-CAT' 'MX-MAP' 'GYNODICY' 'Fate roS' 'neurOmics' 'LegumeLegacy'
 'CombiDiag' 'CRISPit' 'UNGENDERED VALUES' 'TAKEBACK' 'NaplaGro' 'COMMONS'
 'EVOLVE' 'PLACES' 'QSI' 'MYS-SPEAKED' 'LEGENDRE' 'FIRS' 'SCIseg'
 'GEM-DIAMOND' 'Micro-FloTec' 'FLORIN' 'AtheroGLP1' 'JOPHIL'
 'InVitroFutures' 'MIME' 'NO-CANCER-NET' 'EUthyroid2' 'EChiLiBRiST'
 'BiocatCodeExpander' 'EUROPROP' 'LEAD AI' 'MIDAS' 'MIrreM'
 'JOINEDUPJUSTICE' 'NAVIGATOR' 'EUPHRESCO III' 'STRAITS'
 'PlasticUnderground' 'MULTIR' 'HIT-GLIO' 'SOUND.AI' 'R2D2-MH'
 'NextGenBioPest' 'FS4Africa' 'ERIES' 'Link4Skills' 'BB-Future' 'InCITIES'
 'WIRE FilmEU' 'UNDETERRED' 'EU NAVIGATE' 'FRESHAIR4LIFE' 'InnovativeSMEs'
 'GIANT LEAPS' 'SIMPATHIC' 'RAISE' 'Green2Ice']</t>
  </si>
  <si>
    <t>['CENTER-TBI' 'SWARP' 'ACCESS4EU:NZ' 'STAR-IDAZ' 'PACE-NET' 'ERACAPS'
 'MSV' 'QBOL' 'BIO CIRCLE 2' 'PACE-NET PLUS' 'PRATIQUE' 'DIRECT' 'TANDEM'
 'LOWINPUTBREEDS' 'CAUSCOG' 'OPCARE9' 'SYSMEDIBD' 'SYMBIOSIS-EU' 'PLASMON'
 'ANIMALCHANGE' 'NTM-IMPACT' 'FRUIT BREEDOMICS' 'FRIENZ' 'EURASIAPAC'
 'eGovPoliNet' '4D4Life' 'MYNEWGUT' 'ITFoM' 'VPH-Share' 'DROPSA'
 'EPIC-CVD' 'IPODD' 'PHARMASEA' 'RICORDO' 'MOBI-KIDS' 'MAREFRAME'
 'PREVIEW' 'MICREAGENTS' 'VPH NoE' 'SIFEM' 'NUTRITECH' 'FRENZ' 'EPIC'
 'CSA JPI HDHL 2.0' 'CAMERA' 'AsthmaPhenotypes' 'EDJ' 'ARCSAR' 'WAMSISE'
 'SABER CULTURAL' 'FISHEARS' 'SMART POP' 'DUNAMICS' 'SALEACOM' 'INTERACT'
 'ISAC' 'PlastiSol' 'OPTWET' 'CLIMB' 'IMPACT' 'iLIVE' 'QUANTUM DYNAMICS'
 'XSPECT' 'TRANSFORM' 'OCTA' 'KEEPFISH' 'GEMCLIME' 'CALENDARS' 'HOMED'
 'EDUHEALTH' 'GENEVABREED' 'SMARTER' 'HiFreq' 'EurofleetsPlus' 'AENEAS'
 'CHiPS' 'TUdi' 'MICACT' 'DiCoMI' 'HALT' 'GEOCEP' 'DeMANS' 'MAIA' 'CID'
 'RISE' 'ISEBI' 'SMART PROTEIN' 'BestPass' 'Vacc-iNTS' 'HoloRuminant'
 'GenTree' 'HYSOTIB' 'ANSWER' 'HERCULES' 'Spatialec' 'QUEST' 'PROTINUS'
 'CHIC' 'IPaDEGAN' 'EVOIMMECH' 'BIG4' 'MicrobiomeSupport' 'STOP'
 'PredProkDef' 'WEGO' 'OCSEAN' 'ISLANDPALECO' 'POLYPLOID' 'DCPM'
 'ClieNFarms' 'CIRCASA' 'SONAR' 'BioPSy' 'IsWINE' 'Q-DYNAMO' 'CaLiForNIA'
 'Legume Generation' 'VITAL' 'ImageTumor' 'IMPARTIAL' 'PhySeaCS' 'PLACES'
 'SCALEES' 'MDC' 'I4WORLD' 'EUPHRESCO III' 'EU-CIEMBLY' 'WorldFAIR'
 'UNI PROB' 'STELLA' 'd@rts']</t>
  </si>
  <si>
    <t>['PACE-NET' 'PACE-NET PLUS' 'ECOPAS' 'PREGVAX' 'OCSEAN' 'PRESILIENT']</t>
  </si>
  <si>
    <t>['PACE-NET' 'PACE-NET PLUS' 'ECOPAS' 'FALAH' 'SOLACE-aDNA']</t>
  </si>
  <si>
    <t>['PACE-NET PLUS' 'FALAH']</t>
  </si>
  <si>
    <t>['PACE-NET PLUS']</t>
  </si>
  <si>
    <t>['REFRESH' 'ShipFC' 'SAFeCRAFT']</t>
  </si>
  <si>
    <t>['FALAH']</t>
  </si>
</sst>
</file>

<file path=xl/styles.xml><?xml version="1.0" encoding="utf-8"?>
<styleSheet xmlns="http://schemas.openxmlformats.org/spreadsheetml/2006/main">
  <numFmts count="1">
    <numFmt numFmtId="164" formatCode="#,##0"/>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019"/>
  <sheetViews>
    <sheetView tabSelected="1" workbookViewId="0"/>
  </sheetViews>
  <sheetFormatPr defaultRowHeight="15"/>
  <cols>
    <col min="2" max="2" width="11.7109375" style="1" customWidth="1"/>
    <col min="3" max="3" width="12.7109375" customWidth="1"/>
    <col min="4" max="4" width="30.7109375" customWidth="1"/>
    <col min="5" max="7" width="10.7109375" customWidth="1"/>
    <col min="10" max="10" width="10.7109375" style="1" customWidth="1"/>
    <col min="11" max="11" width="35.7109375" customWidth="1"/>
    <col min="12" max="12" width="10.7109375" customWidth="1"/>
    <col min="13" max="14" width="6.7109375" customWidth="1"/>
    <col min="15" max="16" width="10.7109375" customWidth="1"/>
    <col min="17" max="17" width="6.7109375" customWidth="1"/>
    <col min="18" max="18" width="10.7109375" customWidth="1"/>
    <col min="19" max="21" width="9.140625" style="2"/>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c r="A2" t="s">
        <v>21</v>
      </c>
      <c r="B2" s="1">
        <f>HYPERLINK("https://cordis.europa.eu/project/id/247919", "247919")</f>
        <v>0</v>
      </c>
      <c r="C2" t="s">
        <v>24</v>
      </c>
      <c r="D2" t="s">
        <v>835</v>
      </c>
      <c r="F2" t="s">
        <v>2106</v>
      </c>
      <c r="G2" t="s">
        <v>2314</v>
      </c>
      <c r="H2" t="s">
        <v>2548</v>
      </c>
      <c r="I2" t="s">
        <v>2556</v>
      </c>
      <c r="J2" s="1">
        <f>HYPERLINK("https://ec.europa.eu/info/funding-tenders/opportunities/portal/screen/how-to-participate/org-details/988059752", "988059752")</f>
        <v>0</v>
      </c>
      <c r="K2" t="s">
        <v>2564</v>
      </c>
      <c r="L2" t="s">
        <v>2809</v>
      </c>
      <c r="M2" t="s">
        <v>2965</v>
      </c>
      <c r="O2" t="s">
        <v>2970</v>
      </c>
      <c r="P2" t="s">
        <v>3034</v>
      </c>
      <c r="Q2">
        <v>6</v>
      </c>
      <c r="R2" t="s">
        <v>3342</v>
      </c>
      <c r="S2" s="2">
        <v>165060</v>
      </c>
    </row>
    <row r="3" spans="1:21">
      <c r="A3" t="s">
        <v>21</v>
      </c>
      <c r="B3" s="1">
        <f>HYPERLINK("https://cordis.europa.eu/project/id/210615", "210615")</f>
        <v>0</v>
      </c>
      <c r="C3" t="s">
        <v>25</v>
      </c>
      <c r="D3" t="s">
        <v>836</v>
      </c>
      <c r="F3" t="s">
        <v>2107</v>
      </c>
      <c r="G3" t="s">
        <v>2315</v>
      </c>
      <c r="H3" t="s">
        <v>2548</v>
      </c>
      <c r="I3" t="s">
        <v>2556</v>
      </c>
      <c r="J3" s="1">
        <f>HYPERLINK("https://ec.europa.eu/info/funding-tenders/opportunities/portal/screen/how-to-participate/org-details/998082180", "998082180")</f>
        <v>0</v>
      </c>
      <c r="K3" t="s">
        <v>2565</v>
      </c>
      <c r="M3" t="s">
        <v>2965</v>
      </c>
      <c r="O3" t="s">
        <v>2971</v>
      </c>
      <c r="P3" t="s">
        <v>3035</v>
      </c>
      <c r="Q3">
        <v>14</v>
      </c>
      <c r="R3" t="s">
        <v>3342</v>
      </c>
    </row>
    <row r="4" spans="1:21">
      <c r="A4" t="s">
        <v>21</v>
      </c>
      <c r="B4" s="1">
        <f>HYPERLINK("https://cordis.europa.eu/project/id/314314", "314314")</f>
        <v>0</v>
      </c>
      <c r="C4" t="s">
        <v>26</v>
      </c>
      <c r="D4" t="s">
        <v>837</v>
      </c>
      <c r="F4" t="s">
        <v>2108</v>
      </c>
      <c r="G4" t="s">
        <v>2316</v>
      </c>
      <c r="H4" t="s">
        <v>2548</v>
      </c>
      <c r="I4" t="s">
        <v>2556</v>
      </c>
      <c r="J4" s="1">
        <f>HYPERLINK("https://ec.europa.eu/info/funding-tenders/opportunities/portal/screen/how-to-participate/org-details/999561042", "999561042")</f>
        <v>0</v>
      </c>
      <c r="K4" t="s">
        <v>2566</v>
      </c>
      <c r="L4" t="s">
        <v>2810</v>
      </c>
      <c r="M4" t="s">
        <v>2966</v>
      </c>
      <c r="O4" t="s">
        <v>2972</v>
      </c>
      <c r="P4" t="s">
        <v>3036</v>
      </c>
      <c r="Q4">
        <v>24</v>
      </c>
      <c r="R4" t="s">
        <v>3342</v>
      </c>
    </row>
    <row r="5" spans="1:21">
      <c r="A5" t="s">
        <v>21</v>
      </c>
      <c r="B5" s="1">
        <f>HYPERLINK("https://cordis.europa.eu/project/id/602150", "602150")</f>
        <v>0</v>
      </c>
      <c r="C5" t="s">
        <v>27</v>
      </c>
      <c r="D5" t="s">
        <v>838</v>
      </c>
      <c r="F5" t="s">
        <v>2109</v>
      </c>
      <c r="G5" t="s">
        <v>1679</v>
      </c>
      <c r="H5" t="s">
        <v>2549</v>
      </c>
      <c r="I5" t="s">
        <v>2557</v>
      </c>
      <c r="J5" s="1">
        <f>HYPERLINK("https://ec.europa.eu/info/funding-tenders/opportunities/portal/screen/how-to-participate/org-details/985512435", "985512435")</f>
        <v>0</v>
      </c>
      <c r="K5" t="s">
        <v>2567</v>
      </c>
      <c r="L5" t="s">
        <v>2811</v>
      </c>
      <c r="M5" t="s">
        <v>2965</v>
      </c>
      <c r="O5" t="s">
        <v>2972</v>
      </c>
      <c r="P5" t="s">
        <v>3037</v>
      </c>
      <c r="Q5">
        <v>34</v>
      </c>
      <c r="R5" t="s">
        <v>3342</v>
      </c>
      <c r="S5" s="2">
        <v>25000</v>
      </c>
    </row>
    <row r="6" spans="1:21">
      <c r="A6" t="s">
        <v>21</v>
      </c>
      <c r="B6" s="1">
        <f>HYPERLINK("https://cordis.europa.eu/project/id/261411", "261411")</f>
        <v>0</v>
      </c>
      <c r="C6" t="s">
        <v>28</v>
      </c>
      <c r="D6" t="s">
        <v>839</v>
      </c>
      <c r="F6" t="s">
        <v>2110</v>
      </c>
      <c r="G6" t="s">
        <v>2317</v>
      </c>
      <c r="H6" t="s">
        <v>2548</v>
      </c>
      <c r="I6" t="s">
        <v>2556</v>
      </c>
      <c r="J6" s="1">
        <f>HYPERLINK("https://ec.europa.eu/info/funding-tenders/opportunities/portal/screen/how-to-participate/org-details/999894043", "999894043")</f>
        <v>0</v>
      </c>
      <c r="K6" t="s">
        <v>2568</v>
      </c>
      <c r="L6" t="s">
        <v>2812</v>
      </c>
      <c r="M6" t="s">
        <v>2965</v>
      </c>
      <c r="O6" t="s">
        <v>2973</v>
      </c>
      <c r="P6" t="s">
        <v>3038</v>
      </c>
      <c r="Q6">
        <v>17</v>
      </c>
      <c r="R6" t="s">
        <v>3342</v>
      </c>
    </row>
    <row r="7" spans="1:21">
      <c r="A7" t="s">
        <v>21</v>
      </c>
      <c r="B7" s="1">
        <f>HYPERLINK("https://cordis.europa.eu/project/id/218493", "218493")</f>
        <v>0</v>
      </c>
      <c r="C7" t="s">
        <v>29</v>
      </c>
      <c r="D7" t="s">
        <v>840</v>
      </c>
      <c r="F7" t="s">
        <v>2111</v>
      </c>
      <c r="G7" t="s">
        <v>2318</v>
      </c>
      <c r="H7" t="s">
        <v>2548</v>
      </c>
      <c r="I7" t="s">
        <v>2556</v>
      </c>
      <c r="J7" s="1">
        <f>HYPERLINK("https://ec.europa.eu/info/funding-tenders/opportunities/portal/screen/how-to-participate/org-details/998908426", "998908426")</f>
        <v>0</v>
      </c>
      <c r="K7" t="s">
        <v>2569</v>
      </c>
      <c r="M7" t="s">
        <v>2965</v>
      </c>
      <c r="O7" t="s">
        <v>2973</v>
      </c>
      <c r="P7" t="s">
        <v>3039</v>
      </c>
      <c r="Q7">
        <v>5</v>
      </c>
      <c r="R7" t="s">
        <v>3342</v>
      </c>
    </row>
    <row r="8" spans="1:21">
      <c r="A8" t="s">
        <v>21</v>
      </c>
      <c r="B8" s="1">
        <f>HYPERLINK("https://cordis.europa.eu/project/id/263942", "263942")</f>
        <v>0</v>
      </c>
      <c r="C8" t="s">
        <v>30</v>
      </c>
      <c r="D8" t="s">
        <v>841</v>
      </c>
      <c r="F8" t="s">
        <v>2112</v>
      </c>
      <c r="G8" t="s">
        <v>2319</v>
      </c>
      <c r="H8" t="s">
        <v>2548</v>
      </c>
      <c r="I8" t="s">
        <v>2556</v>
      </c>
      <c r="J8" s="1">
        <f>HYPERLINK("https://ec.europa.eu/info/funding-tenders/opportunities/portal/screen/how-to-participate/org-details/985097275", "985097275")</f>
        <v>0</v>
      </c>
      <c r="K8" t="s">
        <v>2570</v>
      </c>
      <c r="L8" t="s">
        <v>2813</v>
      </c>
      <c r="M8" t="s">
        <v>2967</v>
      </c>
      <c r="O8" t="s">
        <v>2973</v>
      </c>
      <c r="P8" t="s">
        <v>3040</v>
      </c>
      <c r="Q8">
        <v>9</v>
      </c>
      <c r="R8" t="s">
        <v>3342</v>
      </c>
    </row>
    <row r="9" spans="1:21">
      <c r="A9" t="s">
        <v>21</v>
      </c>
      <c r="B9" s="1">
        <f>HYPERLINK("https://cordis.europa.eu/project/id/617930", "617930")</f>
        <v>0</v>
      </c>
      <c r="C9" t="s">
        <v>31</v>
      </c>
      <c r="D9" t="s">
        <v>842</v>
      </c>
      <c r="F9" t="s">
        <v>2113</v>
      </c>
      <c r="G9" t="s">
        <v>2320</v>
      </c>
      <c r="H9" t="s">
        <v>2548</v>
      </c>
      <c r="I9" t="s">
        <v>2556</v>
      </c>
      <c r="J9" s="1">
        <f>HYPERLINK("https://ec.europa.eu/info/funding-tenders/opportunities/portal/screen/how-to-participate/org-details/999902773", "999902773")</f>
        <v>0</v>
      </c>
      <c r="K9" t="s">
        <v>2571</v>
      </c>
      <c r="L9" t="s">
        <v>2814</v>
      </c>
      <c r="M9" t="s">
        <v>2965</v>
      </c>
      <c r="O9" t="s">
        <v>2974</v>
      </c>
      <c r="P9" t="s">
        <v>3041</v>
      </c>
      <c r="Q9">
        <v>3</v>
      </c>
      <c r="R9" t="s">
        <v>3342</v>
      </c>
      <c r="S9" s="2">
        <v>86661.48</v>
      </c>
    </row>
    <row r="10" spans="1:21">
      <c r="A10" t="s">
        <v>21</v>
      </c>
      <c r="B10" s="1">
        <f>HYPERLINK("https://cordis.europa.eu/project/id/312702", "312702")</f>
        <v>0</v>
      </c>
      <c r="C10" t="s">
        <v>32</v>
      </c>
      <c r="D10" t="s">
        <v>843</v>
      </c>
      <c r="F10" t="s">
        <v>2109</v>
      </c>
      <c r="G10" t="s">
        <v>2321</v>
      </c>
      <c r="H10" t="s">
        <v>2548</v>
      </c>
      <c r="I10" t="s">
        <v>2556</v>
      </c>
      <c r="J10" s="1">
        <f>HYPERLINK("https://ec.europa.eu/info/funding-tenders/opportunities/portal/screen/how-to-participate/org-details/986119267", "986119267")</f>
        <v>0</v>
      </c>
      <c r="K10" t="s">
        <v>2572</v>
      </c>
      <c r="L10" t="s">
        <v>2815</v>
      </c>
      <c r="M10" t="s">
        <v>2965</v>
      </c>
      <c r="O10" t="s">
        <v>2975</v>
      </c>
      <c r="P10" t="s">
        <v>3042</v>
      </c>
      <c r="Q10">
        <v>2</v>
      </c>
      <c r="R10" t="s">
        <v>3342</v>
      </c>
      <c r="S10" s="2">
        <v>351240</v>
      </c>
    </row>
    <row r="11" spans="1:21">
      <c r="A11" t="s">
        <v>21</v>
      </c>
      <c r="B11" s="1">
        <f>HYPERLINK("https://cordis.europa.eu/project/id/607476", "607476")</f>
        <v>0</v>
      </c>
      <c r="C11" t="s">
        <v>33</v>
      </c>
      <c r="D11" t="s">
        <v>844</v>
      </c>
      <c r="F11" t="s">
        <v>2114</v>
      </c>
      <c r="G11" t="s">
        <v>2183</v>
      </c>
      <c r="H11" t="s">
        <v>2549</v>
      </c>
      <c r="I11" t="s">
        <v>2557</v>
      </c>
      <c r="J11" s="1">
        <f>HYPERLINK("https://ec.europa.eu/info/funding-tenders/opportunities/portal/screen/how-to-participate/org-details/998331567", "998331567")</f>
        <v>0</v>
      </c>
      <c r="K11" t="s">
        <v>2573</v>
      </c>
      <c r="M11" t="s">
        <v>2965</v>
      </c>
      <c r="O11" t="s">
        <v>2973</v>
      </c>
      <c r="P11" t="s">
        <v>3043</v>
      </c>
      <c r="Q11">
        <v>7</v>
      </c>
      <c r="R11" t="s">
        <v>3342</v>
      </c>
    </row>
    <row r="12" spans="1:21">
      <c r="A12" t="s">
        <v>21</v>
      </c>
      <c r="B12" s="1">
        <f>HYPERLINK("https://cordis.europa.eu/project/id/607476", "607476")</f>
        <v>0</v>
      </c>
      <c r="C12" t="s">
        <v>33</v>
      </c>
      <c r="D12" t="s">
        <v>844</v>
      </c>
      <c r="F12" t="s">
        <v>2114</v>
      </c>
      <c r="G12" t="s">
        <v>2183</v>
      </c>
      <c r="H12" t="s">
        <v>2548</v>
      </c>
      <c r="I12" t="s">
        <v>2556</v>
      </c>
      <c r="J12" s="1">
        <f>HYPERLINK("https://ec.europa.eu/info/funding-tenders/opportunities/portal/screen/how-to-participate/org-details/969848487", "969848487")</f>
        <v>0</v>
      </c>
      <c r="K12" t="s">
        <v>2574</v>
      </c>
      <c r="L12" t="s">
        <v>2816</v>
      </c>
      <c r="M12" t="s">
        <v>2965</v>
      </c>
      <c r="O12" t="s">
        <v>2973</v>
      </c>
      <c r="P12" t="s">
        <v>3043</v>
      </c>
      <c r="Q12">
        <v>6</v>
      </c>
      <c r="R12" t="s">
        <v>3342</v>
      </c>
    </row>
    <row r="13" spans="1:21">
      <c r="A13" t="s">
        <v>21</v>
      </c>
      <c r="B13" s="1">
        <f>HYPERLINK("https://cordis.europa.eu/project/id/339239", "339239")</f>
        <v>0</v>
      </c>
      <c r="C13" t="s">
        <v>34</v>
      </c>
      <c r="D13" t="s">
        <v>845</v>
      </c>
      <c r="F13" t="s">
        <v>2115</v>
      </c>
      <c r="G13" t="s">
        <v>2322</v>
      </c>
      <c r="H13" t="s">
        <v>2548</v>
      </c>
      <c r="I13" t="s">
        <v>2556</v>
      </c>
      <c r="J13" s="1">
        <f>HYPERLINK("https://ec.europa.eu/info/funding-tenders/opportunities/portal/screen/how-to-participate/org-details/998757203", "998757203")</f>
        <v>0</v>
      </c>
      <c r="K13" t="s">
        <v>2575</v>
      </c>
      <c r="L13" t="s">
        <v>2817</v>
      </c>
      <c r="M13" t="s">
        <v>2965</v>
      </c>
      <c r="O13" t="s">
        <v>2976</v>
      </c>
      <c r="P13" t="s">
        <v>3044</v>
      </c>
      <c r="Q13">
        <v>3</v>
      </c>
      <c r="R13" t="s">
        <v>3342</v>
      </c>
      <c r="S13" s="2">
        <v>240043.2</v>
      </c>
    </row>
    <row r="14" spans="1:21">
      <c r="A14" t="s">
        <v>21</v>
      </c>
      <c r="B14" s="1">
        <f>HYPERLINK("https://cordis.europa.eu/project/id/230669", "230669")</f>
        <v>0</v>
      </c>
      <c r="C14" t="s">
        <v>35</v>
      </c>
      <c r="D14" t="s">
        <v>846</v>
      </c>
      <c r="F14" t="s">
        <v>2116</v>
      </c>
      <c r="G14" t="s">
        <v>2319</v>
      </c>
      <c r="H14" t="s">
        <v>2548</v>
      </c>
      <c r="I14" t="s">
        <v>2556</v>
      </c>
      <c r="J14" s="1">
        <f>HYPERLINK("https://ec.europa.eu/info/funding-tenders/opportunities/portal/screen/how-to-participate/org-details/996313967", "996313967")</f>
        <v>0</v>
      </c>
      <c r="K14" t="s">
        <v>2576</v>
      </c>
      <c r="L14" t="s">
        <v>2818</v>
      </c>
      <c r="M14" t="s">
        <v>2967</v>
      </c>
      <c r="O14" t="s">
        <v>2977</v>
      </c>
      <c r="P14" t="s">
        <v>3045</v>
      </c>
      <c r="Q14">
        <v>7</v>
      </c>
      <c r="R14" t="s">
        <v>3342</v>
      </c>
    </row>
    <row r="15" spans="1:21">
      <c r="A15" t="s">
        <v>21</v>
      </c>
      <c r="B15" s="1">
        <f>HYPERLINK("https://cordis.europa.eu/project/id/244463", "244463")</f>
        <v>0</v>
      </c>
      <c r="C15" t="s">
        <v>36</v>
      </c>
      <c r="D15" t="s">
        <v>847</v>
      </c>
      <c r="F15" t="s">
        <v>2117</v>
      </c>
      <c r="G15" t="s">
        <v>2323</v>
      </c>
      <c r="H15" t="s">
        <v>2549</v>
      </c>
      <c r="I15" t="s">
        <v>2557</v>
      </c>
      <c r="J15" s="1">
        <f>HYPERLINK("https://ec.europa.eu/info/funding-tenders/opportunities/portal/screen/how-to-participate/org-details/997164075", "997164075")</f>
        <v>0</v>
      </c>
      <c r="K15" t="s">
        <v>2577</v>
      </c>
      <c r="L15" t="s">
        <v>2819</v>
      </c>
      <c r="M15" t="s">
        <v>2968</v>
      </c>
      <c r="O15" t="s">
        <v>2978</v>
      </c>
      <c r="P15" t="s">
        <v>3046</v>
      </c>
      <c r="Q15">
        <v>3</v>
      </c>
      <c r="R15" t="s">
        <v>3342</v>
      </c>
      <c r="S15" s="2">
        <v>14231</v>
      </c>
    </row>
    <row r="16" spans="1:21">
      <c r="A16" t="s">
        <v>21</v>
      </c>
      <c r="B16" s="1">
        <f>HYPERLINK("https://cordis.europa.eu/project/id/244463", "244463")</f>
        <v>0</v>
      </c>
      <c r="C16" t="s">
        <v>36</v>
      </c>
      <c r="D16" t="s">
        <v>847</v>
      </c>
      <c r="F16" t="s">
        <v>2117</v>
      </c>
      <c r="G16" t="s">
        <v>2323</v>
      </c>
      <c r="H16" t="s">
        <v>2549</v>
      </c>
      <c r="I16" t="s">
        <v>2557</v>
      </c>
      <c r="J16" s="1">
        <f>HYPERLINK("https://ec.europa.eu/info/funding-tenders/opportunities/portal/screen/how-to-participate/org-details/999873673", "999873673")</f>
        <v>0</v>
      </c>
      <c r="K16" t="s">
        <v>2578</v>
      </c>
      <c r="M16" t="s">
        <v>2965</v>
      </c>
      <c r="O16" t="s">
        <v>2978</v>
      </c>
      <c r="P16" t="s">
        <v>3046</v>
      </c>
      <c r="Q16">
        <v>1</v>
      </c>
      <c r="R16" t="s">
        <v>3343</v>
      </c>
      <c r="S16" s="2">
        <v>104539</v>
      </c>
    </row>
    <row r="17" spans="1:19">
      <c r="A17" t="s">
        <v>21</v>
      </c>
      <c r="B17" s="1">
        <f>HYPERLINK("https://cordis.europa.eu/project/id/265919", "265919")</f>
        <v>0</v>
      </c>
      <c r="C17" t="s">
        <v>37</v>
      </c>
      <c r="D17" t="s">
        <v>848</v>
      </c>
      <c r="F17" t="s">
        <v>2118</v>
      </c>
      <c r="G17" t="s">
        <v>2324</v>
      </c>
      <c r="H17" t="s">
        <v>2549</v>
      </c>
      <c r="I17" t="s">
        <v>2557</v>
      </c>
      <c r="J17" s="1">
        <f>HYPERLINK("https://ec.europa.eu/info/funding-tenders/opportunities/portal/screen/how-to-participate/org-details/986399403", "986399403")</f>
        <v>0</v>
      </c>
      <c r="K17" t="s">
        <v>2579</v>
      </c>
      <c r="L17" t="s">
        <v>2820</v>
      </c>
      <c r="M17" t="s">
        <v>2969</v>
      </c>
      <c r="O17" t="s">
        <v>2979</v>
      </c>
      <c r="P17" t="s">
        <v>3047</v>
      </c>
      <c r="Q17">
        <v>-5</v>
      </c>
      <c r="R17" t="s">
        <v>3342</v>
      </c>
    </row>
    <row r="18" spans="1:19">
      <c r="A18" t="s">
        <v>21</v>
      </c>
      <c r="B18" s="1">
        <f>HYPERLINK("https://cordis.europa.eu/project/id/265919", "265919")</f>
        <v>0</v>
      </c>
      <c r="C18" t="s">
        <v>37</v>
      </c>
      <c r="D18" t="s">
        <v>848</v>
      </c>
      <c r="F18" t="s">
        <v>2118</v>
      </c>
      <c r="G18" t="s">
        <v>2324</v>
      </c>
      <c r="H18" t="s">
        <v>2549</v>
      </c>
      <c r="I18" t="s">
        <v>2557</v>
      </c>
      <c r="J18" s="1">
        <f>HYPERLINK("https://ec.europa.eu/info/funding-tenders/opportunities/portal/screen/how-to-participate/org-details/952857385", "952857385")</f>
        <v>0</v>
      </c>
      <c r="K18" t="s">
        <v>2580</v>
      </c>
      <c r="L18" t="s">
        <v>2821</v>
      </c>
      <c r="M18" t="s">
        <v>2969</v>
      </c>
      <c r="O18" t="s">
        <v>2979</v>
      </c>
      <c r="P18" t="s">
        <v>3047</v>
      </c>
      <c r="Q18">
        <v>5</v>
      </c>
      <c r="R18" t="s">
        <v>3342</v>
      </c>
      <c r="S18" s="2">
        <v>11449</v>
      </c>
    </row>
    <row r="19" spans="1:19">
      <c r="A19" t="s">
        <v>21</v>
      </c>
      <c r="B19" s="1">
        <f>HYPERLINK("https://cordis.europa.eu/project/id/249691", "249691")</f>
        <v>0</v>
      </c>
      <c r="C19" t="s">
        <v>38</v>
      </c>
      <c r="D19" t="s">
        <v>849</v>
      </c>
      <c r="F19" t="s">
        <v>2119</v>
      </c>
      <c r="G19" t="s">
        <v>2325</v>
      </c>
      <c r="H19" t="s">
        <v>2548</v>
      </c>
      <c r="I19" t="s">
        <v>2556</v>
      </c>
      <c r="J19" s="1">
        <f>HYPERLINK("https://ec.europa.eu/info/funding-tenders/opportunities/portal/screen/how-to-participate/org-details/998138343", "998138343")</f>
        <v>0</v>
      </c>
      <c r="K19" t="s">
        <v>2581</v>
      </c>
      <c r="L19" t="s">
        <v>2822</v>
      </c>
      <c r="M19" t="s">
        <v>2967</v>
      </c>
      <c r="O19" t="s">
        <v>2973</v>
      </c>
      <c r="P19" t="s">
        <v>3048</v>
      </c>
      <c r="Q19">
        <v>6</v>
      </c>
      <c r="R19" t="s">
        <v>3342</v>
      </c>
    </row>
    <row r="20" spans="1:19">
      <c r="A20" t="s">
        <v>21</v>
      </c>
      <c r="B20" s="1">
        <f>HYPERLINK("https://cordis.europa.eu/project/id/613167", "613167")</f>
        <v>0</v>
      </c>
      <c r="C20" t="s">
        <v>39</v>
      </c>
      <c r="D20" t="s">
        <v>850</v>
      </c>
      <c r="F20" t="s">
        <v>2109</v>
      </c>
      <c r="G20" t="s">
        <v>2326</v>
      </c>
      <c r="H20" t="s">
        <v>2548</v>
      </c>
      <c r="I20" t="s">
        <v>2556</v>
      </c>
      <c r="J20" s="1">
        <f>HYPERLINK("https://ec.europa.eu/info/funding-tenders/opportunities/portal/screen/how-to-participate/org-details/951100909", "951100909")</f>
        <v>0</v>
      </c>
      <c r="K20" t="s">
        <v>2582</v>
      </c>
      <c r="L20" t="s">
        <v>2823</v>
      </c>
      <c r="M20" t="s">
        <v>2969</v>
      </c>
      <c r="O20" t="s">
        <v>2978</v>
      </c>
      <c r="P20" t="s">
        <v>3049</v>
      </c>
      <c r="Q20">
        <v>2</v>
      </c>
      <c r="R20" t="s">
        <v>3342</v>
      </c>
      <c r="S20" s="2">
        <v>166416</v>
      </c>
    </row>
    <row r="21" spans="1:19">
      <c r="A21" t="s">
        <v>21</v>
      </c>
      <c r="B21" s="1">
        <f>HYPERLINK("https://cordis.europa.eu/project/id/244422", "244422")</f>
        <v>0</v>
      </c>
      <c r="C21" t="s">
        <v>40</v>
      </c>
      <c r="D21" t="s">
        <v>851</v>
      </c>
      <c r="F21" t="s">
        <v>2120</v>
      </c>
      <c r="G21" t="s">
        <v>2327</v>
      </c>
      <c r="H21" t="s">
        <v>2548</v>
      </c>
      <c r="I21" t="s">
        <v>2556</v>
      </c>
      <c r="J21" s="1">
        <f>HYPERLINK("https://ec.europa.eu/info/funding-tenders/opportunities/portal/screen/how-to-participate/org-details/997735502", "997735502")</f>
        <v>0</v>
      </c>
      <c r="K21" t="s">
        <v>2583</v>
      </c>
      <c r="L21" t="s">
        <v>2824</v>
      </c>
      <c r="M21" t="s">
        <v>2967</v>
      </c>
      <c r="O21" t="s">
        <v>2978</v>
      </c>
      <c r="P21" t="s">
        <v>3046</v>
      </c>
      <c r="Q21">
        <v>3</v>
      </c>
      <c r="R21" t="s">
        <v>3342</v>
      </c>
      <c r="S21" s="2">
        <v>89991.22</v>
      </c>
    </row>
    <row r="22" spans="1:19">
      <c r="A22" t="s">
        <v>21</v>
      </c>
      <c r="B22" s="1">
        <f>HYPERLINK("https://cordis.europa.eu/project/id/244422", "244422")</f>
        <v>0</v>
      </c>
      <c r="C22" t="s">
        <v>40</v>
      </c>
      <c r="D22" t="s">
        <v>851</v>
      </c>
      <c r="F22" t="s">
        <v>2120</v>
      </c>
      <c r="G22" t="s">
        <v>2327</v>
      </c>
      <c r="H22" t="s">
        <v>2548</v>
      </c>
      <c r="I22" t="s">
        <v>2556</v>
      </c>
      <c r="J22" s="1">
        <f>HYPERLINK("https://ec.europa.eu/info/funding-tenders/opportunities/portal/screen/how-to-participate/org-details/997315201", "997315201")</f>
        <v>0</v>
      </c>
      <c r="K22" t="s">
        <v>2584</v>
      </c>
      <c r="L22" t="s">
        <v>2825</v>
      </c>
      <c r="M22" t="s">
        <v>2967</v>
      </c>
      <c r="O22" t="s">
        <v>2978</v>
      </c>
      <c r="P22" t="s">
        <v>3046</v>
      </c>
      <c r="Q22">
        <v>2</v>
      </c>
      <c r="R22" t="s">
        <v>3342</v>
      </c>
      <c r="S22" s="2">
        <v>107570.51</v>
      </c>
    </row>
    <row r="23" spans="1:19">
      <c r="A23" t="s">
        <v>21</v>
      </c>
      <c r="B23" s="1">
        <f>HYPERLINK("https://cordis.europa.eu/project/id/244422", "244422")</f>
        <v>0</v>
      </c>
      <c r="C23" t="s">
        <v>40</v>
      </c>
      <c r="D23" t="s">
        <v>851</v>
      </c>
      <c r="F23" t="s">
        <v>2120</v>
      </c>
      <c r="G23" t="s">
        <v>2327</v>
      </c>
      <c r="H23" t="s">
        <v>2548</v>
      </c>
      <c r="I23" t="s">
        <v>2556</v>
      </c>
      <c r="J23" s="1">
        <f>HYPERLINK("https://ec.europa.eu/info/funding-tenders/opportunities/portal/screen/how-to-participate/org-details/996868031", "996868031")</f>
        <v>0</v>
      </c>
      <c r="K23" t="s">
        <v>2585</v>
      </c>
      <c r="L23" t="s">
        <v>2826</v>
      </c>
      <c r="M23" t="s">
        <v>2967</v>
      </c>
      <c r="O23" t="s">
        <v>2978</v>
      </c>
      <c r="P23" t="s">
        <v>3046</v>
      </c>
      <c r="Q23">
        <v>4</v>
      </c>
      <c r="R23" t="s">
        <v>3342</v>
      </c>
      <c r="S23" s="2">
        <v>49341.91</v>
      </c>
    </row>
    <row r="24" spans="1:19">
      <c r="A24" t="s">
        <v>21</v>
      </c>
      <c r="B24" s="1">
        <f>HYPERLINK("https://cordis.europa.eu/project/id/244426", "244426")</f>
        <v>0</v>
      </c>
      <c r="C24" t="s">
        <v>41</v>
      </c>
      <c r="D24" t="s">
        <v>852</v>
      </c>
      <c r="F24" t="s">
        <v>2121</v>
      </c>
      <c r="G24" t="s">
        <v>2328</v>
      </c>
      <c r="H24" t="s">
        <v>2548</v>
      </c>
      <c r="I24" t="s">
        <v>2556</v>
      </c>
      <c r="J24" s="1">
        <f>HYPERLINK("https://ec.europa.eu/info/funding-tenders/opportunities/portal/screen/how-to-participate/org-details/996868031", "996868031")</f>
        <v>0</v>
      </c>
      <c r="K24" t="s">
        <v>2585</v>
      </c>
      <c r="L24" t="s">
        <v>2826</v>
      </c>
      <c r="M24" t="s">
        <v>2967</v>
      </c>
      <c r="O24" t="s">
        <v>2978</v>
      </c>
      <c r="P24" t="s">
        <v>3050</v>
      </c>
      <c r="Q24">
        <v>5</v>
      </c>
      <c r="R24" t="s">
        <v>3342</v>
      </c>
      <c r="S24" s="2">
        <v>315798</v>
      </c>
    </row>
    <row r="25" spans="1:19">
      <c r="A25" t="s">
        <v>21</v>
      </c>
      <c r="B25" s="1">
        <f>HYPERLINK("https://cordis.europa.eu/project/id/244426", "244426")</f>
        <v>0</v>
      </c>
      <c r="C25" t="s">
        <v>41</v>
      </c>
      <c r="D25" t="s">
        <v>852</v>
      </c>
      <c r="F25" t="s">
        <v>2121</v>
      </c>
      <c r="G25" t="s">
        <v>2328</v>
      </c>
      <c r="H25" t="s">
        <v>2548</v>
      </c>
      <c r="I25" t="s">
        <v>2556</v>
      </c>
      <c r="J25" s="1">
        <f>HYPERLINK("https://ec.europa.eu/info/funding-tenders/opportunities/portal/screen/how-to-participate/org-details/997466424", "997466424")</f>
        <v>0</v>
      </c>
      <c r="K25" t="s">
        <v>2586</v>
      </c>
      <c r="L25" t="s">
        <v>2827</v>
      </c>
      <c r="M25" t="s">
        <v>2969</v>
      </c>
      <c r="O25" t="s">
        <v>2978</v>
      </c>
      <c r="P25" t="s">
        <v>3050</v>
      </c>
      <c r="Q25">
        <v>1</v>
      </c>
      <c r="R25" t="s">
        <v>3343</v>
      </c>
      <c r="S25" s="2">
        <v>23991.54</v>
      </c>
    </row>
    <row r="26" spans="1:19">
      <c r="A26" t="s">
        <v>21</v>
      </c>
      <c r="B26" s="1">
        <f>HYPERLINK("https://cordis.europa.eu/project/id/244514", "244514")</f>
        <v>0</v>
      </c>
      <c r="C26" t="s">
        <v>42</v>
      </c>
      <c r="D26" t="s">
        <v>853</v>
      </c>
      <c r="F26" t="s">
        <v>2122</v>
      </c>
      <c r="G26" t="s">
        <v>2329</v>
      </c>
      <c r="H26" t="s">
        <v>2550</v>
      </c>
      <c r="I26" t="s">
        <v>2558</v>
      </c>
      <c r="J26" s="1">
        <f>HYPERLINK("https://ec.europa.eu/info/funding-tenders/opportunities/portal/screen/how-to-participate/org-details/991044054", "991044054")</f>
        <v>0</v>
      </c>
      <c r="K26" t="s">
        <v>2587</v>
      </c>
      <c r="M26" t="s">
        <v>2965</v>
      </c>
      <c r="O26" t="s">
        <v>2979</v>
      </c>
      <c r="P26" t="s">
        <v>3051</v>
      </c>
      <c r="Q26">
        <v>9</v>
      </c>
      <c r="R26" t="s">
        <v>3342</v>
      </c>
      <c r="S26" s="2">
        <v>74900</v>
      </c>
    </row>
    <row r="27" spans="1:19">
      <c r="A27" t="s">
        <v>21</v>
      </c>
      <c r="B27" s="1">
        <f>HYPERLINK("https://cordis.europa.eu/project/id/244514", "244514")</f>
        <v>0</v>
      </c>
      <c r="C27" t="s">
        <v>42</v>
      </c>
      <c r="D27" t="s">
        <v>853</v>
      </c>
      <c r="F27" t="s">
        <v>2122</v>
      </c>
      <c r="G27" t="s">
        <v>2329</v>
      </c>
      <c r="H27" t="s">
        <v>2549</v>
      </c>
      <c r="I27" t="s">
        <v>2557</v>
      </c>
      <c r="J27" s="1">
        <f>HYPERLINK("https://ec.europa.eu/info/funding-tenders/opportunities/portal/screen/how-to-participate/org-details/996824478", "996824478")</f>
        <v>0</v>
      </c>
      <c r="K27" t="s">
        <v>2588</v>
      </c>
      <c r="L27" t="s">
        <v>2828</v>
      </c>
      <c r="M27" t="s">
        <v>2969</v>
      </c>
      <c r="O27" t="s">
        <v>2979</v>
      </c>
      <c r="P27" t="s">
        <v>3051</v>
      </c>
      <c r="Q27">
        <v>-6</v>
      </c>
      <c r="R27" t="s">
        <v>3342</v>
      </c>
    </row>
    <row r="28" spans="1:19">
      <c r="A28" t="s">
        <v>21</v>
      </c>
      <c r="B28" s="1">
        <f>HYPERLINK("https://cordis.europa.eu/project/id/244514", "244514")</f>
        <v>0</v>
      </c>
      <c r="C28" t="s">
        <v>42</v>
      </c>
      <c r="D28" t="s">
        <v>853</v>
      </c>
      <c r="F28" t="s">
        <v>2122</v>
      </c>
      <c r="G28" t="s">
        <v>2329</v>
      </c>
      <c r="H28" t="s">
        <v>2551</v>
      </c>
      <c r="I28" t="s">
        <v>2559</v>
      </c>
      <c r="J28" s="1">
        <f>HYPERLINK("https://ec.europa.eu/info/funding-tenders/opportunities/portal/screen/how-to-participate/org-details/997324028", "997324028")</f>
        <v>0</v>
      </c>
      <c r="K28" t="s">
        <v>2589</v>
      </c>
      <c r="L28" t="s">
        <v>2829</v>
      </c>
      <c r="M28" t="s">
        <v>2965</v>
      </c>
      <c r="O28" t="s">
        <v>2979</v>
      </c>
      <c r="P28" t="s">
        <v>3051</v>
      </c>
      <c r="Q28">
        <v>7</v>
      </c>
      <c r="R28" t="s">
        <v>3342</v>
      </c>
      <c r="S28" s="2">
        <v>171467.5</v>
      </c>
    </row>
    <row r="29" spans="1:19">
      <c r="A29" t="s">
        <v>21</v>
      </c>
      <c r="B29" s="1">
        <f>HYPERLINK("https://cordis.europa.eu/project/id/244514", "244514")</f>
        <v>0</v>
      </c>
      <c r="C29" t="s">
        <v>42</v>
      </c>
      <c r="D29" t="s">
        <v>853</v>
      </c>
      <c r="F29" t="s">
        <v>2122</v>
      </c>
      <c r="G29" t="s">
        <v>2329</v>
      </c>
      <c r="H29" t="s">
        <v>2549</v>
      </c>
      <c r="I29" t="s">
        <v>2557</v>
      </c>
      <c r="J29" s="1">
        <f>HYPERLINK("https://ec.europa.eu/info/funding-tenders/opportunities/portal/screen/how-to-participate/org-details/952857385", "952857385")</f>
        <v>0</v>
      </c>
      <c r="K29" t="s">
        <v>2580</v>
      </c>
      <c r="L29" t="s">
        <v>2821</v>
      </c>
      <c r="M29" t="s">
        <v>2969</v>
      </c>
      <c r="O29" t="s">
        <v>2979</v>
      </c>
      <c r="P29" t="s">
        <v>3051</v>
      </c>
      <c r="Q29">
        <v>6</v>
      </c>
      <c r="R29" t="s">
        <v>3342</v>
      </c>
    </row>
    <row r="30" spans="1:19">
      <c r="A30" t="s">
        <v>21</v>
      </c>
      <c r="B30" s="1">
        <f>HYPERLINK("https://cordis.europa.eu/project/id/244514", "244514")</f>
        <v>0</v>
      </c>
      <c r="C30" t="s">
        <v>42</v>
      </c>
      <c r="D30" t="s">
        <v>853</v>
      </c>
      <c r="F30" t="s">
        <v>2122</v>
      </c>
      <c r="G30" t="s">
        <v>2329</v>
      </c>
      <c r="H30" t="s">
        <v>2549</v>
      </c>
      <c r="I30" t="s">
        <v>2557</v>
      </c>
      <c r="J30" s="1">
        <f>HYPERLINK("https://ec.europa.eu/info/funding-tenders/opportunities/portal/screen/how-to-participate/org-details/989758028", "989758028")</f>
        <v>0</v>
      </c>
      <c r="K30" t="s">
        <v>2590</v>
      </c>
      <c r="L30" t="s">
        <v>2830</v>
      </c>
      <c r="M30" t="s">
        <v>2967</v>
      </c>
      <c r="O30" t="s">
        <v>2979</v>
      </c>
      <c r="P30" t="s">
        <v>3051</v>
      </c>
      <c r="Q30">
        <v>10</v>
      </c>
      <c r="R30" t="s">
        <v>3342</v>
      </c>
      <c r="S30" s="2">
        <v>50397</v>
      </c>
    </row>
    <row r="31" spans="1:19">
      <c r="A31" t="s">
        <v>21</v>
      </c>
      <c r="B31" s="1">
        <f>HYPERLINK("https://cordis.europa.eu/project/id/291864", "291864")</f>
        <v>0</v>
      </c>
      <c r="C31" t="s">
        <v>43</v>
      </c>
      <c r="D31" t="s">
        <v>854</v>
      </c>
      <c r="F31" t="s">
        <v>2123</v>
      </c>
      <c r="G31" t="s">
        <v>2330</v>
      </c>
      <c r="H31" t="s">
        <v>2549</v>
      </c>
      <c r="I31" t="s">
        <v>2557</v>
      </c>
      <c r="J31" s="1">
        <f>HYPERLINK("https://ec.europa.eu/info/funding-tenders/opportunities/portal/screen/how-to-participate/org-details/986399403", "986399403")</f>
        <v>0</v>
      </c>
      <c r="K31" t="s">
        <v>2579</v>
      </c>
      <c r="L31" t="s">
        <v>2820</v>
      </c>
      <c r="M31" t="s">
        <v>2969</v>
      </c>
      <c r="O31" t="s">
        <v>2979</v>
      </c>
      <c r="P31" t="s">
        <v>3052</v>
      </c>
      <c r="Q31">
        <v>-14</v>
      </c>
      <c r="R31" t="s">
        <v>3342</v>
      </c>
    </row>
    <row r="32" spans="1:19">
      <c r="A32" t="s">
        <v>21</v>
      </c>
      <c r="B32" s="1">
        <f>HYPERLINK("https://cordis.europa.eu/project/id/291864", "291864")</f>
        <v>0</v>
      </c>
      <c r="C32" t="s">
        <v>43</v>
      </c>
      <c r="D32" t="s">
        <v>854</v>
      </c>
      <c r="F32" t="s">
        <v>2123</v>
      </c>
      <c r="G32" t="s">
        <v>2330</v>
      </c>
      <c r="H32" t="s">
        <v>2549</v>
      </c>
      <c r="I32" t="s">
        <v>2557</v>
      </c>
      <c r="J32" s="1">
        <f>HYPERLINK("https://ec.europa.eu/info/funding-tenders/opportunities/portal/screen/how-to-participate/org-details/952857385", "952857385")</f>
        <v>0</v>
      </c>
      <c r="K32" t="s">
        <v>2580</v>
      </c>
      <c r="L32" t="s">
        <v>2821</v>
      </c>
      <c r="M32" t="s">
        <v>2969</v>
      </c>
      <c r="O32" t="s">
        <v>2979</v>
      </c>
      <c r="P32" t="s">
        <v>3052</v>
      </c>
      <c r="Q32">
        <v>14</v>
      </c>
      <c r="R32" t="s">
        <v>3342</v>
      </c>
      <c r="S32" s="2">
        <v>16050</v>
      </c>
    </row>
    <row r="33" spans="1:19">
      <c r="A33" t="s">
        <v>21</v>
      </c>
      <c r="B33" s="1">
        <f>HYPERLINK("https://cordis.europa.eu/project/id/291864", "291864")</f>
        <v>0</v>
      </c>
      <c r="C33" t="s">
        <v>43</v>
      </c>
      <c r="D33" t="s">
        <v>854</v>
      </c>
      <c r="F33" t="s">
        <v>2123</v>
      </c>
      <c r="G33" t="s">
        <v>2330</v>
      </c>
      <c r="H33" t="s">
        <v>2548</v>
      </c>
      <c r="I33" t="s">
        <v>2556</v>
      </c>
      <c r="J33" s="1">
        <f>HYPERLINK("https://ec.europa.eu/info/funding-tenders/opportunities/portal/screen/how-to-participate/org-details/999561042", "999561042")</f>
        <v>0</v>
      </c>
      <c r="K33" t="s">
        <v>2566</v>
      </c>
      <c r="L33" t="s">
        <v>2810</v>
      </c>
      <c r="M33" t="s">
        <v>2966</v>
      </c>
      <c r="O33" t="s">
        <v>2979</v>
      </c>
      <c r="P33" t="s">
        <v>3052</v>
      </c>
      <c r="Q33">
        <v>4</v>
      </c>
      <c r="R33" t="s">
        <v>3342</v>
      </c>
    </row>
    <row r="34" spans="1:19">
      <c r="A34" t="s">
        <v>21</v>
      </c>
      <c r="B34" s="1">
        <f>HYPERLINK("https://cordis.europa.eu/project/id/248032", "248032")</f>
        <v>0</v>
      </c>
      <c r="C34" t="s">
        <v>44</v>
      </c>
      <c r="D34" t="s">
        <v>855</v>
      </c>
      <c r="F34" t="s">
        <v>2117</v>
      </c>
      <c r="G34" t="s">
        <v>2331</v>
      </c>
      <c r="H34" t="s">
        <v>2549</v>
      </c>
      <c r="I34" t="s">
        <v>2557</v>
      </c>
      <c r="J34" s="1">
        <f>HYPERLINK("https://ec.europa.eu/info/funding-tenders/opportunities/portal/screen/how-to-participate/org-details/999613131", "999613131")</f>
        <v>0</v>
      </c>
      <c r="K34" t="s">
        <v>2591</v>
      </c>
      <c r="L34" t="s">
        <v>2831</v>
      </c>
      <c r="M34" t="s">
        <v>2965</v>
      </c>
      <c r="O34" t="s">
        <v>2970</v>
      </c>
      <c r="P34" t="s">
        <v>3034</v>
      </c>
      <c r="Q34">
        <v>3</v>
      </c>
      <c r="R34" t="s">
        <v>3342</v>
      </c>
      <c r="S34" s="2">
        <v>72800</v>
      </c>
    </row>
    <row r="35" spans="1:19">
      <c r="A35" t="s">
        <v>21</v>
      </c>
      <c r="B35" s="1">
        <f>HYPERLINK("https://cordis.europa.eu/project/id/256848", "256848")</f>
        <v>0</v>
      </c>
      <c r="C35" t="s">
        <v>45</v>
      </c>
      <c r="D35" t="s">
        <v>856</v>
      </c>
      <c r="F35" t="s">
        <v>2124</v>
      </c>
      <c r="G35" t="s">
        <v>2332</v>
      </c>
      <c r="H35" t="s">
        <v>2548</v>
      </c>
      <c r="I35" t="s">
        <v>2556</v>
      </c>
      <c r="J35" s="1">
        <f>HYPERLINK("https://ec.europa.eu/info/funding-tenders/opportunities/portal/screen/how-to-participate/org-details/974580438", "974580438")</f>
        <v>0</v>
      </c>
      <c r="K35" t="s">
        <v>2592</v>
      </c>
      <c r="L35" t="s">
        <v>2832</v>
      </c>
      <c r="M35" t="s">
        <v>2969</v>
      </c>
      <c r="O35" t="s">
        <v>2980</v>
      </c>
      <c r="P35" t="s">
        <v>3053</v>
      </c>
      <c r="Q35">
        <v>12</v>
      </c>
      <c r="R35" t="s">
        <v>3342</v>
      </c>
    </row>
    <row r="36" spans="1:19">
      <c r="A36" t="s">
        <v>21</v>
      </c>
      <c r="B36" s="1">
        <f>HYPERLINK("https://cordis.europa.eu/project/id/306125", "306125")</f>
        <v>0</v>
      </c>
      <c r="C36" t="s">
        <v>46</v>
      </c>
      <c r="D36" t="s">
        <v>857</v>
      </c>
      <c r="F36" t="s">
        <v>2125</v>
      </c>
      <c r="G36" t="s">
        <v>2333</v>
      </c>
      <c r="H36" t="s">
        <v>2548</v>
      </c>
      <c r="I36" t="s">
        <v>2556</v>
      </c>
      <c r="J36" s="1">
        <f>HYPERLINK("https://ec.europa.eu/info/funding-tenders/opportunities/portal/screen/how-to-participate/org-details/948458629", "948458629")</f>
        <v>0</v>
      </c>
      <c r="K36" t="s">
        <v>2593</v>
      </c>
      <c r="L36" t="s">
        <v>2833</v>
      </c>
      <c r="M36" t="s">
        <v>2969</v>
      </c>
      <c r="O36" t="s">
        <v>2973</v>
      </c>
      <c r="P36" t="s">
        <v>3054</v>
      </c>
      <c r="Q36">
        <v>10</v>
      </c>
      <c r="R36" t="s">
        <v>3342</v>
      </c>
      <c r="S36" s="2">
        <v>164794</v>
      </c>
    </row>
    <row r="37" spans="1:19">
      <c r="A37" t="s">
        <v>21</v>
      </c>
      <c r="B37" s="1">
        <f>HYPERLINK("https://cordis.europa.eu/project/id/284520", "284520")</f>
        <v>0</v>
      </c>
      <c r="C37" t="s">
        <v>47</v>
      </c>
      <c r="D37" t="s">
        <v>858</v>
      </c>
      <c r="F37" t="s">
        <v>2126</v>
      </c>
      <c r="G37" t="s">
        <v>2334</v>
      </c>
      <c r="H37" t="s">
        <v>2548</v>
      </c>
      <c r="I37" t="s">
        <v>2556</v>
      </c>
      <c r="J37" s="1">
        <f>HYPERLINK("https://ec.europa.eu/info/funding-tenders/opportunities/portal/screen/how-to-participate/org-details/999894043", "999894043")</f>
        <v>0</v>
      </c>
      <c r="K37" t="s">
        <v>2568</v>
      </c>
      <c r="L37" t="s">
        <v>2812</v>
      </c>
      <c r="M37" t="s">
        <v>2965</v>
      </c>
      <c r="O37" t="s">
        <v>2973</v>
      </c>
      <c r="P37" t="s">
        <v>3055</v>
      </c>
      <c r="Q37">
        <v>6</v>
      </c>
      <c r="R37" t="s">
        <v>3342</v>
      </c>
      <c r="S37" s="2">
        <v>256879.43</v>
      </c>
    </row>
    <row r="38" spans="1:19">
      <c r="A38" t="s">
        <v>21</v>
      </c>
      <c r="B38" s="1">
        <f>HYPERLINK("https://cordis.europa.eu/project/id/226482", "226482")</f>
        <v>0</v>
      </c>
      <c r="C38" t="s">
        <v>48</v>
      </c>
      <c r="D38" t="s">
        <v>859</v>
      </c>
      <c r="F38" t="s">
        <v>2127</v>
      </c>
      <c r="G38" t="s">
        <v>2335</v>
      </c>
      <c r="H38" t="s">
        <v>2549</v>
      </c>
      <c r="I38" t="s">
        <v>2557</v>
      </c>
      <c r="J38" s="1">
        <f>HYPERLINK("https://ec.europa.eu/info/funding-tenders/opportunities/portal/screen/how-to-participate/org-details/999851654", "999851654")</f>
        <v>0</v>
      </c>
      <c r="K38" t="s">
        <v>2594</v>
      </c>
      <c r="M38" t="s">
        <v>2965</v>
      </c>
      <c r="O38" t="s">
        <v>2973</v>
      </c>
      <c r="P38" t="s">
        <v>3056</v>
      </c>
      <c r="Q38">
        <v>16</v>
      </c>
      <c r="R38" t="s">
        <v>3342</v>
      </c>
    </row>
    <row r="39" spans="1:19">
      <c r="A39" t="s">
        <v>21</v>
      </c>
      <c r="B39" s="1">
        <f>HYPERLINK("https://cordis.europa.eu/project/id/295889", "295889")</f>
        <v>0</v>
      </c>
      <c r="C39" t="s">
        <v>49</v>
      </c>
      <c r="D39" t="s">
        <v>860</v>
      </c>
      <c r="F39" t="s">
        <v>2126</v>
      </c>
      <c r="G39" t="s">
        <v>2336</v>
      </c>
      <c r="H39" t="s">
        <v>2548</v>
      </c>
      <c r="I39" t="s">
        <v>2556</v>
      </c>
      <c r="J39" s="1">
        <f>HYPERLINK("https://ec.europa.eu/info/funding-tenders/opportunities/portal/screen/how-to-participate/org-details/966094490", "966094490")</f>
        <v>0</v>
      </c>
      <c r="K39" t="s">
        <v>2595</v>
      </c>
      <c r="M39" t="s">
        <v>2969</v>
      </c>
      <c r="O39" t="s">
        <v>2979</v>
      </c>
      <c r="P39" t="s">
        <v>3057</v>
      </c>
      <c r="Q39">
        <v>11</v>
      </c>
      <c r="R39" t="s">
        <v>3342</v>
      </c>
    </row>
    <row r="40" spans="1:19">
      <c r="A40" t="s">
        <v>21</v>
      </c>
      <c r="B40" s="1">
        <f>HYPERLINK("https://cordis.europa.eu/project/id/265608", "265608")</f>
        <v>0</v>
      </c>
      <c r="C40" t="s">
        <v>50</v>
      </c>
      <c r="D40" t="s">
        <v>861</v>
      </c>
      <c r="F40" t="s">
        <v>2118</v>
      </c>
      <c r="G40" t="s">
        <v>2337</v>
      </c>
      <c r="H40" t="s">
        <v>2549</v>
      </c>
      <c r="I40" t="s">
        <v>2557</v>
      </c>
      <c r="J40" s="1">
        <f>HYPERLINK("https://ec.europa.eu/info/funding-tenders/opportunities/portal/screen/how-to-participate/org-details/989758028", "989758028")</f>
        <v>0</v>
      </c>
      <c r="K40" t="s">
        <v>2590</v>
      </c>
      <c r="L40" t="s">
        <v>2830</v>
      </c>
      <c r="M40" t="s">
        <v>2967</v>
      </c>
      <c r="O40" t="s">
        <v>2979</v>
      </c>
      <c r="P40" t="s">
        <v>3047</v>
      </c>
      <c r="Q40">
        <v>17</v>
      </c>
      <c r="R40" t="s">
        <v>3342</v>
      </c>
      <c r="S40" s="2">
        <v>38840</v>
      </c>
    </row>
    <row r="41" spans="1:19">
      <c r="A41" t="s">
        <v>21</v>
      </c>
      <c r="B41" s="1">
        <f>HYPERLINK("https://cordis.europa.eu/project/id/265608", "265608")</f>
        <v>0</v>
      </c>
      <c r="C41" t="s">
        <v>50</v>
      </c>
      <c r="D41" t="s">
        <v>861</v>
      </c>
      <c r="F41" t="s">
        <v>2118</v>
      </c>
      <c r="G41" t="s">
        <v>2337</v>
      </c>
      <c r="H41" t="s">
        <v>2548</v>
      </c>
      <c r="I41" t="s">
        <v>2556</v>
      </c>
      <c r="J41" s="1">
        <f>HYPERLINK("https://ec.europa.eu/info/funding-tenders/opportunities/portal/screen/how-to-participate/org-details/998354750", "998354750")</f>
        <v>0</v>
      </c>
      <c r="K41" t="s">
        <v>2596</v>
      </c>
      <c r="L41" t="s">
        <v>2834</v>
      </c>
      <c r="M41" t="s">
        <v>2969</v>
      </c>
      <c r="O41" t="s">
        <v>2979</v>
      </c>
      <c r="P41" t="s">
        <v>3047</v>
      </c>
      <c r="Q41">
        <v>8</v>
      </c>
      <c r="R41" t="s">
        <v>3342</v>
      </c>
      <c r="S41" s="2">
        <v>29960</v>
      </c>
    </row>
    <row r="42" spans="1:19">
      <c r="A42" t="s">
        <v>21</v>
      </c>
      <c r="B42" s="1">
        <f>HYPERLINK("https://cordis.europa.eu/project/id/609490", "609490")</f>
        <v>0</v>
      </c>
      <c r="C42" t="s">
        <v>51</v>
      </c>
      <c r="D42" t="s">
        <v>862</v>
      </c>
      <c r="F42" t="s">
        <v>2128</v>
      </c>
      <c r="G42" t="s">
        <v>2194</v>
      </c>
      <c r="H42" t="s">
        <v>2550</v>
      </c>
      <c r="I42" t="s">
        <v>2558</v>
      </c>
      <c r="J42" s="1">
        <f>HYPERLINK("https://ec.europa.eu/info/funding-tenders/opportunities/portal/screen/how-to-participate/org-details/991044054", "991044054")</f>
        <v>0</v>
      </c>
      <c r="K42" t="s">
        <v>2587</v>
      </c>
      <c r="M42" t="s">
        <v>2965</v>
      </c>
      <c r="O42" t="s">
        <v>2979</v>
      </c>
      <c r="P42" t="s">
        <v>3058</v>
      </c>
      <c r="Q42">
        <v>13</v>
      </c>
      <c r="R42" t="s">
        <v>3342</v>
      </c>
      <c r="S42" s="2">
        <v>112885</v>
      </c>
    </row>
    <row r="43" spans="1:19">
      <c r="A43" t="s">
        <v>21</v>
      </c>
      <c r="B43" s="1">
        <f>HYPERLINK("https://cordis.europa.eu/project/id/609490", "609490")</f>
        <v>0</v>
      </c>
      <c r="C43" t="s">
        <v>51</v>
      </c>
      <c r="D43" t="s">
        <v>862</v>
      </c>
      <c r="F43" t="s">
        <v>2128</v>
      </c>
      <c r="G43" t="s">
        <v>2194</v>
      </c>
      <c r="H43" t="s">
        <v>2552</v>
      </c>
      <c r="I43" t="s">
        <v>2560</v>
      </c>
      <c r="J43" s="1">
        <f>HYPERLINK("https://ec.europa.eu/info/funding-tenders/opportunities/portal/screen/how-to-participate/org-details/952151710", "952151710")</f>
        <v>0</v>
      </c>
      <c r="K43" t="s">
        <v>2597</v>
      </c>
      <c r="L43" t="s">
        <v>2835</v>
      </c>
      <c r="M43" t="s">
        <v>2966</v>
      </c>
      <c r="O43" t="s">
        <v>2979</v>
      </c>
      <c r="P43" t="s">
        <v>3058</v>
      </c>
      <c r="Q43">
        <v>15</v>
      </c>
      <c r="R43" t="s">
        <v>3342</v>
      </c>
      <c r="S43" s="2">
        <v>70085</v>
      </c>
    </row>
    <row r="44" spans="1:19">
      <c r="A44" t="s">
        <v>21</v>
      </c>
      <c r="B44" s="1">
        <f>HYPERLINK("https://cordis.europa.eu/project/id/609490", "609490")</f>
        <v>0</v>
      </c>
      <c r="C44" t="s">
        <v>51</v>
      </c>
      <c r="D44" t="s">
        <v>862</v>
      </c>
      <c r="F44" t="s">
        <v>2128</v>
      </c>
      <c r="G44" t="s">
        <v>2194</v>
      </c>
      <c r="H44" t="s">
        <v>2549</v>
      </c>
      <c r="I44" t="s">
        <v>2557</v>
      </c>
      <c r="J44" s="1">
        <f>HYPERLINK("https://ec.europa.eu/info/funding-tenders/opportunities/portal/screen/how-to-participate/org-details/996569368", "996569368")</f>
        <v>0</v>
      </c>
      <c r="K44" t="s">
        <v>2598</v>
      </c>
      <c r="L44" t="s">
        <v>2836</v>
      </c>
      <c r="M44" t="s">
        <v>2966</v>
      </c>
      <c r="O44" t="s">
        <v>2979</v>
      </c>
      <c r="P44" t="s">
        <v>3058</v>
      </c>
      <c r="Q44">
        <v>7</v>
      </c>
      <c r="R44" t="s">
        <v>3342</v>
      </c>
      <c r="S44" s="2">
        <v>234116</v>
      </c>
    </row>
    <row r="45" spans="1:19">
      <c r="A45" t="s">
        <v>21</v>
      </c>
      <c r="B45" s="1">
        <f>HYPERLINK("https://cordis.europa.eu/project/id/609490", "609490")</f>
        <v>0</v>
      </c>
      <c r="C45" t="s">
        <v>51</v>
      </c>
      <c r="D45" t="s">
        <v>862</v>
      </c>
      <c r="F45" t="s">
        <v>2128</v>
      </c>
      <c r="G45" t="s">
        <v>2194</v>
      </c>
      <c r="H45" t="s">
        <v>2551</v>
      </c>
      <c r="I45" t="s">
        <v>2559</v>
      </c>
      <c r="J45" s="1">
        <f>HYPERLINK("https://ec.europa.eu/info/funding-tenders/opportunities/portal/screen/how-to-participate/org-details/997324028", "997324028")</f>
        <v>0</v>
      </c>
      <c r="K45" t="s">
        <v>2589</v>
      </c>
      <c r="L45" t="s">
        <v>2829</v>
      </c>
      <c r="M45" t="s">
        <v>2965</v>
      </c>
      <c r="O45" t="s">
        <v>2979</v>
      </c>
      <c r="P45" t="s">
        <v>3058</v>
      </c>
      <c r="Q45">
        <v>14</v>
      </c>
      <c r="R45" t="s">
        <v>3342</v>
      </c>
      <c r="S45" s="2">
        <v>116095</v>
      </c>
    </row>
    <row r="46" spans="1:19">
      <c r="A46" t="s">
        <v>21</v>
      </c>
      <c r="B46" s="1">
        <f>HYPERLINK("https://cordis.europa.eu/project/id/609490", "609490")</f>
        <v>0</v>
      </c>
      <c r="C46" t="s">
        <v>51</v>
      </c>
      <c r="D46" t="s">
        <v>862</v>
      </c>
      <c r="F46" t="s">
        <v>2128</v>
      </c>
      <c r="G46" t="s">
        <v>2194</v>
      </c>
      <c r="H46" t="s">
        <v>2553</v>
      </c>
      <c r="I46" t="s">
        <v>2561</v>
      </c>
      <c r="J46" s="1">
        <f>HYPERLINK("https://ec.europa.eu/info/funding-tenders/opportunities/portal/screen/how-to-participate/org-details/952224266", "952224266")</f>
        <v>0</v>
      </c>
      <c r="K46" t="s">
        <v>2599</v>
      </c>
      <c r="L46" t="s">
        <v>2837</v>
      </c>
      <c r="M46" t="s">
        <v>2965</v>
      </c>
      <c r="O46" t="s">
        <v>2979</v>
      </c>
      <c r="P46" t="s">
        <v>3058</v>
      </c>
      <c r="Q46">
        <v>9</v>
      </c>
      <c r="R46" t="s">
        <v>3342</v>
      </c>
      <c r="S46" s="2">
        <v>102720</v>
      </c>
    </row>
    <row r="47" spans="1:19">
      <c r="A47" t="s">
        <v>21</v>
      </c>
      <c r="B47" s="1">
        <f>HYPERLINK("https://cordis.europa.eu/project/id/608517", "608517")</f>
        <v>0</v>
      </c>
      <c r="C47" t="s">
        <v>52</v>
      </c>
      <c r="D47" t="s">
        <v>863</v>
      </c>
      <c r="F47" t="s">
        <v>2129</v>
      </c>
      <c r="G47" t="s">
        <v>2338</v>
      </c>
      <c r="H47" t="s">
        <v>2548</v>
      </c>
      <c r="I47" t="s">
        <v>2556</v>
      </c>
      <c r="J47" s="1">
        <f>HYPERLINK("https://ec.europa.eu/info/funding-tenders/opportunities/portal/screen/how-to-participate/org-details/998757203", "998757203")</f>
        <v>0</v>
      </c>
      <c r="K47" t="s">
        <v>2575</v>
      </c>
      <c r="L47" t="s">
        <v>2817</v>
      </c>
      <c r="M47" t="s">
        <v>2965</v>
      </c>
      <c r="O47" t="s">
        <v>2970</v>
      </c>
      <c r="P47" t="s">
        <v>3059</v>
      </c>
      <c r="Q47">
        <v>15</v>
      </c>
      <c r="R47" t="s">
        <v>3342</v>
      </c>
    </row>
    <row r="48" spans="1:19">
      <c r="A48" t="s">
        <v>21</v>
      </c>
      <c r="B48" s="1">
        <f>HYPERLINK("https://cordis.europa.eu/project/id/261483", "261483")</f>
        <v>0</v>
      </c>
      <c r="C48" t="s">
        <v>53</v>
      </c>
      <c r="D48" t="s">
        <v>864</v>
      </c>
      <c r="F48" t="s">
        <v>2130</v>
      </c>
      <c r="G48" t="s">
        <v>1705</v>
      </c>
      <c r="H48" t="s">
        <v>2548</v>
      </c>
      <c r="I48" t="s">
        <v>2556</v>
      </c>
      <c r="J48" s="1">
        <f>HYPERLINK("https://ec.europa.eu/info/funding-tenders/opportunities/portal/screen/how-to-participate/org-details/983378435", "983378435")</f>
        <v>0</v>
      </c>
      <c r="K48" t="s">
        <v>2600</v>
      </c>
      <c r="L48" t="s">
        <v>2838</v>
      </c>
      <c r="M48" t="s">
        <v>2967</v>
      </c>
      <c r="O48" t="s">
        <v>2973</v>
      </c>
      <c r="P48" t="s">
        <v>3038</v>
      </c>
      <c r="Q48">
        <v>15</v>
      </c>
      <c r="R48" t="s">
        <v>3342</v>
      </c>
    </row>
    <row r="49" spans="1:19">
      <c r="A49" t="s">
        <v>21</v>
      </c>
      <c r="B49" s="1">
        <f>HYPERLINK("https://cordis.europa.eu/project/id/261483", "261483")</f>
        <v>0</v>
      </c>
      <c r="C49" t="s">
        <v>53</v>
      </c>
      <c r="D49" t="s">
        <v>864</v>
      </c>
      <c r="F49" t="s">
        <v>2130</v>
      </c>
      <c r="G49" t="s">
        <v>1705</v>
      </c>
      <c r="H49" t="s">
        <v>2548</v>
      </c>
      <c r="I49" t="s">
        <v>2556</v>
      </c>
      <c r="J49" s="1">
        <f>HYPERLINK("https://ec.europa.eu/info/funding-tenders/opportunities/portal/screen/how-to-participate/org-details/984772131", "984772131")</f>
        <v>0</v>
      </c>
      <c r="K49" t="s">
        <v>2601</v>
      </c>
      <c r="L49" t="s">
        <v>2839</v>
      </c>
      <c r="M49" t="s">
        <v>2968</v>
      </c>
      <c r="O49" t="s">
        <v>2973</v>
      </c>
      <c r="P49" t="s">
        <v>3038</v>
      </c>
      <c r="Q49">
        <v>10</v>
      </c>
      <c r="R49" t="s">
        <v>3342</v>
      </c>
      <c r="S49" s="2">
        <v>20500</v>
      </c>
    </row>
    <row r="50" spans="1:19">
      <c r="A50" t="s">
        <v>21</v>
      </c>
      <c r="B50" s="1">
        <f>HYPERLINK("https://cordis.europa.eu/project/id/612870", "612870")</f>
        <v>0</v>
      </c>
      <c r="C50" t="s">
        <v>54</v>
      </c>
      <c r="D50" t="s">
        <v>865</v>
      </c>
      <c r="F50" t="s">
        <v>2131</v>
      </c>
      <c r="G50" t="s">
        <v>2339</v>
      </c>
      <c r="H50" t="s">
        <v>2548</v>
      </c>
      <c r="I50" t="s">
        <v>2556</v>
      </c>
      <c r="J50" s="1">
        <f>HYPERLINK("https://ec.europa.eu/info/funding-tenders/opportunities/portal/screen/how-to-participate/org-details/998040955", "998040955")</f>
        <v>0</v>
      </c>
      <c r="K50" t="s">
        <v>2602</v>
      </c>
      <c r="M50" t="s">
        <v>2965</v>
      </c>
      <c r="O50" t="s">
        <v>2972</v>
      </c>
      <c r="P50" t="s">
        <v>3060</v>
      </c>
      <c r="Q50">
        <v>27</v>
      </c>
      <c r="R50" t="s">
        <v>3342</v>
      </c>
    </row>
    <row r="51" spans="1:19">
      <c r="A51" t="s">
        <v>21</v>
      </c>
      <c r="B51" s="1">
        <f>HYPERLINK("https://cordis.europa.eu/project/id/612870", "612870")</f>
        <v>0</v>
      </c>
      <c r="C51" t="s">
        <v>54</v>
      </c>
      <c r="D51" t="s">
        <v>865</v>
      </c>
      <c r="F51" t="s">
        <v>2131</v>
      </c>
      <c r="G51" t="s">
        <v>2339</v>
      </c>
      <c r="H51" t="s">
        <v>2548</v>
      </c>
      <c r="I51" t="s">
        <v>2556</v>
      </c>
      <c r="J51" s="1">
        <f>HYPERLINK("https://ec.europa.eu/info/funding-tenders/opportunities/portal/screen/how-to-participate/org-details/986119267", "986119267")</f>
        <v>0</v>
      </c>
      <c r="K51" t="s">
        <v>2572</v>
      </c>
      <c r="L51" t="s">
        <v>2815</v>
      </c>
      <c r="M51" t="s">
        <v>2965</v>
      </c>
      <c r="O51" t="s">
        <v>2972</v>
      </c>
      <c r="P51" t="s">
        <v>3060</v>
      </c>
      <c r="Q51">
        <v>24</v>
      </c>
      <c r="R51" t="s">
        <v>3342</v>
      </c>
    </row>
    <row r="52" spans="1:19">
      <c r="A52" t="s">
        <v>21</v>
      </c>
      <c r="B52" s="1">
        <f>HYPERLINK("https://cordis.europa.eu/project/id/212459", "212459")</f>
        <v>0</v>
      </c>
      <c r="C52" t="s">
        <v>55</v>
      </c>
      <c r="D52" t="s">
        <v>866</v>
      </c>
      <c r="F52" t="s">
        <v>2132</v>
      </c>
      <c r="G52" t="s">
        <v>2340</v>
      </c>
      <c r="H52" t="s">
        <v>2549</v>
      </c>
      <c r="I52" t="s">
        <v>2557</v>
      </c>
      <c r="J52" s="1">
        <f>HYPERLINK("https://ec.europa.eu/info/funding-tenders/opportunities/portal/screen/how-to-participate/org-details/999851654", "999851654")</f>
        <v>0</v>
      </c>
      <c r="K52" t="s">
        <v>2594</v>
      </c>
      <c r="M52" t="s">
        <v>2965</v>
      </c>
      <c r="O52" t="s">
        <v>2973</v>
      </c>
      <c r="P52" t="s">
        <v>3061</v>
      </c>
      <c r="Q52">
        <v>15</v>
      </c>
      <c r="R52" t="s">
        <v>3342</v>
      </c>
    </row>
    <row r="53" spans="1:19">
      <c r="A53" t="s">
        <v>21</v>
      </c>
      <c r="B53" s="1">
        <f>HYPERLINK("https://cordis.europa.eu/project/id/612347", "612347")</f>
        <v>0</v>
      </c>
      <c r="C53" t="s">
        <v>56</v>
      </c>
      <c r="D53" t="s">
        <v>867</v>
      </c>
      <c r="F53" t="s">
        <v>2133</v>
      </c>
      <c r="G53" t="s">
        <v>2321</v>
      </c>
      <c r="H53" t="s">
        <v>2548</v>
      </c>
      <c r="I53" t="s">
        <v>2556</v>
      </c>
      <c r="J53" s="1">
        <f>HYPERLINK("https://ec.europa.eu/info/funding-tenders/opportunities/portal/screen/how-to-participate/org-details/951228367", "951228367")</f>
        <v>0</v>
      </c>
      <c r="K53" t="s">
        <v>2603</v>
      </c>
      <c r="L53" t="s">
        <v>2840</v>
      </c>
      <c r="M53" t="s">
        <v>2967</v>
      </c>
      <c r="O53" t="s">
        <v>2977</v>
      </c>
      <c r="P53" t="s">
        <v>3062</v>
      </c>
      <c r="Q53">
        <v>5</v>
      </c>
      <c r="R53" t="s">
        <v>3342</v>
      </c>
      <c r="S53" s="2">
        <v>60591.75</v>
      </c>
    </row>
    <row r="54" spans="1:19">
      <c r="A54" t="s">
        <v>21</v>
      </c>
      <c r="B54" s="1">
        <f>HYPERLINK("https://cordis.europa.eu/project/id/228652", "228652")</f>
        <v>0</v>
      </c>
      <c r="C54" t="s">
        <v>57</v>
      </c>
      <c r="D54" t="s">
        <v>868</v>
      </c>
      <c r="F54" t="s">
        <v>2120</v>
      </c>
      <c r="G54" t="s">
        <v>2327</v>
      </c>
      <c r="H54" t="s">
        <v>2548</v>
      </c>
      <c r="I54" t="s">
        <v>2556</v>
      </c>
      <c r="J54" s="1">
        <f>HYPERLINK("https://ec.europa.eu/info/funding-tenders/opportunities/portal/screen/how-to-participate/org-details/997151562", "997151562")</f>
        <v>0</v>
      </c>
      <c r="K54" t="s">
        <v>2604</v>
      </c>
      <c r="M54" t="s">
        <v>2965</v>
      </c>
      <c r="O54" t="s">
        <v>2973</v>
      </c>
      <c r="P54" t="s">
        <v>3063</v>
      </c>
      <c r="Q54">
        <v>9</v>
      </c>
      <c r="R54" t="s">
        <v>3342</v>
      </c>
    </row>
    <row r="55" spans="1:19">
      <c r="A55" t="s">
        <v>21</v>
      </c>
      <c r="B55" s="1">
        <f>HYPERLINK("https://cordis.europa.eu/project/id/225327", "225327")</f>
        <v>0</v>
      </c>
      <c r="C55" t="s">
        <v>58</v>
      </c>
      <c r="D55" t="s">
        <v>869</v>
      </c>
      <c r="F55" t="s">
        <v>2134</v>
      </c>
      <c r="G55" t="s">
        <v>2341</v>
      </c>
      <c r="H55" t="s">
        <v>2548</v>
      </c>
      <c r="I55" t="s">
        <v>2556</v>
      </c>
      <c r="J55" s="1">
        <f>HYPERLINK("https://ec.europa.eu/info/funding-tenders/opportunities/portal/screen/how-to-participate/org-details/998757203", "998757203")</f>
        <v>0</v>
      </c>
      <c r="K55" t="s">
        <v>2575</v>
      </c>
      <c r="L55" t="s">
        <v>2817</v>
      </c>
      <c r="M55" t="s">
        <v>2965</v>
      </c>
      <c r="O55" t="s">
        <v>2973</v>
      </c>
      <c r="P55" t="s">
        <v>3035</v>
      </c>
      <c r="Q55">
        <v>2</v>
      </c>
      <c r="R55" t="s">
        <v>3342</v>
      </c>
      <c r="S55" s="2">
        <v>85837.52</v>
      </c>
    </row>
    <row r="56" spans="1:19">
      <c r="A56" t="s">
        <v>21</v>
      </c>
      <c r="B56" s="1">
        <f>HYPERLINK("https://cordis.europa.eu/project/id/220583", "220583")</f>
        <v>0</v>
      </c>
      <c r="C56" t="s">
        <v>59</v>
      </c>
      <c r="D56" t="s">
        <v>870</v>
      </c>
      <c r="F56" t="s">
        <v>2134</v>
      </c>
      <c r="G56" t="s">
        <v>2342</v>
      </c>
      <c r="H56" t="s">
        <v>2548</v>
      </c>
      <c r="I56" t="s">
        <v>2556</v>
      </c>
      <c r="J56" s="1">
        <f>HYPERLINK("https://ec.europa.eu/info/funding-tenders/opportunities/portal/screen/how-to-participate/org-details/998083247", "998083247")</f>
        <v>0</v>
      </c>
      <c r="K56" t="s">
        <v>2605</v>
      </c>
      <c r="M56" t="s">
        <v>2965</v>
      </c>
      <c r="O56" t="s">
        <v>2981</v>
      </c>
      <c r="P56" t="s">
        <v>3064</v>
      </c>
      <c r="Q56">
        <v>2</v>
      </c>
      <c r="R56" t="s">
        <v>3342</v>
      </c>
    </row>
    <row r="57" spans="1:19">
      <c r="A57" t="s">
        <v>21</v>
      </c>
      <c r="B57" s="1">
        <f>HYPERLINK("https://cordis.europa.eu/project/id/244151", "244151")</f>
        <v>0</v>
      </c>
      <c r="C57" t="s">
        <v>60</v>
      </c>
      <c r="D57" t="s">
        <v>871</v>
      </c>
      <c r="F57" t="s">
        <v>2117</v>
      </c>
      <c r="G57" t="s">
        <v>2343</v>
      </c>
      <c r="H57" t="s">
        <v>2548</v>
      </c>
      <c r="I57" t="s">
        <v>2556</v>
      </c>
      <c r="J57" s="1">
        <f>HYPERLINK("https://ec.europa.eu/info/funding-tenders/opportunities/portal/screen/how-to-participate/org-details/997292018", "997292018")</f>
        <v>0</v>
      </c>
      <c r="K57" t="s">
        <v>2606</v>
      </c>
      <c r="L57" t="s">
        <v>2841</v>
      </c>
      <c r="M57" t="s">
        <v>2965</v>
      </c>
      <c r="O57" t="s">
        <v>2982</v>
      </c>
      <c r="P57" t="s">
        <v>3065</v>
      </c>
      <c r="Q57">
        <v>11</v>
      </c>
      <c r="R57" t="s">
        <v>3342</v>
      </c>
    </row>
    <row r="58" spans="1:19">
      <c r="A58" t="s">
        <v>21</v>
      </c>
      <c r="B58" s="1">
        <f>HYPERLINK("https://cordis.europa.eu/project/id/226655", "226655")</f>
        <v>0</v>
      </c>
      <c r="C58" t="s">
        <v>61</v>
      </c>
      <c r="D58" t="s">
        <v>872</v>
      </c>
      <c r="F58" t="s">
        <v>2135</v>
      </c>
      <c r="G58" t="s">
        <v>2337</v>
      </c>
      <c r="H58" t="s">
        <v>2548</v>
      </c>
      <c r="I58" t="s">
        <v>2556</v>
      </c>
      <c r="J58" s="1">
        <f>HYPERLINK("https://ec.europa.eu/info/funding-tenders/opportunities/portal/screen/how-to-participate/org-details/999786082", "999786082")</f>
        <v>0</v>
      </c>
      <c r="K58" t="s">
        <v>2607</v>
      </c>
      <c r="M58" t="s">
        <v>2967</v>
      </c>
      <c r="O58" t="s">
        <v>2970</v>
      </c>
      <c r="P58" t="s">
        <v>3066</v>
      </c>
      <c r="Q58">
        <v>9</v>
      </c>
      <c r="R58" t="s">
        <v>3342</v>
      </c>
      <c r="S58" s="2">
        <v>269000</v>
      </c>
    </row>
    <row r="59" spans="1:19">
      <c r="A59" t="s">
        <v>21</v>
      </c>
      <c r="B59" s="1">
        <f>HYPERLINK("https://cordis.europa.eu/project/id/256625", "256625")</f>
        <v>0</v>
      </c>
      <c r="C59" t="s">
        <v>62</v>
      </c>
      <c r="D59" t="s">
        <v>873</v>
      </c>
      <c r="F59" t="s">
        <v>2130</v>
      </c>
      <c r="G59" t="s">
        <v>2336</v>
      </c>
      <c r="H59" t="s">
        <v>2548</v>
      </c>
      <c r="I59" t="s">
        <v>2556</v>
      </c>
      <c r="J59" s="1">
        <f>HYPERLINK("https://ec.europa.eu/info/funding-tenders/opportunities/portal/screen/how-to-participate/org-details/999894043", "999894043")</f>
        <v>0</v>
      </c>
      <c r="K59" t="s">
        <v>2568</v>
      </c>
      <c r="L59" t="s">
        <v>2812</v>
      </c>
      <c r="M59" t="s">
        <v>2965</v>
      </c>
      <c r="O59" t="s">
        <v>2970</v>
      </c>
      <c r="P59" t="s">
        <v>3067</v>
      </c>
      <c r="Q59">
        <v>17</v>
      </c>
      <c r="R59" t="s">
        <v>3342</v>
      </c>
    </row>
    <row r="60" spans="1:19">
      <c r="A60" t="s">
        <v>21</v>
      </c>
      <c r="B60" s="1">
        <f>HYPERLINK("https://cordis.europa.eu/project/id/256625", "256625")</f>
        <v>0</v>
      </c>
      <c r="C60" t="s">
        <v>62</v>
      </c>
      <c r="D60" t="s">
        <v>873</v>
      </c>
      <c r="F60" t="s">
        <v>2130</v>
      </c>
      <c r="G60" t="s">
        <v>2336</v>
      </c>
      <c r="H60" t="s">
        <v>2548</v>
      </c>
      <c r="I60" t="s">
        <v>2556</v>
      </c>
      <c r="J60" s="1">
        <f>HYPERLINK("https://ec.europa.eu/info/funding-tenders/opportunities/portal/screen/how-to-participate/org-details/983738305", "983738305")</f>
        <v>0</v>
      </c>
      <c r="K60" t="s">
        <v>2608</v>
      </c>
      <c r="L60" t="s">
        <v>2842</v>
      </c>
      <c r="M60" t="s">
        <v>2966</v>
      </c>
      <c r="O60" t="s">
        <v>2970</v>
      </c>
      <c r="P60" t="s">
        <v>3067</v>
      </c>
      <c r="Q60">
        <v>16</v>
      </c>
      <c r="R60" t="s">
        <v>3342</v>
      </c>
    </row>
    <row r="61" spans="1:19">
      <c r="A61" t="s">
        <v>21</v>
      </c>
      <c r="B61" s="1">
        <f>HYPERLINK("https://cordis.europa.eu/project/id/312885", "312885")</f>
        <v>0</v>
      </c>
      <c r="C61" t="s">
        <v>63</v>
      </c>
      <c r="D61" t="s">
        <v>874</v>
      </c>
      <c r="F61" t="s">
        <v>2136</v>
      </c>
      <c r="G61" t="s">
        <v>2330</v>
      </c>
      <c r="H61" t="s">
        <v>2548</v>
      </c>
      <c r="I61" t="s">
        <v>2556</v>
      </c>
      <c r="J61" s="1">
        <f>HYPERLINK("https://ec.europa.eu/info/funding-tenders/opportunities/portal/screen/how-to-participate/org-details/996726411", "996726411")</f>
        <v>0</v>
      </c>
      <c r="K61" t="s">
        <v>2609</v>
      </c>
      <c r="M61" t="s">
        <v>2969</v>
      </c>
      <c r="O61" t="s">
        <v>2979</v>
      </c>
      <c r="P61" t="s">
        <v>3068</v>
      </c>
      <c r="Q61">
        <v>7</v>
      </c>
      <c r="R61" t="s">
        <v>3342</v>
      </c>
      <c r="S61" s="2">
        <v>21614</v>
      </c>
    </row>
    <row r="62" spans="1:19">
      <c r="A62" t="s">
        <v>21</v>
      </c>
      <c r="B62" s="1">
        <f>HYPERLINK("https://cordis.europa.eu/project/id/223344", "223344")</f>
        <v>0</v>
      </c>
      <c r="C62" t="s">
        <v>64</v>
      </c>
      <c r="D62" t="s">
        <v>875</v>
      </c>
      <c r="F62" t="s">
        <v>2137</v>
      </c>
      <c r="G62" t="s">
        <v>2314</v>
      </c>
      <c r="H62" t="s">
        <v>2548</v>
      </c>
      <c r="I62" t="s">
        <v>2556</v>
      </c>
      <c r="J62" s="1">
        <f>HYPERLINK("https://ec.europa.eu/info/funding-tenders/opportunities/portal/screen/how-to-participate/org-details/995994837", "995994837")</f>
        <v>0</v>
      </c>
      <c r="K62" t="s">
        <v>2610</v>
      </c>
      <c r="L62" t="s">
        <v>2843</v>
      </c>
      <c r="M62" t="s">
        <v>2965</v>
      </c>
      <c r="O62" t="s">
        <v>2983</v>
      </c>
      <c r="P62" t="s">
        <v>3069</v>
      </c>
      <c r="Q62">
        <v>4</v>
      </c>
      <c r="R62" t="s">
        <v>3342</v>
      </c>
      <c r="S62" s="2">
        <v>40474.8</v>
      </c>
    </row>
    <row r="63" spans="1:19">
      <c r="A63" t="s">
        <v>21</v>
      </c>
      <c r="B63" s="1">
        <f>HYPERLINK("https://cordis.europa.eu/project/id/285708", "285708")</f>
        <v>0</v>
      </c>
      <c r="C63" t="s">
        <v>65</v>
      </c>
      <c r="D63" t="s">
        <v>876</v>
      </c>
      <c r="F63" t="s">
        <v>2138</v>
      </c>
      <c r="G63" t="s">
        <v>2333</v>
      </c>
      <c r="H63" t="s">
        <v>2554</v>
      </c>
      <c r="I63" t="s">
        <v>2562</v>
      </c>
      <c r="J63" s="1">
        <f>HYPERLINK("https://ec.europa.eu/info/funding-tenders/opportunities/portal/screen/how-to-participate/org-details/960710408", "960710408")</f>
        <v>0</v>
      </c>
      <c r="K63" t="s">
        <v>2611</v>
      </c>
      <c r="L63" t="s">
        <v>2844</v>
      </c>
      <c r="M63" t="s">
        <v>2967</v>
      </c>
      <c r="O63" t="s">
        <v>2973</v>
      </c>
      <c r="P63" t="s">
        <v>3070</v>
      </c>
      <c r="Q63">
        <v>19</v>
      </c>
      <c r="R63" t="s">
        <v>3342</v>
      </c>
      <c r="S63" s="2">
        <v>48700</v>
      </c>
    </row>
    <row r="64" spans="1:19">
      <c r="A64" t="s">
        <v>21</v>
      </c>
      <c r="B64" s="1">
        <f>HYPERLINK("https://cordis.europa.eu/project/id/617060", "617060")</f>
        <v>0</v>
      </c>
      <c r="C64" t="s">
        <v>66</v>
      </c>
      <c r="D64" t="s">
        <v>877</v>
      </c>
      <c r="F64" t="s">
        <v>2139</v>
      </c>
      <c r="G64" t="s">
        <v>1884</v>
      </c>
      <c r="H64" t="s">
        <v>2549</v>
      </c>
      <c r="I64" t="s">
        <v>2557</v>
      </c>
      <c r="J64" s="1">
        <f>HYPERLINK("https://ec.europa.eu/info/funding-tenders/opportunities/portal/screen/how-to-participate/org-details/999613131", "999613131")</f>
        <v>0</v>
      </c>
      <c r="K64" t="s">
        <v>2591</v>
      </c>
      <c r="L64" t="s">
        <v>2831</v>
      </c>
      <c r="M64" t="s">
        <v>2965</v>
      </c>
      <c r="O64" t="s">
        <v>2974</v>
      </c>
      <c r="P64" t="s">
        <v>3041</v>
      </c>
      <c r="Q64">
        <v>2</v>
      </c>
      <c r="R64" t="s">
        <v>3342</v>
      </c>
      <c r="S64" s="2">
        <v>288733.2</v>
      </c>
    </row>
    <row r="65" spans="1:19">
      <c r="A65" t="s">
        <v>21</v>
      </c>
      <c r="B65" s="1">
        <f>HYPERLINK("https://cordis.europa.eu/project/id/265138", "265138")</f>
        <v>0</v>
      </c>
      <c r="C65" t="s">
        <v>67</v>
      </c>
      <c r="D65" t="s">
        <v>878</v>
      </c>
      <c r="F65" t="s">
        <v>2112</v>
      </c>
      <c r="G65" t="s">
        <v>2336</v>
      </c>
      <c r="H65" t="s">
        <v>2548</v>
      </c>
      <c r="I65" t="s">
        <v>2556</v>
      </c>
      <c r="J65" s="1">
        <f>HYPERLINK("https://ec.europa.eu/info/funding-tenders/opportunities/portal/screen/how-to-participate/org-details/998804636", "998804636")</f>
        <v>0</v>
      </c>
      <c r="K65" t="s">
        <v>2612</v>
      </c>
      <c r="L65" t="s">
        <v>2845</v>
      </c>
      <c r="M65" t="s">
        <v>2965</v>
      </c>
      <c r="O65" t="s">
        <v>2973</v>
      </c>
      <c r="P65" t="s">
        <v>3071</v>
      </c>
      <c r="Q65">
        <v>12</v>
      </c>
      <c r="R65" t="s">
        <v>3342</v>
      </c>
    </row>
    <row r="66" spans="1:19">
      <c r="A66" t="s">
        <v>21</v>
      </c>
      <c r="B66" s="1">
        <f>HYPERLINK("https://cordis.europa.eu/project/id/261376", "261376")</f>
        <v>0</v>
      </c>
      <c r="C66" t="s">
        <v>68</v>
      </c>
      <c r="D66" t="s">
        <v>879</v>
      </c>
      <c r="F66" t="s">
        <v>2118</v>
      </c>
      <c r="G66" t="s">
        <v>2324</v>
      </c>
      <c r="H66" t="s">
        <v>2548</v>
      </c>
      <c r="I66" t="s">
        <v>2556</v>
      </c>
      <c r="J66" s="1">
        <f>HYPERLINK("https://ec.europa.eu/info/funding-tenders/opportunities/portal/screen/how-to-participate/org-details/988059752", "988059752")</f>
        <v>0</v>
      </c>
      <c r="K66" t="s">
        <v>2564</v>
      </c>
      <c r="L66" t="s">
        <v>2809</v>
      </c>
      <c r="M66" t="s">
        <v>2965</v>
      </c>
      <c r="O66" t="s">
        <v>2979</v>
      </c>
      <c r="P66" t="s">
        <v>3038</v>
      </c>
      <c r="Q66">
        <v>8</v>
      </c>
      <c r="R66" t="s">
        <v>3342</v>
      </c>
      <c r="S66" s="2">
        <v>30002</v>
      </c>
    </row>
    <row r="67" spans="1:19">
      <c r="A67" t="s">
        <v>21</v>
      </c>
      <c r="B67" s="1">
        <f>HYPERLINK("https://cordis.europa.eu/project/id/211400", "211400")</f>
        <v>0</v>
      </c>
      <c r="C67" t="s">
        <v>69</v>
      </c>
      <c r="D67" t="s">
        <v>880</v>
      </c>
      <c r="F67" t="s">
        <v>2132</v>
      </c>
      <c r="G67" t="s">
        <v>2344</v>
      </c>
      <c r="H67" t="s">
        <v>2548</v>
      </c>
      <c r="I67" t="s">
        <v>2556</v>
      </c>
      <c r="J67" s="1">
        <f>HYPERLINK("https://ec.europa.eu/info/funding-tenders/opportunities/portal/screen/how-to-participate/org-details/998804636", "998804636")</f>
        <v>0</v>
      </c>
      <c r="K67" t="s">
        <v>2612</v>
      </c>
      <c r="L67" t="s">
        <v>2845</v>
      </c>
      <c r="M67" t="s">
        <v>2965</v>
      </c>
      <c r="O67" t="s">
        <v>2972</v>
      </c>
      <c r="P67" t="s">
        <v>3061</v>
      </c>
      <c r="Q67">
        <v>22</v>
      </c>
      <c r="R67" t="s">
        <v>3342</v>
      </c>
    </row>
    <row r="68" spans="1:19">
      <c r="A68" t="s">
        <v>21</v>
      </c>
      <c r="B68" s="1">
        <f>HYPERLINK("https://cordis.europa.eu/project/id/211400", "211400")</f>
        <v>0</v>
      </c>
      <c r="C68" t="s">
        <v>69</v>
      </c>
      <c r="D68" t="s">
        <v>880</v>
      </c>
      <c r="F68" t="s">
        <v>2132</v>
      </c>
      <c r="G68" t="s">
        <v>2344</v>
      </c>
      <c r="H68" t="s">
        <v>2548</v>
      </c>
      <c r="I68" t="s">
        <v>2556</v>
      </c>
      <c r="J68" s="1">
        <f>HYPERLINK("https://ec.europa.eu/info/funding-tenders/opportunities/portal/screen/how-to-participate/org-details/998804927", "998804927")</f>
        <v>0</v>
      </c>
      <c r="K68" t="s">
        <v>2613</v>
      </c>
      <c r="M68" t="s">
        <v>2965</v>
      </c>
      <c r="O68" t="s">
        <v>2972</v>
      </c>
      <c r="P68" t="s">
        <v>3061</v>
      </c>
      <c r="Q68">
        <v>16</v>
      </c>
      <c r="R68" t="s">
        <v>3342</v>
      </c>
    </row>
    <row r="69" spans="1:19">
      <c r="A69" t="s">
        <v>21</v>
      </c>
      <c r="B69" s="1">
        <f>HYPERLINK("https://cordis.europa.eu/project/id/211400", "211400")</f>
        <v>0</v>
      </c>
      <c r="C69" t="s">
        <v>69</v>
      </c>
      <c r="D69" t="s">
        <v>880</v>
      </c>
      <c r="F69" t="s">
        <v>2132</v>
      </c>
      <c r="G69" t="s">
        <v>2344</v>
      </c>
      <c r="H69" t="s">
        <v>2548</v>
      </c>
      <c r="I69" t="s">
        <v>2556</v>
      </c>
      <c r="J69" s="1">
        <f>HYPERLINK("https://ec.europa.eu/info/funding-tenders/opportunities/portal/screen/how-to-participate/org-details/999894043", "999894043")</f>
        <v>0</v>
      </c>
      <c r="K69" t="s">
        <v>2568</v>
      </c>
      <c r="L69" t="s">
        <v>2812</v>
      </c>
      <c r="M69" t="s">
        <v>2965</v>
      </c>
      <c r="O69" t="s">
        <v>2972</v>
      </c>
      <c r="P69" t="s">
        <v>3061</v>
      </c>
      <c r="Q69">
        <v>12</v>
      </c>
      <c r="R69" t="s">
        <v>3342</v>
      </c>
    </row>
    <row r="70" spans="1:19">
      <c r="A70" t="s">
        <v>21</v>
      </c>
      <c r="B70" s="1">
        <f>HYPERLINK("https://cordis.europa.eu/project/id/211400", "211400")</f>
        <v>0</v>
      </c>
      <c r="C70" t="s">
        <v>69</v>
      </c>
      <c r="D70" t="s">
        <v>880</v>
      </c>
      <c r="F70" t="s">
        <v>2132</v>
      </c>
      <c r="G70" t="s">
        <v>2344</v>
      </c>
      <c r="H70" t="s">
        <v>2548</v>
      </c>
      <c r="I70" t="s">
        <v>2556</v>
      </c>
      <c r="J70" s="1">
        <f>HYPERLINK("https://ec.europa.eu/info/funding-tenders/opportunities/portal/screen/how-to-participate/org-details/999561042", "999561042")</f>
        <v>0</v>
      </c>
      <c r="K70" t="s">
        <v>2566</v>
      </c>
      <c r="L70" t="s">
        <v>2810</v>
      </c>
      <c r="M70" t="s">
        <v>2966</v>
      </c>
      <c r="O70" t="s">
        <v>2972</v>
      </c>
      <c r="P70" t="s">
        <v>3061</v>
      </c>
      <c r="Q70">
        <v>18</v>
      </c>
      <c r="R70" t="s">
        <v>3342</v>
      </c>
    </row>
    <row r="71" spans="1:19">
      <c r="A71" t="s">
        <v>21</v>
      </c>
      <c r="B71" s="1">
        <f>HYPERLINK("https://cordis.europa.eu/project/id/211400", "211400")</f>
        <v>0</v>
      </c>
      <c r="C71" t="s">
        <v>69</v>
      </c>
      <c r="D71" t="s">
        <v>880</v>
      </c>
      <c r="F71" t="s">
        <v>2132</v>
      </c>
      <c r="G71" t="s">
        <v>2344</v>
      </c>
      <c r="H71" t="s">
        <v>2548</v>
      </c>
      <c r="I71" t="s">
        <v>2556</v>
      </c>
      <c r="J71" s="1">
        <f>HYPERLINK("https://ec.europa.eu/info/funding-tenders/opportunities/portal/screen/how-to-participate/org-details/999818577", "999818577")</f>
        <v>0</v>
      </c>
      <c r="K71" t="s">
        <v>2614</v>
      </c>
      <c r="L71" t="s">
        <v>2846</v>
      </c>
      <c r="M71" t="s">
        <v>2965</v>
      </c>
      <c r="O71" t="s">
        <v>2972</v>
      </c>
      <c r="P71" t="s">
        <v>3061</v>
      </c>
      <c r="Q71">
        <v>19</v>
      </c>
      <c r="R71" t="s">
        <v>3342</v>
      </c>
    </row>
    <row r="72" spans="1:19">
      <c r="A72" t="s">
        <v>21</v>
      </c>
      <c r="B72" s="1">
        <f>HYPERLINK("https://cordis.europa.eu/project/id/211400", "211400")</f>
        <v>0</v>
      </c>
      <c r="C72" t="s">
        <v>69</v>
      </c>
      <c r="D72" t="s">
        <v>880</v>
      </c>
      <c r="F72" t="s">
        <v>2132</v>
      </c>
      <c r="G72" t="s">
        <v>2344</v>
      </c>
      <c r="H72" t="s">
        <v>2548</v>
      </c>
      <c r="I72" t="s">
        <v>2556</v>
      </c>
      <c r="J72" s="1">
        <f>HYPERLINK("https://ec.europa.eu/info/funding-tenders/opportunities/portal/screen/how-to-participate/org-details/999879978", "999879978")</f>
        <v>0</v>
      </c>
      <c r="K72" t="s">
        <v>2615</v>
      </c>
      <c r="M72" t="s">
        <v>2965</v>
      </c>
      <c r="O72" t="s">
        <v>2972</v>
      </c>
      <c r="P72" t="s">
        <v>3061</v>
      </c>
      <c r="Q72">
        <v>14</v>
      </c>
      <c r="R72" t="s">
        <v>3342</v>
      </c>
    </row>
    <row r="73" spans="1:19">
      <c r="A73" t="s">
        <v>21</v>
      </c>
      <c r="B73" s="1">
        <f>HYPERLINK("https://cordis.europa.eu/project/id/212879", "212879")</f>
        <v>0</v>
      </c>
      <c r="C73" t="s">
        <v>70</v>
      </c>
      <c r="D73" t="s">
        <v>881</v>
      </c>
      <c r="F73" t="s">
        <v>2140</v>
      </c>
      <c r="G73" t="s">
        <v>2345</v>
      </c>
      <c r="H73" t="s">
        <v>2548</v>
      </c>
      <c r="I73" t="s">
        <v>2556</v>
      </c>
      <c r="J73" s="1">
        <f>HYPERLINK("https://ec.europa.eu/info/funding-tenders/opportunities/portal/screen/how-to-participate/org-details/998859344", "998859344")</f>
        <v>0</v>
      </c>
      <c r="K73" t="s">
        <v>2616</v>
      </c>
      <c r="L73" t="s">
        <v>2847</v>
      </c>
      <c r="M73" t="s">
        <v>2969</v>
      </c>
      <c r="O73" t="s">
        <v>2979</v>
      </c>
      <c r="P73" t="s">
        <v>3072</v>
      </c>
      <c r="Q73">
        <v>35</v>
      </c>
      <c r="R73" t="s">
        <v>3342</v>
      </c>
      <c r="S73" s="2">
        <v>11265.71</v>
      </c>
    </row>
    <row r="74" spans="1:19">
      <c r="A74" t="s">
        <v>21</v>
      </c>
      <c r="B74" s="1">
        <f>HYPERLINK("https://cordis.europa.eu/project/id/225301", "225301")</f>
        <v>0</v>
      </c>
      <c r="C74" t="s">
        <v>71</v>
      </c>
      <c r="D74" t="s">
        <v>882</v>
      </c>
      <c r="F74" t="s">
        <v>2141</v>
      </c>
      <c r="G74" t="s">
        <v>2346</v>
      </c>
      <c r="H74" t="s">
        <v>2548</v>
      </c>
      <c r="I74" t="s">
        <v>2556</v>
      </c>
      <c r="J74" s="1">
        <f>HYPERLINK("https://ec.europa.eu/info/funding-tenders/opportunities/portal/screen/how-to-participate/org-details/998826946", "998826946")</f>
        <v>0</v>
      </c>
      <c r="K74" t="s">
        <v>2617</v>
      </c>
      <c r="L74" t="s">
        <v>2848</v>
      </c>
      <c r="M74" t="s">
        <v>2965</v>
      </c>
      <c r="O74" t="s">
        <v>2973</v>
      </c>
      <c r="P74" t="s">
        <v>3035</v>
      </c>
      <c r="Q74">
        <v>13</v>
      </c>
      <c r="R74" t="s">
        <v>3342</v>
      </c>
    </row>
    <row r="75" spans="1:19">
      <c r="A75" t="s">
        <v>21</v>
      </c>
      <c r="B75" s="1">
        <f>HYPERLINK("https://cordis.europa.eu/project/id/217624", "217624")</f>
        <v>0</v>
      </c>
      <c r="C75" t="s">
        <v>72</v>
      </c>
      <c r="D75" t="s">
        <v>883</v>
      </c>
      <c r="F75" t="s">
        <v>2132</v>
      </c>
      <c r="G75" t="s">
        <v>2327</v>
      </c>
      <c r="H75" t="s">
        <v>2548</v>
      </c>
      <c r="I75" t="s">
        <v>2556</v>
      </c>
      <c r="J75" s="1">
        <f>HYPERLINK("https://ec.europa.eu/info/funding-tenders/opportunities/portal/screen/how-to-participate/org-details/998385014", "998385014")</f>
        <v>0</v>
      </c>
      <c r="K75" t="s">
        <v>2618</v>
      </c>
      <c r="L75" t="s">
        <v>2849</v>
      </c>
      <c r="M75" t="s">
        <v>2965</v>
      </c>
      <c r="O75" t="s">
        <v>2973</v>
      </c>
      <c r="P75" t="s">
        <v>3035</v>
      </c>
      <c r="Q75">
        <v>7</v>
      </c>
      <c r="R75" t="s">
        <v>3342</v>
      </c>
    </row>
    <row r="76" spans="1:19">
      <c r="A76" t="s">
        <v>21</v>
      </c>
      <c r="B76" s="1">
        <f>HYPERLINK("https://cordis.europa.eu/project/id/256768", "256768")</f>
        <v>0</v>
      </c>
      <c r="C76" t="s">
        <v>73</v>
      </c>
      <c r="D76" t="s">
        <v>884</v>
      </c>
      <c r="F76" t="s">
        <v>2130</v>
      </c>
      <c r="G76" t="s">
        <v>2347</v>
      </c>
      <c r="H76" t="s">
        <v>2548</v>
      </c>
      <c r="I76" t="s">
        <v>2556</v>
      </c>
      <c r="J76" s="1">
        <f>HYPERLINK("https://ec.europa.eu/info/funding-tenders/opportunities/portal/screen/how-to-participate/org-details/999561042", "999561042")</f>
        <v>0</v>
      </c>
      <c r="K76" t="s">
        <v>2566</v>
      </c>
      <c r="L76" t="s">
        <v>2810</v>
      </c>
      <c r="M76" t="s">
        <v>2966</v>
      </c>
      <c r="O76" t="s">
        <v>2980</v>
      </c>
      <c r="P76" t="s">
        <v>3053</v>
      </c>
      <c r="Q76">
        <v>10</v>
      </c>
      <c r="R76" t="s">
        <v>3342</v>
      </c>
    </row>
    <row r="77" spans="1:19">
      <c r="A77" t="s">
        <v>21</v>
      </c>
      <c r="B77" s="1">
        <f>HYPERLINK("https://cordis.europa.eu/project/id/266660", "266660")</f>
        <v>0</v>
      </c>
      <c r="C77" t="s">
        <v>74</v>
      </c>
      <c r="D77" t="s">
        <v>885</v>
      </c>
      <c r="F77" t="s">
        <v>2110</v>
      </c>
      <c r="G77" t="s">
        <v>2348</v>
      </c>
      <c r="H77" t="s">
        <v>2548</v>
      </c>
      <c r="I77" t="s">
        <v>2556</v>
      </c>
      <c r="J77" s="1">
        <f>HYPERLINK("https://ec.europa.eu/info/funding-tenders/opportunities/portal/screen/how-to-participate/org-details/998757203", "998757203")</f>
        <v>0</v>
      </c>
      <c r="K77" t="s">
        <v>2575</v>
      </c>
      <c r="L77" t="s">
        <v>2817</v>
      </c>
      <c r="M77" t="s">
        <v>2965</v>
      </c>
      <c r="O77" t="s">
        <v>2973</v>
      </c>
      <c r="P77" t="s">
        <v>3073</v>
      </c>
      <c r="Q77">
        <v>10</v>
      </c>
      <c r="R77" t="s">
        <v>3342</v>
      </c>
      <c r="S77" s="2">
        <v>4800</v>
      </c>
    </row>
    <row r="78" spans="1:19">
      <c r="A78" t="s">
        <v>21</v>
      </c>
      <c r="B78" s="1">
        <f>HYPERLINK("https://cordis.europa.eu/project/id/609507", "609507")</f>
        <v>0</v>
      </c>
      <c r="C78" t="s">
        <v>75</v>
      </c>
      <c r="D78" t="s">
        <v>886</v>
      </c>
      <c r="F78" t="s">
        <v>2109</v>
      </c>
      <c r="G78" t="s">
        <v>2326</v>
      </c>
      <c r="H78" t="s">
        <v>2548</v>
      </c>
      <c r="I78" t="s">
        <v>2556</v>
      </c>
      <c r="J78" s="1">
        <f>HYPERLINK("https://ec.europa.eu/info/funding-tenders/opportunities/portal/screen/how-to-participate/org-details/951531492", "951531492")</f>
        <v>0</v>
      </c>
      <c r="K78" t="s">
        <v>2619</v>
      </c>
      <c r="L78" t="s">
        <v>2850</v>
      </c>
      <c r="M78" t="s">
        <v>2968</v>
      </c>
      <c r="O78" t="s">
        <v>2978</v>
      </c>
      <c r="P78" t="s">
        <v>3074</v>
      </c>
      <c r="Q78">
        <v>7</v>
      </c>
      <c r="R78" t="s">
        <v>3342</v>
      </c>
      <c r="S78" s="2">
        <v>261435.1</v>
      </c>
    </row>
    <row r="79" spans="1:19">
      <c r="A79" t="s">
        <v>21</v>
      </c>
      <c r="B79" s="1">
        <f>HYPERLINK("https://cordis.europa.eu/project/id/609507", "609507")</f>
        <v>0</v>
      </c>
      <c r="C79" t="s">
        <v>75</v>
      </c>
      <c r="D79" t="s">
        <v>886</v>
      </c>
      <c r="F79" t="s">
        <v>2109</v>
      </c>
      <c r="G79" t="s">
        <v>2326</v>
      </c>
      <c r="H79" t="s">
        <v>2548</v>
      </c>
      <c r="I79" t="s">
        <v>2556</v>
      </c>
      <c r="J79" s="1">
        <f>HYPERLINK("https://ec.europa.eu/info/funding-tenders/opportunities/portal/screen/how-to-participate/org-details/964384477", "964384477")</f>
        <v>0</v>
      </c>
      <c r="K79" t="s">
        <v>2620</v>
      </c>
      <c r="L79" t="s">
        <v>2851</v>
      </c>
      <c r="M79" t="s">
        <v>2969</v>
      </c>
      <c r="O79" t="s">
        <v>2978</v>
      </c>
      <c r="P79" t="s">
        <v>3074</v>
      </c>
      <c r="Q79">
        <v>5</v>
      </c>
      <c r="R79" t="s">
        <v>3342</v>
      </c>
    </row>
    <row r="80" spans="1:19">
      <c r="A80" t="s">
        <v>21</v>
      </c>
      <c r="B80" s="1">
        <f>HYPERLINK("https://cordis.europa.eu/project/id/609507", "609507")</f>
        <v>0</v>
      </c>
      <c r="C80" t="s">
        <v>75</v>
      </c>
      <c r="D80" t="s">
        <v>886</v>
      </c>
      <c r="F80" t="s">
        <v>2109</v>
      </c>
      <c r="G80" t="s">
        <v>2326</v>
      </c>
      <c r="H80" t="s">
        <v>2548</v>
      </c>
      <c r="I80" t="s">
        <v>2556</v>
      </c>
      <c r="J80" s="1">
        <f>HYPERLINK("https://ec.europa.eu/info/funding-tenders/opportunities/portal/screen/how-to-participate/org-details/951539252", "951539252")</f>
        <v>0</v>
      </c>
      <c r="K80" t="s">
        <v>2621</v>
      </c>
      <c r="L80" t="s">
        <v>2852</v>
      </c>
      <c r="M80" t="s">
        <v>2968</v>
      </c>
      <c r="O80" t="s">
        <v>2978</v>
      </c>
      <c r="P80" t="s">
        <v>3074</v>
      </c>
      <c r="Q80">
        <v>6</v>
      </c>
      <c r="R80" t="s">
        <v>3342</v>
      </c>
      <c r="S80" s="2">
        <v>293548.08</v>
      </c>
    </row>
    <row r="81" spans="1:19">
      <c r="A81" t="s">
        <v>21</v>
      </c>
      <c r="B81" s="1">
        <f>HYPERLINK("https://cordis.europa.eu/project/id/618124", "618124")</f>
        <v>0</v>
      </c>
      <c r="C81" t="s">
        <v>76</v>
      </c>
      <c r="D81" t="s">
        <v>887</v>
      </c>
      <c r="F81" t="s">
        <v>2142</v>
      </c>
      <c r="G81" t="s">
        <v>2349</v>
      </c>
      <c r="H81" t="s">
        <v>2548</v>
      </c>
      <c r="I81" t="s">
        <v>2556</v>
      </c>
      <c r="J81" s="1">
        <f>HYPERLINK("https://ec.europa.eu/info/funding-tenders/opportunities/portal/screen/how-to-participate/org-details/960368386", "960368386")</f>
        <v>0</v>
      </c>
      <c r="K81" t="s">
        <v>2622</v>
      </c>
      <c r="L81" t="s">
        <v>2853</v>
      </c>
      <c r="M81" t="s">
        <v>2969</v>
      </c>
      <c r="O81" t="s">
        <v>2979</v>
      </c>
      <c r="P81" t="s">
        <v>3075</v>
      </c>
      <c r="Q81">
        <v>7</v>
      </c>
      <c r="R81" t="s">
        <v>3342</v>
      </c>
    </row>
    <row r="82" spans="1:19">
      <c r="A82" t="s">
        <v>21</v>
      </c>
      <c r="B82" s="1">
        <f>HYPERLINK("https://cordis.europa.eu/project/id/278807", "278807")</f>
        <v>0</v>
      </c>
      <c r="C82" t="s">
        <v>77</v>
      </c>
      <c r="D82" t="s">
        <v>888</v>
      </c>
      <c r="F82" t="s">
        <v>2123</v>
      </c>
      <c r="G82" t="s">
        <v>1820</v>
      </c>
      <c r="H82" t="s">
        <v>2548</v>
      </c>
      <c r="I82" t="s">
        <v>2556</v>
      </c>
      <c r="J82" s="1">
        <f>HYPERLINK("https://ec.europa.eu/info/funding-tenders/opportunities/portal/screen/how-to-participate/org-details/967932349", "967932349")</f>
        <v>0</v>
      </c>
      <c r="K82" t="s">
        <v>2623</v>
      </c>
      <c r="L82" t="s">
        <v>2854</v>
      </c>
      <c r="M82" t="s">
        <v>2967</v>
      </c>
      <c r="O82" t="s">
        <v>2973</v>
      </c>
      <c r="P82" t="s">
        <v>3076</v>
      </c>
      <c r="Q82">
        <v>8</v>
      </c>
      <c r="R82" t="s">
        <v>3342</v>
      </c>
      <c r="S82" s="2">
        <v>641268</v>
      </c>
    </row>
    <row r="83" spans="1:19">
      <c r="A83" t="s">
        <v>21</v>
      </c>
      <c r="B83" s="1">
        <f>HYPERLINK("https://cordis.europa.eu/project/id/606528", "606528")</f>
        <v>0</v>
      </c>
      <c r="C83" t="s">
        <v>78</v>
      </c>
      <c r="D83" t="s">
        <v>889</v>
      </c>
      <c r="F83" t="s">
        <v>2109</v>
      </c>
      <c r="G83" t="s">
        <v>2326</v>
      </c>
      <c r="H83" t="s">
        <v>2548</v>
      </c>
      <c r="I83" t="s">
        <v>2556</v>
      </c>
      <c r="J83" s="1">
        <f>HYPERLINK("https://ec.europa.eu/info/funding-tenders/opportunities/portal/screen/how-to-participate/org-details/950590301", "950590301")</f>
        <v>0</v>
      </c>
      <c r="K83" t="s">
        <v>2624</v>
      </c>
      <c r="L83" t="s">
        <v>2855</v>
      </c>
      <c r="M83" t="s">
        <v>2967</v>
      </c>
      <c r="O83" t="s">
        <v>2984</v>
      </c>
      <c r="P83" t="s">
        <v>3077</v>
      </c>
      <c r="Q83">
        <v>9</v>
      </c>
      <c r="R83" t="s">
        <v>3342</v>
      </c>
    </row>
    <row r="84" spans="1:19">
      <c r="A84" t="s">
        <v>21</v>
      </c>
      <c r="B84" s="1">
        <f>HYPERLINK("https://cordis.europa.eu/project/id/223487", "223487")</f>
        <v>0</v>
      </c>
      <c r="C84" t="s">
        <v>79</v>
      </c>
      <c r="D84" t="s">
        <v>890</v>
      </c>
      <c r="F84" t="s">
        <v>2143</v>
      </c>
      <c r="G84" t="s">
        <v>2345</v>
      </c>
      <c r="H84" t="s">
        <v>2548</v>
      </c>
      <c r="I84" t="s">
        <v>2556</v>
      </c>
      <c r="J84" s="1">
        <f>HYPERLINK("https://ec.europa.eu/info/funding-tenders/opportunities/portal/screen/how-to-participate/org-details/996491768", "996491768")</f>
        <v>0</v>
      </c>
      <c r="K84" t="s">
        <v>2625</v>
      </c>
      <c r="L84" t="s">
        <v>2856</v>
      </c>
      <c r="M84" t="s">
        <v>2966</v>
      </c>
      <c r="O84" t="s">
        <v>2979</v>
      </c>
      <c r="P84" t="s">
        <v>3069</v>
      </c>
      <c r="Q84">
        <v>7</v>
      </c>
      <c r="R84" t="s">
        <v>3342</v>
      </c>
      <c r="S84" s="2">
        <v>85600</v>
      </c>
    </row>
    <row r="85" spans="1:19">
      <c r="A85" t="s">
        <v>21</v>
      </c>
      <c r="B85" s="1">
        <f>HYPERLINK("https://cordis.europa.eu/project/id/320298", "320298")</f>
        <v>0</v>
      </c>
      <c r="C85" t="s">
        <v>80</v>
      </c>
      <c r="D85" t="s">
        <v>891</v>
      </c>
      <c r="F85" t="s">
        <v>2144</v>
      </c>
      <c r="G85" t="s">
        <v>1820</v>
      </c>
      <c r="H85" t="s">
        <v>2550</v>
      </c>
      <c r="I85" t="s">
        <v>2558</v>
      </c>
      <c r="J85" s="1">
        <f>HYPERLINK("https://ec.europa.eu/info/funding-tenders/opportunities/portal/screen/how-to-participate/org-details/954799810", "954799810")</f>
        <v>0</v>
      </c>
      <c r="K85" t="s">
        <v>2626</v>
      </c>
      <c r="L85" t="s">
        <v>2857</v>
      </c>
      <c r="M85" t="s">
        <v>2966</v>
      </c>
      <c r="O85" t="s">
        <v>2978</v>
      </c>
      <c r="P85" t="s">
        <v>3078</v>
      </c>
      <c r="Q85">
        <v>5</v>
      </c>
      <c r="R85" t="s">
        <v>3342</v>
      </c>
      <c r="S85" s="2">
        <v>150121</v>
      </c>
    </row>
    <row r="86" spans="1:19">
      <c r="A86" t="s">
        <v>21</v>
      </c>
      <c r="B86" s="1">
        <f>HYPERLINK("https://cordis.europa.eu/project/id/320298", "320298")</f>
        <v>0</v>
      </c>
      <c r="C86" t="s">
        <v>80</v>
      </c>
      <c r="D86" t="s">
        <v>891</v>
      </c>
      <c r="F86" t="s">
        <v>2144</v>
      </c>
      <c r="G86" t="s">
        <v>1820</v>
      </c>
      <c r="H86" t="s">
        <v>2551</v>
      </c>
      <c r="I86" t="s">
        <v>2559</v>
      </c>
      <c r="J86" s="1">
        <f>HYPERLINK("https://ec.europa.eu/info/funding-tenders/opportunities/portal/screen/how-to-participate/org-details/997324028", "997324028")</f>
        <v>0</v>
      </c>
      <c r="K86" t="s">
        <v>2589</v>
      </c>
      <c r="L86" t="s">
        <v>2829</v>
      </c>
      <c r="M86" t="s">
        <v>2965</v>
      </c>
      <c r="O86" t="s">
        <v>2978</v>
      </c>
      <c r="P86" t="s">
        <v>3078</v>
      </c>
      <c r="Q86">
        <v>4</v>
      </c>
      <c r="R86" t="s">
        <v>3342</v>
      </c>
      <c r="S86" s="2">
        <v>220420</v>
      </c>
    </row>
    <row r="87" spans="1:19">
      <c r="A87" t="s">
        <v>21</v>
      </c>
      <c r="B87" s="1">
        <f>HYPERLINK("https://cordis.europa.eu/project/id/258837", "258837")</f>
        <v>0</v>
      </c>
      <c r="C87" t="s">
        <v>81</v>
      </c>
      <c r="D87" t="s">
        <v>892</v>
      </c>
      <c r="F87" t="s">
        <v>2118</v>
      </c>
      <c r="G87" t="s">
        <v>2333</v>
      </c>
      <c r="H87" t="s">
        <v>2548</v>
      </c>
      <c r="I87" t="s">
        <v>2556</v>
      </c>
      <c r="J87" s="1">
        <f>HYPERLINK("https://ec.europa.eu/info/funding-tenders/opportunities/portal/screen/how-to-participate/org-details/998333507", "998333507")</f>
        <v>0</v>
      </c>
      <c r="K87" t="s">
        <v>2627</v>
      </c>
      <c r="L87" t="s">
        <v>2858</v>
      </c>
      <c r="M87" t="s">
        <v>2966</v>
      </c>
      <c r="O87" t="s">
        <v>2973</v>
      </c>
      <c r="P87" t="s">
        <v>3079</v>
      </c>
      <c r="Q87">
        <v>6</v>
      </c>
      <c r="R87" t="s">
        <v>3342</v>
      </c>
      <c r="S87" s="2">
        <v>82650</v>
      </c>
    </row>
    <row r="88" spans="1:19">
      <c r="A88" t="s">
        <v>21</v>
      </c>
      <c r="B88" s="1">
        <f>HYPERLINK("https://cordis.europa.eu/project/id/246690", "246690")</f>
        <v>0</v>
      </c>
      <c r="C88" t="s">
        <v>82</v>
      </c>
      <c r="D88" t="s">
        <v>893</v>
      </c>
      <c r="F88" t="s">
        <v>2145</v>
      </c>
      <c r="G88" t="s">
        <v>2346</v>
      </c>
      <c r="H88" t="s">
        <v>2548</v>
      </c>
      <c r="I88" t="s">
        <v>2556</v>
      </c>
      <c r="J88" s="1">
        <f>HYPERLINK("https://ec.europa.eu/info/funding-tenders/opportunities/portal/screen/how-to-participate/org-details/998826946", "998826946")</f>
        <v>0</v>
      </c>
      <c r="K88" t="s">
        <v>2617</v>
      </c>
      <c r="L88" t="s">
        <v>2848</v>
      </c>
      <c r="M88" t="s">
        <v>2965</v>
      </c>
      <c r="O88" t="s">
        <v>2985</v>
      </c>
      <c r="P88" t="s">
        <v>3080</v>
      </c>
      <c r="Q88">
        <v>2</v>
      </c>
      <c r="R88" t="s">
        <v>3342</v>
      </c>
      <c r="S88" s="2">
        <v>16988</v>
      </c>
    </row>
    <row r="89" spans="1:19">
      <c r="A89" t="s">
        <v>21</v>
      </c>
      <c r="B89" s="1">
        <f>HYPERLINK("https://cordis.europa.eu/project/id/243914", "243914")</f>
        <v>0</v>
      </c>
      <c r="C89" t="s">
        <v>83</v>
      </c>
      <c r="D89" t="s">
        <v>894</v>
      </c>
      <c r="F89" t="s">
        <v>2117</v>
      </c>
      <c r="G89" t="s">
        <v>2331</v>
      </c>
      <c r="H89" t="s">
        <v>2548</v>
      </c>
      <c r="I89" t="s">
        <v>2556</v>
      </c>
      <c r="J89" s="1">
        <f>HYPERLINK("https://ec.europa.eu/info/funding-tenders/opportunities/portal/screen/how-to-participate/org-details/998826946", "998826946")</f>
        <v>0</v>
      </c>
      <c r="K89" t="s">
        <v>2617</v>
      </c>
      <c r="L89" t="s">
        <v>2848</v>
      </c>
      <c r="M89" t="s">
        <v>2965</v>
      </c>
      <c r="O89" t="s">
        <v>2970</v>
      </c>
      <c r="P89" t="s">
        <v>3081</v>
      </c>
      <c r="Q89">
        <v>2</v>
      </c>
      <c r="R89" t="s">
        <v>3342</v>
      </c>
      <c r="S89" s="2">
        <v>173296</v>
      </c>
    </row>
    <row r="90" spans="1:19">
      <c r="A90" t="s">
        <v>21</v>
      </c>
      <c r="B90" s="1">
        <f>HYPERLINK("https://cordis.europa.eu/project/id/305279", "305279")</f>
        <v>0</v>
      </c>
      <c r="C90" t="s">
        <v>84</v>
      </c>
      <c r="D90" t="s">
        <v>895</v>
      </c>
      <c r="F90" t="s">
        <v>2146</v>
      </c>
      <c r="G90" t="s">
        <v>2350</v>
      </c>
      <c r="H90" t="s">
        <v>2549</v>
      </c>
      <c r="I90" t="s">
        <v>2557</v>
      </c>
      <c r="J90" s="1">
        <f>HYPERLINK("https://ec.europa.eu/info/funding-tenders/opportunities/portal/screen/how-to-participate/org-details/998331567", "998331567")</f>
        <v>0</v>
      </c>
      <c r="K90" t="s">
        <v>2573</v>
      </c>
      <c r="M90" t="s">
        <v>2965</v>
      </c>
      <c r="O90" t="s">
        <v>2973</v>
      </c>
      <c r="P90" t="s">
        <v>3054</v>
      </c>
      <c r="Q90">
        <v>7</v>
      </c>
      <c r="R90" t="s">
        <v>3342</v>
      </c>
      <c r="S90" s="2">
        <v>306828</v>
      </c>
    </row>
    <row r="91" spans="1:19">
      <c r="A91" t="s">
        <v>21</v>
      </c>
      <c r="B91" s="1">
        <f>HYPERLINK("https://cordis.europa.eu/project/id/615905", "615905")</f>
        <v>0</v>
      </c>
      <c r="C91" t="s">
        <v>85</v>
      </c>
      <c r="D91" t="s">
        <v>896</v>
      </c>
      <c r="F91" t="s">
        <v>2147</v>
      </c>
      <c r="G91" t="s">
        <v>2351</v>
      </c>
      <c r="H91" t="s">
        <v>2548</v>
      </c>
      <c r="I91" t="s">
        <v>2556</v>
      </c>
      <c r="J91" s="1">
        <f>HYPERLINK("https://ec.europa.eu/info/funding-tenders/opportunities/portal/screen/how-to-participate/org-details/998804636", "998804636")</f>
        <v>0</v>
      </c>
      <c r="K91" t="s">
        <v>2612</v>
      </c>
      <c r="L91" t="s">
        <v>2845</v>
      </c>
      <c r="M91" t="s">
        <v>2965</v>
      </c>
      <c r="O91" t="s">
        <v>2974</v>
      </c>
      <c r="P91" t="s">
        <v>3041</v>
      </c>
      <c r="Q91">
        <v>2</v>
      </c>
      <c r="R91" t="s">
        <v>3342</v>
      </c>
      <c r="S91" s="2">
        <v>252000</v>
      </c>
    </row>
    <row r="92" spans="1:19">
      <c r="A92" t="s">
        <v>21</v>
      </c>
      <c r="B92" s="1">
        <f>HYPERLINK("https://cordis.europa.eu/project/id/222623", "222623")</f>
        <v>0</v>
      </c>
      <c r="C92" t="s">
        <v>86</v>
      </c>
      <c r="D92" t="s">
        <v>897</v>
      </c>
      <c r="F92" t="s">
        <v>2137</v>
      </c>
      <c r="G92" t="s">
        <v>2352</v>
      </c>
      <c r="H92" t="s">
        <v>2549</v>
      </c>
      <c r="I92" t="s">
        <v>2557</v>
      </c>
      <c r="J92" s="1">
        <f>HYPERLINK("https://ec.europa.eu/info/funding-tenders/opportunities/portal/screen/how-to-participate/org-details/999851654", "999851654")</f>
        <v>0</v>
      </c>
      <c r="K92" t="s">
        <v>2594</v>
      </c>
      <c r="M92" t="s">
        <v>2965</v>
      </c>
      <c r="O92" t="s">
        <v>2972</v>
      </c>
      <c r="P92" t="s">
        <v>3082</v>
      </c>
      <c r="Q92">
        <v>19</v>
      </c>
      <c r="R92" t="s">
        <v>3342</v>
      </c>
    </row>
    <row r="93" spans="1:19">
      <c r="A93" t="s">
        <v>21</v>
      </c>
      <c r="B93" s="1">
        <f>HYPERLINK("https://cordis.europa.eu/project/id/222623", "222623")</f>
        <v>0</v>
      </c>
      <c r="C93" t="s">
        <v>86</v>
      </c>
      <c r="D93" t="s">
        <v>897</v>
      </c>
      <c r="F93" t="s">
        <v>2137</v>
      </c>
      <c r="G93" t="s">
        <v>2352</v>
      </c>
      <c r="H93" t="s">
        <v>2548</v>
      </c>
      <c r="I93" t="s">
        <v>2556</v>
      </c>
      <c r="J93" s="1">
        <f>HYPERLINK("https://ec.europa.eu/info/funding-tenders/opportunities/portal/screen/how-to-participate/org-details/998804927", "998804927")</f>
        <v>0</v>
      </c>
      <c r="K93" t="s">
        <v>2613</v>
      </c>
      <c r="M93" t="s">
        <v>2965</v>
      </c>
      <c r="O93" t="s">
        <v>2972</v>
      </c>
      <c r="P93" t="s">
        <v>3082</v>
      </c>
      <c r="Q93">
        <v>20</v>
      </c>
      <c r="R93" t="s">
        <v>3342</v>
      </c>
    </row>
    <row r="94" spans="1:19">
      <c r="A94" t="s">
        <v>21</v>
      </c>
      <c r="B94" s="1">
        <f>HYPERLINK("https://cordis.europa.eu/project/id/265862", "265862")</f>
        <v>0</v>
      </c>
      <c r="C94" t="s">
        <v>87</v>
      </c>
      <c r="D94" t="s">
        <v>898</v>
      </c>
      <c r="F94" t="s">
        <v>2148</v>
      </c>
      <c r="G94" t="s">
        <v>2353</v>
      </c>
      <c r="H94" t="s">
        <v>2548</v>
      </c>
      <c r="I94" t="s">
        <v>2556</v>
      </c>
      <c r="J94" s="1">
        <f>HYPERLINK("https://ec.europa.eu/info/funding-tenders/opportunities/portal/screen/how-to-participate/org-details/998826946", "998826946")</f>
        <v>0</v>
      </c>
      <c r="K94" t="s">
        <v>2617</v>
      </c>
      <c r="L94" t="s">
        <v>2848</v>
      </c>
      <c r="M94" t="s">
        <v>2965</v>
      </c>
      <c r="O94" t="s">
        <v>2986</v>
      </c>
      <c r="P94" t="s">
        <v>3047</v>
      </c>
      <c r="Q94">
        <v>11</v>
      </c>
      <c r="R94" t="s">
        <v>3342</v>
      </c>
      <c r="S94" s="2">
        <v>304047.2</v>
      </c>
    </row>
    <row r="95" spans="1:19">
      <c r="A95" t="s">
        <v>21</v>
      </c>
      <c r="B95" s="1">
        <f>HYPERLINK("https://cordis.europa.eu/project/id/603049", "603049")</f>
        <v>0</v>
      </c>
      <c r="C95" t="s">
        <v>88</v>
      </c>
      <c r="D95" t="s">
        <v>899</v>
      </c>
      <c r="F95" t="s">
        <v>2149</v>
      </c>
      <c r="G95" t="s">
        <v>2354</v>
      </c>
      <c r="H95" t="s">
        <v>2548</v>
      </c>
      <c r="I95" t="s">
        <v>2556</v>
      </c>
      <c r="J95" s="1">
        <f>HYPERLINK("https://ec.europa.eu/info/funding-tenders/opportunities/portal/screen/how-to-participate/org-details/998711419", "998711419")</f>
        <v>0</v>
      </c>
      <c r="K95" t="s">
        <v>2628</v>
      </c>
      <c r="M95" t="s">
        <v>2965</v>
      </c>
      <c r="O95" t="s">
        <v>2973</v>
      </c>
      <c r="P95" t="s">
        <v>3037</v>
      </c>
      <c r="Q95">
        <v>14</v>
      </c>
      <c r="R95" t="s">
        <v>3342</v>
      </c>
    </row>
    <row r="96" spans="1:19">
      <c r="A96" t="s">
        <v>21</v>
      </c>
      <c r="B96" s="1">
        <f>HYPERLINK("https://cordis.europa.eu/project/id/291840", "291840")</f>
        <v>0</v>
      </c>
      <c r="C96" t="s">
        <v>89</v>
      </c>
      <c r="D96" t="s">
        <v>900</v>
      </c>
      <c r="F96" t="s">
        <v>2126</v>
      </c>
      <c r="G96" t="s">
        <v>2355</v>
      </c>
      <c r="H96" t="s">
        <v>2548</v>
      </c>
      <c r="I96" t="s">
        <v>2556</v>
      </c>
      <c r="J96" s="1">
        <f>HYPERLINK("https://ec.europa.eu/info/funding-tenders/opportunities/portal/screen/how-to-participate/org-details/960368386", "960368386")</f>
        <v>0</v>
      </c>
      <c r="K96" t="s">
        <v>2622</v>
      </c>
      <c r="L96" t="s">
        <v>2853</v>
      </c>
      <c r="M96" t="s">
        <v>2969</v>
      </c>
      <c r="O96" t="s">
        <v>2979</v>
      </c>
      <c r="P96" t="s">
        <v>3052</v>
      </c>
      <c r="Q96">
        <v>18</v>
      </c>
      <c r="R96" t="s">
        <v>3342</v>
      </c>
      <c r="S96" s="2">
        <v>17120</v>
      </c>
    </row>
    <row r="97" spans="1:19">
      <c r="A97" t="s">
        <v>21</v>
      </c>
      <c r="B97" s="1">
        <f>HYPERLINK("https://cordis.europa.eu/project/id/291840", "291840")</f>
        <v>0</v>
      </c>
      <c r="C97" t="s">
        <v>89</v>
      </c>
      <c r="D97" t="s">
        <v>900</v>
      </c>
      <c r="F97" t="s">
        <v>2126</v>
      </c>
      <c r="G97" t="s">
        <v>2355</v>
      </c>
      <c r="H97" t="s">
        <v>2548</v>
      </c>
      <c r="I97" t="s">
        <v>2556</v>
      </c>
      <c r="J97" s="1">
        <f>HYPERLINK("https://ec.europa.eu/info/funding-tenders/opportunities/portal/screen/how-to-participate/org-details/963122410", "963122410")</f>
        <v>0</v>
      </c>
      <c r="K97" t="s">
        <v>2629</v>
      </c>
      <c r="L97" t="s">
        <v>2859</v>
      </c>
      <c r="M97" t="s">
        <v>2968</v>
      </c>
      <c r="O97" t="s">
        <v>2979</v>
      </c>
      <c r="P97" t="s">
        <v>3052</v>
      </c>
      <c r="Q97">
        <v>17</v>
      </c>
      <c r="R97" t="s">
        <v>3342</v>
      </c>
      <c r="S97" s="2">
        <v>104218</v>
      </c>
    </row>
    <row r="98" spans="1:19">
      <c r="A98" t="s">
        <v>21</v>
      </c>
      <c r="B98" s="1">
        <f>HYPERLINK("https://cordis.europa.eu/project/id/339993", "339993")</f>
        <v>0</v>
      </c>
      <c r="C98" t="s">
        <v>90</v>
      </c>
      <c r="D98" t="s">
        <v>901</v>
      </c>
      <c r="F98" t="s">
        <v>2115</v>
      </c>
      <c r="G98" t="s">
        <v>2322</v>
      </c>
      <c r="H98" t="s">
        <v>2549</v>
      </c>
      <c r="I98" t="s">
        <v>2557</v>
      </c>
      <c r="J98" s="1">
        <f>HYPERLINK("https://ec.europa.eu/info/funding-tenders/opportunities/portal/screen/how-to-participate/org-details/999613131", "999613131")</f>
        <v>0</v>
      </c>
      <c r="K98" t="s">
        <v>2591</v>
      </c>
      <c r="L98" t="s">
        <v>2831</v>
      </c>
      <c r="M98" t="s">
        <v>2965</v>
      </c>
      <c r="O98" t="s">
        <v>2976</v>
      </c>
      <c r="P98" t="s">
        <v>3044</v>
      </c>
      <c r="Q98">
        <v>2</v>
      </c>
      <c r="R98" t="s">
        <v>3342</v>
      </c>
      <c r="S98" s="2">
        <v>173928</v>
      </c>
    </row>
    <row r="99" spans="1:19">
      <c r="A99" t="s">
        <v>21</v>
      </c>
      <c r="B99" s="1">
        <f>HYPERLINK("https://cordis.europa.eu/project/id/251515", "251515")</f>
        <v>0</v>
      </c>
      <c r="C99" t="s">
        <v>91</v>
      </c>
      <c r="D99" t="s">
        <v>902</v>
      </c>
      <c r="F99" t="s">
        <v>2121</v>
      </c>
      <c r="G99" t="s">
        <v>2356</v>
      </c>
      <c r="H99" t="s">
        <v>2548</v>
      </c>
      <c r="I99" t="s">
        <v>2556</v>
      </c>
      <c r="J99" s="1">
        <f>HYPERLINK("https://ec.europa.eu/info/funding-tenders/opportunities/portal/screen/how-to-participate/org-details/998804636", "998804636")</f>
        <v>0</v>
      </c>
      <c r="K99" t="s">
        <v>2612</v>
      </c>
      <c r="L99" t="s">
        <v>2845</v>
      </c>
      <c r="M99" t="s">
        <v>2965</v>
      </c>
      <c r="O99" t="s">
        <v>2977</v>
      </c>
      <c r="P99" t="s">
        <v>3083</v>
      </c>
      <c r="Q99">
        <v>3</v>
      </c>
      <c r="R99" t="s">
        <v>3342</v>
      </c>
    </row>
    <row r="100" spans="1:19">
      <c r="A100" t="s">
        <v>21</v>
      </c>
      <c r="B100" s="1">
        <f>HYPERLINK("https://cordis.europa.eu/project/id/222107", "222107")</f>
        <v>0</v>
      </c>
      <c r="C100" t="s">
        <v>92</v>
      </c>
      <c r="D100" t="s">
        <v>903</v>
      </c>
      <c r="F100" t="s">
        <v>2150</v>
      </c>
      <c r="G100" t="s">
        <v>2357</v>
      </c>
      <c r="H100" t="s">
        <v>2548</v>
      </c>
      <c r="I100" t="s">
        <v>2556</v>
      </c>
      <c r="J100" s="1">
        <f>HYPERLINK("https://ec.europa.eu/info/funding-tenders/opportunities/portal/screen/how-to-participate/org-details/998826946", "998826946")</f>
        <v>0</v>
      </c>
      <c r="K100" t="s">
        <v>2617</v>
      </c>
      <c r="L100" t="s">
        <v>2848</v>
      </c>
      <c r="M100" t="s">
        <v>2965</v>
      </c>
      <c r="O100" t="s">
        <v>2970</v>
      </c>
      <c r="P100" t="s">
        <v>3084</v>
      </c>
      <c r="Q100">
        <v>2</v>
      </c>
      <c r="R100" t="s">
        <v>3342</v>
      </c>
      <c r="S100" s="2">
        <v>0</v>
      </c>
    </row>
    <row r="101" spans="1:19">
      <c r="A101" t="s">
        <v>21</v>
      </c>
      <c r="B101" s="1">
        <f>HYPERLINK("https://cordis.europa.eu/project/id/320620", "320620")</f>
        <v>0</v>
      </c>
      <c r="C101" t="s">
        <v>93</v>
      </c>
      <c r="D101" t="s">
        <v>904</v>
      </c>
      <c r="F101" t="s">
        <v>2125</v>
      </c>
      <c r="G101" t="s">
        <v>2354</v>
      </c>
      <c r="H101" t="s">
        <v>2548</v>
      </c>
      <c r="I101" t="s">
        <v>2556</v>
      </c>
      <c r="J101" s="1">
        <f>HYPERLINK("https://ec.europa.eu/info/funding-tenders/opportunities/portal/screen/how-to-participate/org-details/998804636", "998804636")</f>
        <v>0</v>
      </c>
      <c r="K101" t="s">
        <v>2612</v>
      </c>
      <c r="L101" t="s">
        <v>2845</v>
      </c>
      <c r="M101" t="s">
        <v>2965</v>
      </c>
      <c r="O101" t="s">
        <v>2976</v>
      </c>
      <c r="P101" t="s">
        <v>3085</v>
      </c>
      <c r="Q101">
        <v>5</v>
      </c>
      <c r="R101" t="s">
        <v>3342</v>
      </c>
      <c r="S101" s="2">
        <v>52756</v>
      </c>
    </row>
    <row r="102" spans="1:19">
      <c r="A102" t="s">
        <v>21</v>
      </c>
      <c r="B102" s="1">
        <f>HYPERLINK("https://cordis.europa.eu/project/id/257993", "257993")</f>
        <v>0</v>
      </c>
      <c r="C102" t="s">
        <v>94</v>
      </c>
      <c r="D102" t="s">
        <v>905</v>
      </c>
      <c r="F102" t="s">
        <v>2112</v>
      </c>
      <c r="G102" t="s">
        <v>2319</v>
      </c>
      <c r="H102" t="s">
        <v>2548</v>
      </c>
      <c r="I102" t="s">
        <v>2556</v>
      </c>
      <c r="J102" s="1">
        <f>HYPERLINK("https://ec.europa.eu/info/funding-tenders/opportunities/portal/screen/how-to-participate/org-details/998826946", "998826946")</f>
        <v>0</v>
      </c>
      <c r="K102" t="s">
        <v>2617</v>
      </c>
      <c r="L102" t="s">
        <v>2848</v>
      </c>
      <c r="M102" t="s">
        <v>2965</v>
      </c>
      <c r="O102" t="s">
        <v>2970</v>
      </c>
      <c r="P102" t="s">
        <v>3086</v>
      </c>
      <c r="Q102">
        <v>2</v>
      </c>
      <c r="R102" t="s">
        <v>3342</v>
      </c>
      <c r="S102" s="2">
        <v>0</v>
      </c>
    </row>
    <row r="103" spans="1:19">
      <c r="A103" t="s">
        <v>21</v>
      </c>
      <c r="B103" s="1">
        <f>HYPERLINK("https://cordis.europa.eu/project/id/202112", "202112")</f>
        <v>0</v>
      </c>
      <c r="C103" t="s">
        <v>95</v>
      </c>
      <c r="D103" t="s">
        <v>906</v>
      </c>
      <c r="F103" t="s">
        <v>2132</v>
      </c>
      <c r="G103" t="s">
        <v>2315</v>
      </c>
      <c r="H103" t="s">
        <v>2549</v>
      </c>
      <c r="I103" t="s">
        <v>2557</v>
      </c>
      <c r="J103" s="1">
        <f>HYPERLINK("https://ec.europa.eu/info/funding-tenders/opportunities/portal/screen/how-to-participate/org-details/998770104", "998770104")</f>
        <v>0</v>
      </c>
      <c r="K103" t="s">
        <v>2630</v>
      </c>
      <c r="L103" t="s">
        <v>2860</v>
      </c>
      <c r="M103" t="s">
        <v>2966</v>
      </c>
      <c r="O103" t="s">
        <v>2979</v>
      </c>
      <c r="P103" t="s">
        <v>3087</v>
      </c>
      <c r="Q103">
        <v>9</v>
      </c>
      <c r="R103" t="s">
        <v>3342</v>
      </c>
      <c r="S103" s="2">
        <v>43000</v>
      </c>
    </row>
    <row r="104" spans="1:19">
      <c r="A104" t="s">
        <v>21</v>
      </c>
      <c r="B104" s="1">
        <f>HYPERLINK("https://cordis.europa.eu/project/id/289316", "289316")</f>
        <v>0</v>
      </c>
      <c r="C104" t="s">
        <v>96</v>
      </c>
      <c r="D104" t="s">
        <v>907</v>
      </c>
      <c r="F104" t="s">
        <v>2126</v>
      </c>
      <c r="G104" t="s">
        <v>2334</v>
      </c>
      <c r="H104" t="s">
        <v>2548</v>
      </c>
      <c r="I104" t="s">
        <v>2556</v>
      </c>
      <c r="J104" s="1">
        <f>HYPERLINK("https://ec.europa.eu/info/funding-tenders/opportunities/portal/screen/how-to-participate/org-details/962472413", "962472413")</f>
        <v>0</v>
      </c>
      <c r="K104" t="s">
        <v>2631</v>
      </c>
      <c r="L104" t="s">
        <v>2861</v>
      </c>
      <c r="M104" t="s">
        <v>2968</v>
      </c>
      <c r="O104" t="s">
        <v>2978</v>
      </c>
      <c r="P104" t="s">
        <v>3088</v>
      </c>
      <c r="Q104">
        <v>5</v>
      </c>
      <c r="R104" t="s">
        <v>3342</v>
      </c>
    </row>
    <row r="105" spans="1:19">
      <c r="A105" t="s">
        <v>21</v>
      </c>
      <c r="B105" s="1">
        <f>HYPERLINK("https://cordis.europa.eu/project/id/245136", "245136")</f>
        <v>0</v>
      </c>
      <c r="C105" t="s">
        <v>97</v>
      </c>
      <c r="D105" t="s">
        <v>908</v>
      </c>
      <c r="F105" t="s">
        <v>2145</v>
      </c>
      <c r="G105" t="s">
        <v>2348</v>
      </c>
      <c r="H105" t="s">
        <v>2548</v>
      </c>
      <c r="I105" t="s">
        <v>2556</v>
      </c>
      <c r="J105" s="1">
        <f>HYPERLINK("https://ec.europa.eu/info/funding-tenders/opportunities/portal/screen/how-to-participate/org-details/998082180", "998082180")</f>
        <v>0</v>
      </c>
      <c r="K105" t="s">
        <v>2565</v>
      </c>
      <c r="M105" t="s">
        <v>2965</v>
      </c>
      <c r="O105" t="s">
        <v>2973</v>
      </c>
      <c r="P105" t="s">
        <v>3089</v>
      </c>
      <c r="Q105">
        <v>14</v>
      </c>
      <c r="R105" t="s">
        <v>3342</v>
      </c>
    </row>
    <row r="106" spans="1:19">
      <c r="A106" t="s">
        <v>21</v>
      </c>
      <c r="B106" s="1">
        <f>HYPERLINK("https://cordis.europa.eu/project/id/200431", "200431")</f>
        <v>0</v>
      </c>
      <c r="C106" t="s">
        <v>98</v>
      </c>
      <c r="D106" t="s">
        <v>909</v>
      </c>
      <c r="F106" t="s">
        <v>2151</v>
      </c>
      <c r="G106" t="s">
        <v>2327</v>
      </c>
      <c r="H106" t="s">
        <v>2548</v>
      </c>
      <c r="I106" t="s">
        <v>2556</v>
      </c>
      <c r="J106" s="1">
        <f>HYPERLINK("https://ec.europa.eu/info/funding-tenders/opportunities/portal/screen/how-to-participate/org-details/999786082", "999786082")</f>
        <v>0</v>
      </c>
      <c r="K106" t="s">
        <v>2607</v>
      </c>
      <c r="M106" t="s">
        <v>2967</v>
      </c>
      <c r="O106" t="s">
        <v>2972</v>
      </c>
      <c r="P106" t="s">
        <v>3090</v>
      </c>
      <c r="Q106">
        <v>6</v>
      </c>
      <c r="R106" t="s">
        <v>3342</v>
      </c>
      <c r="S106" s="2">
        <v>398000</v>
      </c>
    </row>
    <row r="107" spans="1:19">
      <c r="A107" t="s">
        <v>21</v>
      </c>
      <c r="B107" s="1">
        <f>HYPERLINK("https://cordis.europa.eu/project/id/604204", "604204")</f>
        <v>0</v>
      </c>
      <c r="C107" t="s">
        <v>99</v>
      </c>
      <c r="D107" t="s">
        <v>910</v>
      </c>
      <c r="F107" t="s">
        <v>2131</v>
      </c>
      <c r="G107" t="s">
        <v>2358</v>
      </c>
      <c r="H107" t="s">
        <v>2548</v>
      </c>
      <c r="I107" t="s">
        <v>2556</v>
      </c>
      <c r="J107" s="1">
        <f>HYPERLINK("https://ec.europa.eu/info/funding-tenders/opportunities/portal/screen/how-to-participate/org-details/999786082", "999786082")</f>
        <v>0</v>
      </c>
      <c r="K107" t="s">
        <v>2607</v>
      </c>
      <c r="M107" t="s">
        <v>2967</v>
      </c>
      <c r="O107" t="s">
        <v>2987</v>
      </c>
      <c r="P107" t="s">
        <v>3091</v>
      </c>
      <c r="Q107">
        <v>8</v>
      </c>
      <c r="R107" t="s">
        <v>3342</v>
      </c>
      <c r="S107" s="2">
        <v>312000</v>
      </c>
    </row>
    <row r="108" spans="1:19">
      <c r="A108" t="s">
        <v>21</v>
      </c>
      <c r="B108" s="1">
        <f>HYPERLINK("https://cordis.europa.eu/project/id/313220", "313220")</f>
        <v>0</v>
      </c>
      <c r="C108" t="s">
        <v>100</v>
      </c>
      <c r="D108" t="s">
        <v>100</v>
      </c>
      <c r="F108" t="s">
        <v>2136</v>
      </c>
      <c r="G108" t="s">
        <v>1714</v>
      </c>
      <c r="H108" t="s">
        <v>2548</v>
      </c>
      <c r="I108" t="s">
        <v>2556</v>
      </c>
      <c r="J108" s="1">
        <f>HYPERLINK("https://ec.europa.eu/info/funding-tenders/opportunities/portal/screen/how-to-participate/org-details/998819089", "998819089")</f>
        <v>0</v>
      </c>
      <c r="K108" t="s">
        <v>2632</v>
      </c>
      <c r="L108" t="s">
        <v>2862</v>
      </c>
      <c r="M108" t="s">
        <v>2967</v>
      </c>
      <c r="O108" t="s">
        <v>2973</v>
      </c>
      <c r="P108" t="s">
        <v>3068</v>
      </c>
      <c r="Q108">
        <v>13</v>
      </c>
      <c r="R108" t="s">
        <v>3342</v>
      </c>
    </row>
    <row r="109" spans="1:19">
      <c r="A109" t="s">
        <v>21</v>
      </c>
      <c r="B109" s="1">
        <f>HYPERLINK("https://cordis.europa.eu/project/id/284663", "284663")</f>
        <v>0</v>
      </c>
      <c r="C109" t="s">
        <v>101</v>
      </c>
      <c r="D109" t="s">
        <v>911</v>
      </c>
      <c r="F109" t="s">
        <v>2152</v>
      </c>
      <c r="G109" t="s">
        <v>2359</v>
      </c>
      <c r="H109" t="s">
        <v>2548</v>
      </c>
      <c r="I109" t="s">
        <v>2556</v>
      </c>
      <c r="J109" s="1">
        <f>HYPERLINK("https://ec.europa.eu/info/funding-tenders/opportunities/portal/screen/how-to-participate/org-details/966504412", "966504412")</f>
        <v>0</v>
      </c>
      <c r="K109" t="s">
        <v>2633</v>
      </c>
      <c r="L109" t="s">
        <v>2863</v>
      </c>
      <c r="M109" t="s">
        <v>2969</v>
      </c>
      <c r="O109" t="s">
        <v>2978</v>
      </c>
      <c r="P109" t="s">
        <v>3092</v>
      </c>
      <c r="Q109">
        <v>16</v>
      </c>
      <c r="R109" t="s">
        <v>3342</v>
      </c>
    </row>
    <row r="110" spans="1:19">
      <c r="A110" t="s">
        <v>21</v>
      </c>
      <c r="B110" s="1">
        <f>HYPERLINK("https://cordis.europa.eu/project/id/284663", "284663")</f>
        <v>0</v>
      </c>
      <c r="C110" t="s">
        <v>101</v>
      </c>
      <c r="D110" t="s">
        <v>911</v>
      </c>
      <c r="F110" t="s">
        <v>2152</v>
      </c>
      <c r="G110" t="s">
        <v>2359</v>
      </c>
      <c r="H110" t="s">
        <v>2548</v>
      </c>
      <c r="I110" t="s">
        <v>2556</v>
      </c>
      <c r="J110" s="1">
        <f>HYPERLINK("https://ec.europa.eu/info/funding-tenders/opportunities/portal/screen/how-to-participate/org-details/964384477", "964384477")</f>
        <v>0</v>
      </c>
      <c r="K110" t="s">
        <v>2620</v>
      </c>
      <c r="L110" t="s">
        <v>2851</v>
      </c>
      <c r="M110" t="s">
        <v>2969</v>
      </c>
      <c r="O110" t="s">
        <v>2978</v>
      </c>
      <c r="P110" t="s">
        <v>3092</v>
      </c>
      <c r="Q110">
        <v>20</v>
      </c>
      <c r="R110" t="s">
        <v>3342</v>
      </c>
    </row>
    <row r="111" spans="1:19">
      <c r="A111" t="s">
        <v>21</v>
      </c>
      <c r="B111" s="1">
        <f>HYPERLINK("https://cordis.europa.eu/project/id/284663", "284663")</f>
        <v>0</v>
      </c>
      <c r="C111" t="s">
        <v>101</v>
      </c>
      <c r="D111" t="s">
        <v>911</v>
      </c>
      <c r="F111" t="s">
        <v>2152</v>
      </c>
      <c r="G111" t="s">
        <v>2359</v>
      </c>
      <c r="H111" t="s">
        <v>2548</v>
      </c>
      <c r="I111" t="s">
        <v>2556</v>
      </c>
      <c r="J111" s="1">
        <f>HYPERLINK("https://ec.europa.eu/info/funding-tenders/opportunities/portal/screen/how-to-participate/org-details/999561042", "999561042")</f>
        <v>0</v>
      </c>
      <c r="K111" t="s">
        <v>2566</v>
      </c>
      <c r="L111" t="s">
        <v>2810</v>
      </c>
      <c r="M111" t="s">
        <v>2966</v>
      </c>
      <c r="O111" t="s">
        <v>2978</v>
      </c>
      <c r="P111" t="s">
        <v>3092</v>
      </c>
      <c r="Q111">
        <v>18</v>
      </c>
      <c r="R111" t="s">
        <v>3342</v>
      </c>
    </row>
    <row r="112" spans="1:19">
      <c r="A112" t="s">
        <v>21</v>
      </c>
      <c r="B112" s="1">
        <f>HYPERLINK("https://cordis.europa.eu/project/id/284663", "284663")</f>
        <v>0</v>
      </c>
      <c r="C112" t="s">
        <v>101</v>
      </c>
      <c r="D112" t="s">
        <v>911</v>
      </c>
      <c r="F112" t="s">
        <v>2152</v>
      </c>
      <c r="G112" t="s">
        <v>2359</v>
      </c>
      <c r="H112" t="s">
        <v>2548</v>
      </c>
      <c r="I112" t="s">
        <v>2556</v>
      </c>
      <c r="J112" s="1">
        <f>HYPERLINK("https://ec.europa.eu/info/funding-tenders/opportunities/portal/screen/how-to-participate/org-details/965802423", "965802423")</f>
        <v>0</v>
      </c>
      <c r="K112" t="s">
        <v>2634</v>
      </c>
      <c r="L112" t="s">
        <v>2864</v>
      </c>
      <c r="M112" t="s">
        <v>2968</v>
      </c>
      <c r="O112" t="s">
        <v>2978</v>
      </c>
      <c r="P112" t="s">
        <v>3092</v>
      </c>
      <c r="Q112">
        <v>17</v>
      </c>
      <c r="R112" t="s">
        <v>3342</v>
      </c>
    </row>
    <row r="113" spans="1:19">
      <c r="A113" t="s">
        <v>21</v>
      </c>
      <c r="B113" s="1">
        <f>HYPERLINK("https://cordis.europa.eu/project/id/284663", "284663")</f>
        <v>0</v>
      </c>
      <c r="C113" t="s">
        <v>101</v>
      </c>
      <c r="D113" t="s">
        <v>911</v>
      </c>
      <c r="F113" t="s">
        <v>2152</v>
      </c>
      <c r="G113" t="s">
        <v>2359</v>
      </c>
      <c r="H113" t="s">
        <v>2548</v>
      </c>
      <c r="I113" t="s">
        <v>2556</v>
      </c>
      <c r="J113" s="1">
        <f>HYPERLINK("https://ec.europa.eu/info/funding-tenders/opportunities/portal/screen/how-to-participate/org-details/966514403", "966514403")</f>
        <v>0</v>
      </c>
      <c r="K113" t="s">
        <v>2635</v>
      </c>
      <c r="L113" t="s">
        <v>2865</v>
      </c>
      <c r="M113" t="s">
        <v>2969</v>
      </c>
      <c r="O113" t="s">
        <v>2978</v>
      </c>
      <c r="P113" t="s">
        <v>3092</v>
      </c>
      <c r="Q113">
        <v>19</v>
      </c>
      <c r="R113" t="s">
        <v>3342</v>
      </c>
    </row>
    <row r="114" spans="1:19">
      <c r="A114" t="s">
        <v>21</v>
      </c>
      <c r="B114" s="1">
        <f>HYPERLINK("https://cordis.europa.eu/project/id/604981", "604981")</f>
        <v>0</v>
      </c>
      <c r="C114" t="s">
        <v>102</v>
      </c>
      <c r="D114" t="s">
        <v>912</v>
      </c>
      <c r="F114" t="s">
        <v>2149</v>
      </c>
      <c r="G114" t="s">
        <v>2326</v>
      </c>
      <c r="H114" t="s">
        <v>2548</v>
      </c>
      <c r="I114" t="s">
        <v>2556</v>
      </c>
      <c r="J114" s="1">
        <f>HYPERLINK("https://ec.europa.eu/info/funding-tenders/opportunities/portal/screen/how-to-participate/org-details/952611975", "952611975")</f>
        <v>0</v>
      </c>
      <c r="K114" t="s">
        <v>2636</v>
      </c>
      <c r="L114" t="s">
        <v>2866</v>
      </c>
      <c r="M114" t="s">
        <v>2967</v>
      </c>
      <c r="O114" t="s">
        <v>2972</v>
      </c>
      <c r="P114" t="s">
        <v>3093</v>
      </c>
      <c r="Q114">
        <v>21</v>
      </c>
      <c r="R114" t="s">
        <v>3342</v>
      </c>
    </row>
    <row r="115" spans="1:19">
      <c r="A115" t="s">
        <v>21</v>
      </c>
      <c r="B115" s="1">
        <f>HYPERLINK("https://cordis.europa.eu/project/id/605151", "605151")</f>
        <v>0</v>
      </c>
      <c r="C115" t="s">
        <v>103</v>
      </c>
      <c r="D115" t="s">
        <v>913</v>
      </c>
      <c r="F115" t="s">
        <v>2109</v>
      </c>
      <c r="G115" t="s">
        <v>1714</v>
      </c>
      <c r="H115" t="s">
        <v>2548</v>
      </c>
      <c r="I115" t="s">
        <v>2556</v>
      </c>
      <c r="J115" s="1">
        <f>HYPERLINK("https://ec.europa.eu/info/funding-tenders/opportunities/portal/screen/how-to-participate/org-details/998757203", "998757203")</f>
        <v>0</v>
      </c>
      <c r="K115" t="s">
        <v>2575</v>
      </c>
      <c r="L115" t="s">
        <v>2817</v>
      </c>
      <c r="M115" t="s">
        <v>2965</v>
      </c>
      <c r="O115" t="s">
        <v>2973</v>
      </c>
      <c r="P115" t="s">
        <v>3093</v>
      </c>
      <c r="Q115">
        <v>9</v>
      </c>
      <c r="R115" t="s">
        <v>3342</v>
      </c>
    </row>
    <row r="116" spans="1:19">
      <c r="A116" t="s">
        <v>21</v>
      </c>
      <c r="B116" s="1">
        <f>HYPERLINK("https://cordis.europa.eu/project/id/314468", "314468")</f>
        <v>0</v>
      </c>
      <c r="C116" t="s">
        <v>104</v>
      </c>
      <c r="D116" t="s">
        <v>914</v>
      </c>
      <c r="F116" t="s">
        <v>2153</v>
      </c>
      <c r="G116" t="s">
        <v>2360</v>
      </c>
      <c r="H116" t="s">
        <v>2548</v>
      </c>
      <c r="I116" t="s">
        <v>2556</v>
      </c>
      <c r="J116" s="1">
        <f>HYPERLINK("https://ec.europa.eu/info/funding-tenders/opportunities/portal/screen/how-to-participate/org-details/998082180", "998082180")</f>
        <v>0</v>
      </c>
      <c r="K116" t="s">
        <v>2565</v>
      </c>
      <c r="M116" t="s">
        <v>2965</v>
      </c>
      <c r="O116" t="s">
        <v>2973</v>
      </c>
      <c r="P116" t="s">
        <v>3094</v>
      </c>
      <c r="Q116">
        <v>5</v>
      </c>
      <c r="R116" t="s">
        <v>3342</v>
      </c>
      <c r="S116" s="2">
        <v>114525</v>
      </c>
    </row>
    <row r="117" spans="1:19">
      <c r="A117" t="s">
        <v>21</v>
      </c>
      <c r="B117" s="1">
        <f>HYPERLINK("https://cordis.europa.eu/project/id/277936", "277936")</f>
        <v>0</v>
      </c>
      <c r="C117" t="s">
        <v>105</v>
      </c>
      <c r="D117" t="s">
        <v>915</v>
      </c>
      <c r="F117" t="s">
        <v>2123</v>
      </c>
      <c r="G117" t="s">
        <v>2361</v>
      </c>
      <c r="H117" t="s">
        <v>2548</v>
      </c>
      <c r="I117" t="s">
        <v>2556</v>
      </c>
      <c r="J117" s="1">
        <f>HYPERLINK("https://ec.europa.eu/info/funding-tenders/opportunities/portal/screen/how-to-participate/org-details/998225740", "998225740")</f>
        <v>0</v>
      </c>
      <c r="K117" t="s">
        <v>2637</v>
      </c>
      <c r="M117" t="s">
        <v>2965</v>
      </c>
      <c r="O117" t="s">
        <v>2973</v>
      </c>
      <c r="P117" t="s">
        <v>3076</v>
      </c>
      <c r="Q117">
        <v>11</v>
      </c>
      <c r="R117" t="s">
        <v>3342</v>
      </c>
      <c r="S117" s="2">
        <v>20549.12</v>
      </c>
    </row>
    <row r="118" spans="1:19">
      <c r="A118" t="s">
        <v>21</v>
      </c>
      <c r="B118" s="1">
        <f>HYPERLINK("https://cordis.europa.eu/project/id/222881", "222881")</f>
        <v>0</v>
      </c>
      <c r="C118" t="s">
        <v>106</v>
      </c>
      <c r="D118" t="s">
        <v>916</v>
      </c>
      <c r="F118" t="s">
        <v>2154</v>
      </c>
      <c r="G118" t="s">
        <v>2347</v>
      </c>
      <c r="H118" t="s">
        <v>2548</v>
      </c>
      <c r="I118" t="s">
        <v>2556</v>
      </c>
      <c r="J118" s="1">
        <f>HYPERLINK("https://ec.europa.eu/info/funding-tenders/opportunities/portal/screen/how-to-participate/org-details/998225740", "998225740")</f>
        <v>0</v>
      </c>
      <c r="K118" t="s">
        <v>2637</v>
      </c>
      <c r="M118" t="s">
        <v>2965</v>
      </c>
      <c r="O118" t="s">
        <v>2983</v>
      </c>
      <c r="P118" t="s">
        <v>3069</v>
      </c>
      <c r="Q118">
        <v>12</v>
      </c>
      <c r="R118" t="s">
        <v>3342</v>
      </c>
      <c r="S118" s="2">
        <v>57374</v>
      </c>
    </row>
    <row r="119" spans="1:19">
      <c r="A119" t="s">
        <v>21</v>
      </c>
      <c r="B119" s="1">
        <f>HYPERLINK("https://cordis.europa.eu/project/id/283562", "283562")</f>
        <v>0</v>
      </c>
      <c r="C119" t="s">
        <v>107</v>
      </c>
      <c r="D119" t="s">
        <v>917</v>
      </c>
      <c r="F119" t="s">
        <v>2155</v>
      </c>
      <c r="G119" t="s">
        <v>2317</v>
      </c>
      <c r="H119" t="s">
        <v>2548</v>
      </c>
      <c r="I119" t="s">
        <v>2556</v>
      </c>
      <c r="J119" s="1">
        <f>HYPERLINK("https://ec.europa.eu/info/funding-tenders/opportunities/portal/screen/how-to-participate/org-details/998826946", "998826946")</f>
        <v>0</v>
      </c>
      <c r="K119" t="s">
        <v>2617</v>
      </c>
      <c r="L119" t="s">
        <v>2848</v>
      </c>
      <c r="M119" t="s">
        <v>2965</v>
      </c>
      <c r="O119" t="s">
        <v>2988</v>
      </c>
      <c r="P119" t="s">
        <v>3095</v>
      </c>
      <c r="Q119">
        <v>2</v>
      </c>
      <c r="R119" t="s">
        <v>3342</v>
      </c>
      <c r="S119" s="2">
        <v>75000</v>
      </c>
    </row>
    <row r="120" spans="1:19">
      <c r="A120" t="s">
        <v>21</v>
      </c>
      <c r="B120" s="1">
        <f>HYPERLINK("https://cordis.europa.eu/project/id/201588", "201588")</f>
        <v>0</v>
      </c>
      <c r="C120" t="s">
        <v>108</v>
      </c>
      <c r="D120" t="s">
        <v>918</v>
      </c>
      <c r="F120" t="s">
        <v>2132</v>
      </c>
      <c r="G120" t="s">
        <v>2327</v>
      </c>
      <c r="H120" t="s">
        <v>2550</v>
      </c>
      <c r="I120" t="s">
        <v>2558</v>
      </c>
      <c r="J120" s="1">
        <f>HYPERLINK("https://ec.europa.eu/info/funding-tenders/opportunities/portal/screen/how-to-participate/org-details/995752046", "995752046")</f>
        <v>0</v>
      </c>
      <c r="K120" t="s">
        <v>2638</v>
      </c>
      <c r="L120" t="s">
        <v>2867</v>
      </c>
      <c r="M120" t="s">
        <v>2966</v>
      </c>
      <c r="O120" t="s">
        <v>2973</v>
      </c>
      <c r="P120" t="s">
        <v>3087</v>
      </c>
      <c r="Q120">
        <v>4</v>
      </c>
      <c r="R120" t="s">
        <v>3342</v>
      </c>
      <c r="S120" s="2">
        <v>282000</v>
      </c>
    </row>
    <row r="121" spans="1:19">
      <c r="A121" t="s">
        <v>21</v>
      </c>
      <c r="B121" s="1">
        <f>HYPERLINK("https://cordis.europa.eu/project/id/223646", "223646")</f>
        <v>0</v>
      </c>
      <c r="C121" t="s">
        <v>109</v>
      </c>
      <c r="D121" t="s">
        <v>919</v>
      </c>
      <c r="F121" t="s">
        <v>2134</v>
      </c>
      <c r="G121" t="s">
        <v>2359</v>
      </c>
      <c r="H121" t="s">
        <v>2548</v>
      </c>
      <c r="I121" t="s">
        <v>2556</v>
      </c>
      <c r="J121" s="1">
        <f>HYPERLINK("https://ec.europa.eu/info/funding-tenders/opportunities/portal/screen/how-to-participate/org-details/999894043", "999894043")</f>
        <v>0</v>
      </c>
      <c r="K121" t="s">
        <v>2568</v>
      </c>
      <c r="L121" t="s">
        <v>2812</v>
      </c>
      <c r="M121" t="s">
        <v>2965</v>
      </c>
      <c r="O121" t="s">
        <v>2973</v>
      </c>
      <c r="P121" t="s">
        <v>3069</v>
      </c>
      <c r="Q121">
        <v>7</v>
      </c>
      <c r="R121" t="s">
        <v>3342</v>
      </c>
    </row>
    <row r="122" spans="1:19">
      <c r="A122" t="s">
        <v>21</v>
      </c>
      <c r="B122" s="1">
        <f>HYPERLINK("https://cordis.europa.eu/project/id/305564", "305564")</f>
        <v>0</v>
      </c>
      <c r="C122" t="s">
        <v>110</v>
      </c>
      <c r="D122" t="s">
        <v>920</v>
      </c>
      <c r="F122" t="s">
        <v>2144</v>
      </c>
      <c r="G122" t="s">
        <v>2362</v>
      </c>
      <c r="H122" t="s">
        <v>2549</v>
      </c>
      <c r="I122" t="s">
        <v>2557</v>
      </c>
      <c r="J122" s="1">
        <f>HYPERLINK("https://ec.europa.eu/info/funding-tenders/opportunities/portal/screen/how-to-participate/org-details/999613131", "999613131")</f>
        <v>0</v>
      </c>
      <c r="K122" t="s">
        <v>2591</v>
      </c>
      <c r="L122" t="s">
        <v>2831</v>
      </c>
      <c r="M122" t="s">
        <v>2965</v>
      </c>
      <c r="O122" t="s">
        <v>2972</v>
      </c>
      <c r="P122" t="s">
        <v>3054</v>
      </c>
      <c r="Q122">
        <v>11</v>
      </c>
      <c r="R122" t="s">
        <v>3342</v>
      </c>
      <c r="S122" s="2">
        <v>18000</v>
      </c>
    </row>
    <row r="123" spans="1:19">
      <c r="A123" t="s">
        <v>21</v>
      </c>
      <c r="B123" s="1">
        <f>HYPERLINK("https://cordis.europa.eu/project/id/211638", "211638")</f>
        <v>0</v>
      </c>
      <c r="C123" t="s">
        <v>111</v>
      </c>
      <c r="D123" t="s">
        <v>921</v>
      </c>
      <c r="F123" t="s">
        <v>2150</v>
      </c>
      <c r="G123" t="s">
        <v>2363</v>
      </c>
      <c r="H123" t="s">
        <v>2549</v>
      </c>
      <c r="I123" t="s">
        <v>2557</v>
      </c>
      <c r="J123" s="1">
        <f>HYPERLINK("https://ec.europa.eu/info/funding-tenders/opportunities/portal/screen/how-to-participate/org-details/998811717", "998811717")</f>
        <v>0</v>
      </c>
      <c r="K123" t="s">
        <v>2639</v>
      </c>
      <c r="L123" t="s">
        <v>2868</v>
      </c>
      <c r="M123" t="s">
        <v>2966</v>
      </c>
      <c r="O123" t="s">
        <v>2973</v>
      </c>
      <c r="P123" t="s">
        <v>3061</v>
      </c>
      <c r="Q123">
        <v>7</v>
      </c>
      <c r="R123" t="s">
        <v>3342</v>
      </c>
      <c r="S123" s="2">
        <v>25000</v>
      </c>
    </row>
    <row r="124" spans="1:19">
      <c r="A124" t="s">
        <v>21</v>
      </c>
      <c r="B124" s="1">
        <f>HYPERLINK("https://cordis.europa.eu/project/id/288048", "288048")</f>
        <v>0</v>
      </c>
      <c r="C124" t="s">
        <v>112</v>
      </c>
      <c r="D124" t="s">
        <v>922</v>
      </c>
      <c r="F124" t="s">
        <v>2156</v>
      </c>
      <c r="G124" t="s">
        <v>2364</v>
      </c>
      <c r="H124" t="s">
        <v>2548</v>
      </c>
      <c r="I124" t="s">
        <v>2556</v>
      </c>
      <c r="J124" s="1">
        <f>HYPERLINK("https://ec.europa.eu/info/funding-tenders/opportunities/portal/screen/how-to-participate/org-details/999561042", "999561042")</f>
        <v>0</v>
      </c>
      <c r="K124" t="s">
        <v>2566</v>
      </c>
      <c r="L124" t="s">
        <v>2810</v>
      </c>
      <c r="M124" t="s">
        <v>2966</v>
      </c>
      <c r="O124" t="s">
        <v>2970</v>
      </c>
      <c r="P124" t="s">
        <v>3096</v>
      </c>
      <c r="Q124">
        <v>5</v>
      </c>
      <c r="R124" t="s">
        <v>3342</v>
      </c>
      <c r="S124" s="2">
        <v>104265</v>
      </c>
    </row>
    <row r="125" spans="1:19">
      <c r="A125" t="s">
        <v>21</v>
      </c>
      <c r="B125" s="1">
        <f>HYPERLINK("https://cordis.europa.eu/project/id/294557", "294557")</f>
        <v>0</v>
      </c>
      <c r="C125" t="s">
        <v>113</v>
      </c>
      <c r="D125" t="s">
        <v>923</v>
      </c>
      <c r="F125" t="s">
        <v>2157</v>
      </c>
      <c r="G125" t="s">
        <v>2365</v>
      </c>
      <c r="H125" t="s">
        <v>2548</v>
      </c>
      <c r="I125" t="s">
        <v>2556</v>
      </c>
      <c r="J125" s="1">
        <f>HYPERLINK("https://ec.europa.eu/info/funding-tenders/opportunities/portal/screen/how-to-participate/org-details/998826946", "998826946")</f>
        <v>0</v>
      </c>
      <c r="K125" t="s">
        <v>2617</v>
      </c>
      <c r="L125" t="s">
        <v>2848</v>
      </c>
      <c r="M125" t="s">
        <v>2965</v>
      </c>
      <c r="O125" t="s">
        <v>2976</v>
      </c>
      <c r="P125" t="s">
        <v>3097</v>
      </c>
      <c r="Q125">
        <v>2</v>
      </c>
      <c r="R125" t="s">
        <v>3342</v>
      </c>
      <c r="S125" s="2">
        <v>12000</v>
      </c>
    </row>
    <row r="126" spans="1:19">
      <c r="A126" t="s">
        <v>21</v>
      </c>
      <c r="B126" s="1">
        <f>HYPERLINK("https://cordis.europa.eu/project/id/223592", "223592")</f>
        <v>0</v>
      </c>
      <c r="C126" t="s">
        <v>114</v>
      </c>
      <c r="D126" t="s">
        <v>924</v>
      </c>
      <c r="F126" t="s">
        <v>2134</v>
      </c>
      <c r="G126" t="s">
        <v>2319</v>
      </c>
      <c r="H126" t="s">
        <v>2548</v>
      </c>
      <c r="I126" t="s">
        <v>2556</v>
      </c>
      <c r="J126" s="1">
        <f>HYPERLINK("https://ec.europa.eu/info/funding-tenders/opportunities/portal/screen/how-to-participate/org-details/998711419", "998711419")</f>
        <v>0</v>
      </c>
      <c r="K126" t="s">
        <v>2628</v>
      </c>
      <c r="M126" t="s">
        <v>2965</v>
      </c>
      <c r="O126" t="s">
        <v>2979</v>
      </c>
      <c r="P126" t="s">
        <v>3069</v>
      </c>
      <c r="Q126">
        <v>7</v>
      </c>
      <c r="R126" t="s">
        <v>3342</v>
      </c>
      <c r="S126" s="2">
        <v>120419</v>
      </c>
    </row>
    <row r="127" spans="1:19">
      <c r="A127" t="s">
        <v>21</v>
      </c>
      <c r="B127" s="1">
        <f>HYPERLINK("https://cordis.europa.eu/project/id/261060", "261060")</f>
        <v>0</v>
      </c>
      <c r="C127" t="s">
        <v>115</v>
      </c>
      <c r="D127" t="s">
        <v>925</v>
      </c>
      <c r="F127" t="s">
        <v>2130</v>
      </c>
      <c r="G127" t="s">
        <v>2358</v>
      </c>
      <c r="H127" t="s">
        <v>2548</v>
      </c>
      <c r="I127" t="s">
        <v>2556</v>
      </c>
      <c r="J127" s="1">
        <f>HYPERLINK("https://ec.europa.eu/info/funding-tenders/opportunities/portal/screen/how-to-participate/org-details/996325704", "996325704")</f>
        <v>0</v>
      </c>
      <c r="K127" t="s">
        <v>2640</v>
      </c>
      <c r="L127" t="s">
        <v>2869</v>
      </c>
      <c r="M127" t="s">
        <v>2966</v>
      </c>
      <c r="O127" t="s">
        <v>2989</v>
      </c>
      <c r="P127" t="s">
        <v>3038</v>
      </c>
      <c r="Q127">
        <v>22</v>
      </c>
      <c r="R127" t="s">
        <v>3342</v>
      </c>
      <c r="S127" s="2">
        <v>578100.01</v>
      </c>
    </row>
    <row r="128" spans="1:19">
      <c r="A128" t="s">
        <v>21</v>
      </c>
      <c r="B128" s="1">
        <f>HYPERLINK("https://cordis.europa.eu/project/id/312818", "312818")</f>
        <v>0</v>
      </c>
      <c r="C128" t="s">
        <v>116</v>
      </c>
      <c r="D128" t="s">
        <v>926</v>
      </c>
      <c r="F128" t="s">
        <v>2158</v>
      </c>
      <c r="G128" t="s">
        <v>2355</v>
      </c>
      <c r="H128" t="s">
        <v>2548</v>
      </c>
      <c r="I128" t="s">
        <v>2556</v>
      </c>
      <c r="J128" s="1">
        <f>HYPERLINK("https://ec.europa.eu/info/funding-tenders/opportunities/portal/screen/how-to-participate/org-details/972460212", "972460212")</f>
        <v>0</v>
      </c>
      <c r="K128" t="s">
        <v>2641</v>
      </c>
      <c r="L128" t="s">
        <v>2870</v>
      </c>
      <c r="M128" t="s">
        <v>2965</v>
      </c>
      <c r="O128" t="s">
        <v>2973</v>
      </c>
      <c r="P128" t="s">
        <v>3098</v>
      </c>
      <c r="Q128">
        <v>6</v>
      </c>
      <c r="R128" t="s">
        <v>3342</v>
      </c>
      <c r="S128" s="2">
        <v>302399.2</v>
      </c>
    </row>
    <row r="129" spans="1:19">
      <c r="A129" t="s">
        <v>21</v>
      </c>
      <c r="B129" s="1">
        <f>HYPERLINK("https://cordis.europa.eu/project/id/600925", "600925")</f>
        <v>0</v>
      </c>
      <c r="C129" t="s">
        <v>117</v>
      </c>
      <c r="D129" t="s">
        <v>927</v>
      </c>
      <c r="F129" t="s">
        <v>2158</v>
      </c>
      <c r="G129" t="s">
        <v>2358</v>
      </c>
      <c r="H129" t="s">
        <v>2548</v>
      </c>
      <c r="I129" t="s">
        <v>2556</v>
      </c>
      <c r="J129" s="1">
        <f>HYPERLINK("https://ec.europa.eu/info/funding-tenders/opportunities/portal/screen/how-to-participate/org-details/972460212", "972460212")</f>
        <v>0</v>
      </c>
      <c r="K129" t="s">
        <v>2641</v>
      </c>
      <c r="L129" t="s">
        <v>2870</v>
      </c>
      <c r="M129" t="s">
        <v>2965</v>
      </c>
      <c r="O129" t="s">
        <v>2970</v>
      </c>
      <c r="P129" t="s">
        <v>3099</v>
      </c>
      <c r="Q129">
        <v>4</v>
      </c>
      <c r="R129" t="s">
        <v>3342</v>
      </c>
      <c r="S129" s="2">
        <v>0</v>
      </c>
    </row>
    <row r="130" spans="1:19">
      <c r="A130" t="s">
        <v>21</v>
      </c>
      <c r="B130" s="1">
        <f>HYPERLINK("https://cordis.europa.eu/project/id/319055", "319055")</f>
        <v>0</v>
      </c>
      <c r="C130" t="s">
        <v>118</v>
      </c>
      <c r="D130" t="s">
        <v>928</v>
      </c>
      <c r="F130" t="s">
        <v>2153</v>
      </c>
      <c r="G130" t="s">
        <v>2366</v>
      </c>
      <c r="H130" t="s">
        <v>2548</v>
      </c>
      <c r="I130" t="s">
        <v>2556</v>
      </c>
      <c r="J130" s="1">
        <f>HYPERLINK("https://ec.europa.eu/info/funding-tenders/opportunities/portal/screen/how-to-participate/org-details/953386423", "953386423")</f>
        <v>0</v>
      </c>
      <c r="K130" t="s">
        <v>2642</v>
      </c>
      <c r="L130" t="s">
        <v>2871</v>
      </c>
      <c r="M130" t="s">
        <v>2967</v>
      </c>
      <c r="O130" t="s">
        <v>2978</v>
      </c>
      <c r="P130" t="s">
        <v>3100</v>
      </c>
      <c r="Q130">
        <v>9</v>
      </c>
      <c r="R130" t="s">
        <v>3342</v>
      </c>
    </row>
    <row r="131" spans="1:19">
      <c r="A131" t="s">
        <v>21</v>
      </c>
      <c r="B131" s="1">
        <f>HYPERLINK("https://cordis.europa.eu/project/id/288702", "288702")</f>
        <v>0</v>
      </c>
      <c r="C131" t="s">
        <v>119</v>
      </c>
      <c r="D131" t="s">
        <v>929</v>
      </c>
      <c r="F131" t="s">
        <v>2159</v>
      </c>
      <c r="G131" t="s">
        <v>2334</v>
      </c>
      <c r="H131" t="s">
        <v>2548</v>
      </c>
      <c r="I131" t="s">
        <v>2556</v>
      </c>
      <c r="J131" s="1">
        <f>HYPERLINK("https://ec.europa.eu/info/funding-tenders/opportunities/portal/screen/how-to-participate/org-details/964840474", "964840474")</f>
        <v>0</v>
      </c>
      <c r="K131" t="s">
        <v>2643</v>
      </c>
      <c r="L131" t="s">
        <v>2872</v>
      </c>
      <c r="M131" t="s">
        <v>2968</v>
      </c>
      <c r="O131" t="s">
        <v>2985</v>
      </c>
      <c r="P131" t="s">
        <v>3096</v>
      </c>
      <c r="Q131">
        <v>2</v>
      </c>
      <c r="R131" t="s">
        <v>3342</v>
      </c>
      <c r="S131" s="2">
        <v>0</v>
      </c>
    </row>
    <row r="132" spans="1:19">
      <c r="A132" t="s">
        <v>21</v>
      </c>
      <c r="B132" s="1">
        <f>HYPERLINK("https://cordis.europa.eu/project/id/244096", "244096")</f>
        <v>0</v>
      </c>
      <c r="C132" t="s">
        <v>120</v>
      </c>
      <c r="D132" t="s">
        <v>930</v>
      </c>
      <c r="F132" t="s">
        <v>2117</v>
      </c>
      <c r="G132" t="s">
        <v>2367</v>
      </c>
      <c r="H132" t="s">
        <v>2548</v>
      </c>
      <c r="I132" t="s">
        <v>2556</v>
      </c>
      <c r="J132" s="1">
        <f>HYPERLINK("https://ec.europa.eu/info/funding-tenders/opportunities/portal/screen/how-to-participate/org-details/998804636", "998804636")</f>
        <v>0</v>
      </c>
      <c r="K132" t="s">
        <v>2612</v>
      </c>
      <c r="L132" t="s">
        <v>2845</v>
      </c>
      <c r="M132" t="s">
        <v>2965</v>
      </c>
      <c r="O132" t="s">
        <v>2978</v>
      </c>
      <c r="P132" t="s">
        <v>3065</v>
      </c>
      <c r="Q132">
        <v>15</v>
      </c>
      <c r="R132" t="s">
        <v>3342</v>
      </c>
    </row>
    <row r="133" spans="1:19">
      <c r="A133" t="s">
        <v>21</v>
      </c>
      <c r="B133" s="1">
        <f>HYPERLINK("https://cordis.europa.eu/project/id/244096", "244096")</f>
        <v>0</v>
      </c>
      <c r="C133" t="s">
        <v>120</v>
      </c>
      <c r="D133" t="s">
        <v>930</v>
      </c>
      <c r="F133" t="s">
        <v>2117</v>
      </c>
      <c r="G133" t="s">
        <v>2367</v>
      </c>
      <c r="H133" t="s">
        <v>2548</v>
      </c>
      <c r="I133" t="s">
        <v>2556</v>
      </c>
      <c r="J133" s="1">
        <f>HYPERLINK("https://ec.europa.eu/info/funding-tenders/opportunities/portal/screen/how-to-participate/org-details/998082180", "998082180")</f>
        <v>0</v>
      </c>
      <c r="K133" t="s">
        <v>2565</v>
      </c>
      <c r="M133" t="s">
        <v>2965</v>
      </c>
      <c r="O133" t="s">
        <v>2978</v>
      </c>
      <c r="P133" t="s">
        <v>3065</v>
      </c>
      <c r="Q133">
        <v>17</v>
      </c>
      <c r="R133" t="s">
        <v>3342</v>
      </c>
    </row>
    <row r="134" spans="1:19">
      <c r="A134" t="s">
        <v>21</v>
      </c>
      <c r="B134" s="1">
        <f>HYPERLINK("https://cordis.europa.eu/project/id/263218", "263218")</f>
        <v>0</v>
      </c>
      <c r="C134" t="s">
        <v>121</v>
      </c>
      <c r="D134" t="s">
        <v>931</v>
      </c>
      <c r="F134" t="s">
        <v>2118</v>
      </c>
      <c r="G134" t="s">
        <v>2368</v>
      </c>
      <c r="H134" t="s">
        <v>2549</v>
      </c>
      <c r="I134" t="s">
        <v>2557</v>
      </c>
      <c r="J134" s="1">
        <f>HYPERLINK("https://ec.europa.eu/info/funding-tenders/opportunities/portal/screen/how-to-participate/org-details/998331567", "998331567")</f>
        <v>0</v>
      </c>
      <c r="K134" t="s">
        <v>2573</v>
      </c>
      <c r="M134" t="s">
        <v>2965</v>
      </c>
      <c r="O134" t="s">
        <v>2970</v>
      </c>
      <c r="P134" t="s">
        <v>3101</v>
      </c>
      <c r="Q134">
        <v>6</v>
      </c>
      <c r="R134" t="s">
        <v>3342</v>
      </c>
      <c r="S134" s="2">
        <v>352357</v>
      </c>
    </row>
    <row r="135" spans="1:19">
      <c r="A135" t="s">
        <v>21</v>
      </c>
      <c r="B135" s="1">
        <f>HYPERLINK("https://cordis.europa.eu/project/id/263147", "263147")</f>
        <v>0</v>
      </c>
      <c r="C135" t="s">
        <v>122</v>
      </c>
      <c r="D135" t="s">
        <v>932</v>
      </c>
      <c r="F135" t="s">
        <v>2160</v>
      </c>
      <c r="G135" t="s">
        <v>2369</v>
      </c>
      <c r="H135" t="s">
        <v>2548</v>
      </c>
      <c r="I135" t="s">
        <v>2556</v>
      </c>
      <c r="J135" s="1">
        <f>HYPERLINK("https://ec.europa.eu/info/funding-tenders/opportunities/portal/screen/how-to-participate/org-details/998826946", "998826946")</f>
        <v>0</v>
      </c>
      <c r="K135" t="s">
        <v>2617</v>
      </c>
      <c r="L135" t="s">
        <v>2848</v>
      </c>
      <c r="M135" t="s">
        <v>2965</v>
      </c>
      <c r="O135" t="s">
        <v>2972</v>
      </c>
      <c r="P135" t="s">
        <v>3102</v>
      </c>
      <c r="Q135">
        <v>21</v>
      </c>
      <c r="R135" t="s">
        <v>3342</v>
      </c>
    </row>
    <row r="136" spans="1:19">
      <c r="A136" t="s">
        <v>21</v>
      </c>
      <c r="B136" s="1">
        <f>HYPERLINK("https://cordis.europa.eu/project/id/226824", "226824")</f>
        <v>0</v>
      </c>
      <c r="C136" t="s">
        <v>123</v>
      </c>
      <c r="D136" t="s">
        <v>933</v>
      </c>
      <c r="F136" t="s">
        <v>2161</v>
      </c>
      <c r="G136" t="s">
        <v>2370</v>
      </c>
      <c r="H136" t="s">
        <v>2548</v>
      </c>
      <c r="I136" t="s">
        <v>2556</v>
      </c>
      <c r="J136" s="1">
        <f>HYPERLINK("https://ec.europa.eu/info/funding-tenders/opportunities/portal/screen/how-to-participate/org-details/996719233", "996719233")</f>
        <v>0</v>
      </c>
      <c r="K136" t="s">
        <v>2644</v>
      </c>
      <c r="L136" t="s">
        <v>2873</v>
      </c>
      <c r="M136" t="s">
        <v>2968</v>
      </c>
      <c r="O136" t="s">
        <v>2979</v>
      </c>
      <c r="P136" t="s">
        <v>3103</v>
      </c>
      <c r="Q136">
        <v>10</v>
      </c>
      <c r="R136" t="s">
        <v>3342</v>
      </c>
      <c r="S136" s="2">
        <v>57994</v>
      </c>
    </row>
    <row r="137" spans="1:19">
      <c r="A137" t="s">
        <v>21</v>
      </c>
      <c r="B137" s="1">
        <f>HYPERLINK("https://cordis.europa.eu/project/id/312450", "312450")</f>
        <v>0</v>
      </c>
      <c r="C137" t="s">
        <v>124</v>
      </c>
      <c r="D137" t="s">
        <v>934</v>
      </c>
      <c r="F137" t="s">
        <v>2125</v>
      </c>
      <c r="G137" t="s">
        <v>1701</v>
      </c>
      <c r="H137" t="s">
        <v>2548</v>
      </c>
      <c r="I137" t="s">
        <v>2556</v>
      </c>
      <c r="J137" s="1">
        <f>HYPERLINK("https://ec.europa.eu/info/funding-tenders/opportunities/portal/screen/how-to-participate/org-details/998804636", "998804636")</f>
        <v>0</v>
      </c>
      <c r="K137" t="s">
        <v>2612</v>
      </c>
      <c r="L137" t="s">
        <v>2845</v>
      </c>
      <c r="M137" t="s">
        <v>2965</v>
      </c>
      <c r="O137" t="s">
        <v>2989</v>
      </c>
      <c r="P137" t="s">
        <v>3068</v>
      </c>
      <c r="Q137">
        <v>11</v>
      </c>
      <c r="R137" t="s">
        <v>3342</v>
      </c>
      <c r="S137" s="2">
        <v>14000</v>
      </c>
    </row>
    <row r="138" spans="1:19">
      <c r="A138" t="s">
        <v>21</v>
      </c>
      <c r="B138" s="1">
        <f>HYPERLINK("https://cordis.europa.eu/project/id/266018", "266018")</f>
        <v>0</v>
      </c>
      <c r="C138" t="s">
        <v>125</v>
      </c>
      <c r="D138" t="s">
        <v>935</v>
      </c>
      <c r="F138" t="s">
        <v>2162</v>
      </c>
      <c r="G138" t="s">
        <v>2333</v>
      </c>
      <c r="H138" t="s">
        <v>2549</v>
      </c>
      <c r="I138" t="s">
        <v>2557</v>
      </c>
      <c r="J138" s="1">
        <f>HYPERLINK("https://ec.europa.eu/info/funding-tenders/opportunities/portal/screen/how-to-participate/org-details/996306013", "996306013")</f>
        <v>0</v>
      </c>
      <c r="K138" t="s">
        <v>2645</v>
      </c>
      <c r="M138" t="s">
        <v>2966</v>
      </c>
      <c r="O138" t="s">
        <v>2986</v>
      </c>
      <c r="P138" t="s">
        <v>3047</v>
      </c>
      <c r="Q138">
        <v>22</v>
      </c>
      <c r="R138" t="s">
        <v>3342</v>
      </c>
    </row>
    <row r="139" spans="1:19">
      <c r="A139" t="s">
        <v>21</v>
      </c>
      <c r="B139" s="1">
        <f>HYPERLINK("https://cordis.europa.eu/project/id/310177", "310177")</f>
        <v>0</v>
      </c>
      <c r="C139" t="s">
        <v>126</v>
      </c>
      <c r="D139" t="s">
        <v>936</v>
      </c>
      <c r="F139" t="s">
        <v>2144</v>
      </c>
      <c r="G139" t="s">
        <v>1820</v>
      </c>
      <c r="H139" t="s">
        <v>2548</v>
      </c>
      <c r="I139" t="s">
        <v>2556</v>
      </c>
      <c r="J139" s="1">
        <f>HYPERLINK("https://ec.europa.eu/info/funding-tenders/opportunities/portal/screen/how-to-participate/org-details/998826946", "998826946")</f>
        <v>0</v>
      </c>
      <c r="K139" t="s">
        <v>2617</v>
      </c>
      <c r="L139" t="s">
        <v>2848</v>
      </c>
      <c r="M139" t="s">
        <v>2965</v>
      </c>
      <c r="O139" t="s">
        <v>2983</v>
      </c>
      <c r="P139" t="s">
        <v>3104</v>
      </c>
      <c r="Q139">
        <v>7</v>
      </c>
      <c r="R139" t="s">
        <v>3342</v>
      </c>
    </row>
    <row r="140" spans="1:19">
      <c r="A140" t="s">
        <v>21</v>
      </c>
      <c r="B140" s="1">
        <f>HYPERLINK("https://cordis.europa.eu/project/id/265156", "265156")</f>
        <v>0</v>
      </c>
      <c r="C140" t="s">
        <v>127</v>
      </c>
      <c r="D140" t="s">
        <v>937</v>
      </c>
      <c r="F140" t="s">
        <v>2152</v>
      </c>
      <c r="G140" t="s">
        <v>2352</v>
      </c>
      <c r="H140" t="s">
        <v>2548</v>
      </c>
      <c r="I140" t="s">
        <v>2556</v>
      </c>
      <c r="J140" s="1">
        <f>HYPERLINK("https://ec.europa.eu/info/funding-tenders/opportunities/portal/screen/how-to-participate/org-details/998354750", "998354750")</f>
        <v>0</v>
      </c>
      <c r="K140" t="s">
        <v>2596</v>
      </c>
      <c r="L140" t="s">
        <v>2834</v>
      </c>
      <c r="M140" t="s">
        <v>2969</v>
      </c>
      <c r="O140" t="s">
        <v>2973</v>
      </c>
      <c r="P140" t="s">
        <v>3071</v>
      </c>
      <c r="Q140">
        <v>17</v>
      </c>
      <c r="R140" t="s">
        <v>3342</v>
      </c>
    </row>
    <row r="141" spans="1:19">
      <c r="A141" t="s">
        <v>21</v>
      </c>
      <c r="B141" s="1">
        <f>HYPERLINK("https://cordis.europa.eu/project/id/284501", "284501")</f>
        <v>0</v>
      </c>
      <c r="C141" t="s">
        <v>128</v>
      </c>
      <c r="D141" t="s">
        <v>938</v>
      </c>
      <c r="F141" t="s">
        <v>2159</v>
      </c>
      <c r="G141" t="s">
        <v>2371</v>
      </c>
      <c r="H141" t="s">
        <v>2548</v>
      </c>
      <c r="I141" t="s">
        <v>2556</v>
      </c>
      <c r="J141" s="1">
        <f>HYPERLINK("https://ec.europa.eu/info/funding-tenders/opportunities/portal/screen/how-to-participate/org-details/995410024", "995410024")</f>
        <v>0</v>
      </c>
      <c r="K141" t="s">
        <v>2646</v>
      </c>
      <c r="L141" t="s">
        <v>2874</v>
      </c>
      <c r="O141" t="s">
        <v>2979</v>
      </c>
      <c r="P141" t="s">
        <v>3105</v>
      </c>
      <c r="Q141">
        <v>5</v>
      </c>
      <c r="R141" t="s">
        <v>3342</v>
      </c>
    </row>
    <row r="142" spans="1:19">
      <c r="A142" t="s">
        <v>21</v>
      </c>
      <c r="B142" s="1">
        <f>HYPERLINK("https://cordis.europa.eu/project/id/312993", "312993")</f>
        <v>0</v>
      </c>
      <c r="C142" t="s">
        <v>129</v>
      </c>
      <c r="D142" t="s">
        <v>939</v>
      </c>
      <c r="F142" t="s">
        <v>2158</v>
      </c>
      <c r="G142" t="s">
        <v>2372</v>
      </c>
      <c r="H142" t="s">
        <v>2548</v>
      </c>
      <c r="I142" t="s">
        <v>2556</v>
      </c>
      <c r="J142" s="1">
        <f>HYPERLINK("https://ec.europa.eu/info/funding-tenders/opportunities/portal/screen/how-to-participate/org-details/956780356", "956780356")</f>
        <v>0</v>
      </c>
      <c r="K142" t="s">
        <v>2647</v>
      </c>
      <c r="L142" t="s">
        <v>2875</v>
      </c>
      <c r="M142" t="s">
        <v>2967</v>
      </c>
      <c r="O142" t="s">
        <v>2973</v>
      </c>
      <c r="P142" t="s">
        <v>3098</v>
      </c>
      <c r="Q142">
        <v>9</v>
      </c>
      <c r="R142" t="s">
        <v>3342</v>
      </c>
      <c r="S142" s="2">
        <v>34755</v>
      </c>
    </row>
    <row r="143" spans="1:19">
      <c r="A143" t="s">
        <v>21</v>
      </c>
      <c r="B143" s="1">
        <f>HYPERLINK("https://cordis.europa.eu/project/id/601806", "601806")</f>
        <v>0</v>
      </c>
      <c r="C143" t="s">
        <v>130</v>
      </c>
      <c r="D143" t="s">
        <v>940</v>
      </c>
      <c r="F143" t="s">
        <v>2109</v>
      </c>
      <c r="G143" t="s">
        <v>2326</v>
      </c>
      <c r="H143" t="s">
        <v>2548</v>
      </c>
      <c r="I143" t="s">
        <v>2556</v>
      </c>
      <c r="J143" s="1">
        <f>HYPERLINK("https://ec.europa.eu/info/funding-tenders/opportunities/portal/screen/how-to-participate/org-details/998826946", "998826946")</f>
        <v>0</v>
      </c>
      <c r="K143" t="s">
        <v>2617</v>
      </c>
      <c r="L143" t="s">
        <v>2848</v>
      </c>
      <c r="M143" t="s">
        <v>2965</v>
      </c>
      <c r="O143" t="s">
        <v>2978</v>
      </c>
      <c r="P143" t="s">
        <v>3037</v>
      </c>
      <c r="Q143">
        <v>9</v>
      </c>
      <c r="R143" t="s">
        <v>3342</v>
      </c>
      <c r="S143" s="2">
        <v>42350</v>
      </c>
    </row>
    <row r="144" spans="1:19">
      <c r="A144" t="s">
        <v>21</v>
      </c>
      <c r="B144" s="1">
        <f>HYPERLINK("https://cordis.europa.eu/project/id/260777", "260777")</f>
        <v>0</v>
      </c>
      <c r="C144" t="s">
        <v>131</v>
      </c>
      <c r="D144" t="s">
        <v>941</v>
      </c>
      <c r="F144" t="s">
        <v>2112</v>
      </c>
      <c r="G144" t="s">
        <v>2373</v>
      </c>
      <c r="H144" t="s">
        <v>2548</v>
      </c>
      <c r="I144" t="s">
        <v>2556</v>
      </c>
      <c r="J144" s="1">
        <f>HYPERLINK("https://ec.europa.eu/info/funding-tenders/opportunities/portal/screen/how-to-participate/org-details/984883972", "984883972")</f>
        <v>0</v>
      </c>
      <c r="K144" t="s">
        <v>2648</v>
      </c>
      <c r="L144" t="s">
        <v>2876</v>
      </c>
      <c r="M144" t="s">
        <v>2966</v>
      </c>
      <c r="O144" t="s">
        <v>2973</v>
      </c>
      <c r="P144" t="s">
        <v>3038</v>
      </c>
      <c r="Q144">
        <v>4</v>
      </c>
      <c r="R144" t="s">
        <v>3342</v>
      </c>
      <c r="S144" s="2">
        <v>243375.75</v>
      </c>
    </row>
    <row r="145" spans="1:19">
      <c r="A145" t="s">
        <v>21</v>
      </c>
      <c r="B145" s="1">
        <f>HYPERLINK("https://cordis.europa.eu/project/id/260777", "260777")</f>
        <v>0</v>
      </c>
      <c r="C145" t="s">
        <v>131</v>
      </c>
      <c r="D145" t="s">
        <v>941</v>
      </c>
      <c r="F145" t="s">
        <v>2112</v>
      </c>
      <c r="G145" t="s">
        <v>2373</v>
      </c>
      <c r="H145" t="s">
        <v>2548</v>
      </c>
      <c r="I145" t="s">
        <v>2556</v>
      </c>
      <c r="J145" s="1">
        <f>HYPERLINK("https://ec.europa.eu/info/funding-tenders/opportunities/portal/screen/how-to-participate/org-details/999894043", "999894043")</f>
        <v>0</v>
      </c>
      <c r="K145" t="s">
        <v>2568</v>
      </c>
      <c r="L145" t="s">
        <v>2812</v>
      </c>
      <c r="M145" t="s">
        <v>2965</v>
      </c>
      <c r="O145" t="s">
        <v>2973</v>
      </c>
      <c r="P145" t="s">
        <v>3038</v>
      </c>
      <c r="Q145">
        <v>12</v>
      </c>
      <c r="R145" t="s">
        <v>3342</v>
      </c>
      <c r="S145" s="2">
        <v>183586.5</v>
      </c>
    </row>
    <row r="146" spans="1:19">
      <c r="A146" t="s">
        <v>21</v>
      </c>
      <c r="B146" s="1">
        <f>HYPERLINK("https://cordis.europa.eu/project/id/284801", "284801")</f>
        <v>0</v>
      </c>
      <c r="C146" t="s">
        <v>132</v>
      </c>
      <c r="D146" t="s">
        <v>942</v>
      </c>
      <c r="F146" t="s">
        <v>2138</v>
      </c>
      <c r="G146" t="s">
        <v>2374</v>
      </c>
      <c r="H146" t="s">
        <v>2548</v>
      </c>
      <c r="I146" t="s">
        <v>2556</v>
      </c>
      <c r="J146" s="1">
        <f>HYPERLINK("https://ec.europa.eu/info/funding-tenders/opportunities/portal/screen/how-to-participate/org-details/972460212", "972460212")</f>
        <v>0</v>
      </c>
      <c r="K146" t="s">
        <v>2641</v>
      </c>
      <c r="L146" t="s">
        <v>2870</v>
      </c>
      <c r="M146" t="s">
        <v>2965</v>
      </c>
      <c r="O146" t="s">
        <v>2970</v>
      </c>
      <c r="P146" t="s">
        <v>3106</v>
      </c>
      <c r="Q146">
        <v>3</v>
      </c>
      <c r="R146" t="s">
        <v>3342</v>
      </c>
      <c r="S146" s="2">
        <v>153900</v>
      </c>
    </row>
    <row r="147" spans="1:19">
      <c r="A147" t="s">
        <v>21</v>
      </c>
      <c r="B147" s="1">
        <f>HYPERLINK("https://cordis.europa.eu/project/id/227202", "227202")</f>
        <v>0</v>
      </c>
      <c r="C147" t="s">
        <v>133</v>
      </c>
      <c r="D147" t="s">
        <v>943</v>
      </c>
      <c r="F147" t="s">
        <v>2111</v>
      </c>
      <c r="G147" t="s">
        <v>2357</v>
      </c>
      <c r="H147" t="s">
        <v>2549</v>
      </c>
      <c r="I147" t="s">
        <v>2557</v>
      </c>
      <c r="J147" s="1">
        <f>HYPERLINK("https://ec.europa.eu/info/funding-tenders/opportunities/portal/screen/how-to-participate/org-details/998331567", "998331567")</f>
        <v>0</v>
      </c>
      <c r="K147" t="s">
        <v>2573</v>
      </c>
      <c r="M147" t="s">
        <v>2965</v>
      </c>
      <c r="O147" t="s">
        <v>2973</v>
      </c>
      <c r="P147" t="s">
        <v>3056</v>
      </c>
      <c r="Q147">
        <v>12</v>
      </c>
      <c r="R147" t="s">
        <v>3342</v>
      </c>
      <c r="S147" s="2">
        <v>148740</v>
      </c>
    </row>
    <row r="148" spans="1:19">
      <c r="A148" t="s">
        <v>21</v>
      </c>
      <c r="B148" s="1">
        <f>HYPERLINK("https://cordis.europa.eu/project/id/227202", "227202")</f>
        <v>0</v>
      </c>
      <c r="C148" t="s">
        <v>133</v>
      </c>
      <c r="D148" t="s">
        <v>943</v>
      </c>
      <c r="F148" t="s">
        <v>2111</v>
      </c>
      <c r="G148" t="s">
        <v>2357</v>
      </c>
      <c r="H148" t="s">
        <v>2548</v>
      </c>
      <c r="I148" t="s">
        <v>2556</v>
      </c>
      <c r="J148" s="1">
        <f>HYPERLINK("https://ec.europa.eu/info/funding-tenders/opportunities/portal/screen/how-to-participate/org-details/998082180", "998082180")</f>
        <v>0</v>
      </c>
      <c r="K148" t="s">
        <v>2565</v>
      </c>
      <c r="M148" t="s">
        <v>2965</v>
      </c>
      <c r="O148" t="s">
        <v>2973</v>
      </c>
      <c r="P148" t="s">
        <v>3056</v>
      </c>
      <c r="Q148">
        <v>10</v>
      </c>
      <c r="R148" t="s">
        <v>3342</v>
      </c>
      <c r="S148" s="2">
        <v>100543</v>
      </c>
    </row>
    <row r="149" spans="1:19">
      <c r="A149" t="s">
        <v>21</v>
      </c>
      <c r="B149" s="1">
        <f>HYPERLINK("https://cordis.europa.eu/project/id/265582", "265582")</f>
        <v>0</v>
      </c>
      <c r="C149" t="s">
        <v>134</v>
      </c>
      <c r="D149" t="s">
        <v>944</v>
      </c>
      <c r="F149" t="s">
        <v>2162</v>
      </c>
      <c r="G149" t="s">
        <v>2374</v>
      </c>
      <c r="H149" t="s">
        <v>2549</v>
      </c>
      <c r="I149" t="s">
        <v>2557</v>
      </c>
      <c r="J149" s="1">
        <f>HYPERLINK("https://ec.europa.eu/info/funding-tenders/opportunities/portal/screen/how-to-participate/org-details/998317211", "998317211")</f>
        <v>0</v>
      </c>
      <c r="K149" t="s">
        <v>2649</v>
      </c>
      <c r="M149" t="s">
        <v>2966</v>
      </c>
      <c r="O149" t="s">
        <v>2972</v>
      </c>
      <c r="P149" t="s">
        <v>3047</v>
      </c>
      <c r="Q149">
        <v>23</v>
      </c>
      <c r="R149" t="s">
        <v>3342</v>
      </c>
    </row>
    <row r="150" spans="1:19">
      <c r="A150" t="s">
        <v>21</v>
      </c>
      <c r="B150" s="1">
        <f>HYPERLINK("https://cordis.europa.eu/project/id/225722", "225722")</f>
        <v>0</v>
      </c>
      <c r="C150" t="s">
        <v>135</v>
      </c>
      <c r="D150" t="s">
        <v>945</v>
      </c>
      <c r="F150" t="s">
        <v>2163</v>
      </c>
      <c r="G150" t="s">
        <v>2375</v>
      </c>
      <c r="H150" t="s">
        <v>2548</v>
      </c>
      <c r="I150" t="s">
        <v>2556</v>
      </c>
      <c r="J150" s="1">
        <f>HYPERLINK("https://ec.europa.eu/info/funding-tenders/opportunities/portal/screen/how-to-participate/org-details/998849741", "998849741")</f>
        <v>0</v>
      </c>
      <c r="K150" t="s">
        <v>2650</v>
      </c>
      <c r="L150" t="s">
        <v>2877</v>
      </c>
      <c r="M150" t="s">
        <v>2966</v>
      </c>
      <c r="O150" t="s">
        <v>2973</v>
      </c>
      <c r="P150" t="s">
        <v>3035</v>
      </c>
      <c r="Q150">
        <v>6</v>
      </c>
      <c r="R150" t="s">
        <v>3342</v>
      </c>
    </row>
    <row r="151" spans="1:19">
      <c r="A151" t="s">
        <v>21</v>
      </c>
      <c r="B151" s="1">
        <f>HYPERLINK("https://cordis.europa.eu/project/id/217033", "217033")</f>
        <v>0</v>
      </c>
      <c r="C151" t="s">
        <v>136</v>
      </c>
      <c r="D151" t="s">
        <v>946</v>
      </c>
      <c r="F151" t="s">
        <v>2164</v>
      </c>
      <c r="G151" t="s">
        <v>2376</v>
      </c>
      <c r="H151" t="s">
        <v>2548</v>
      </c>
      <c r="I151" t="s">
        <v>2556</v>
      </c>
      <c r="J151" s="1">
        <f>HYPERLINK("https://ec.europa.eu/info/funding-tenders/opportunities/portal/screen/how-to-participate/org-details/999894043", "999894043")</f>
        <v>0</v>
      </c>
      <c r="K151" t="s">
        <v>2568</v>
      </c>
      <c r="L151" t="s">
        <v>2812</v>
      </c>
      <c r="M151" t="s">
        <v>2965</v>
      </c>
      <c r="O151" t="s">
        <v>2970</v>
      </c>
      <c r="P151" t="s">
        <v>3107</v>
      </c>
      <c r="Q151">
        <v>2</v>
      </c>
      <c r="R151" t="s">
        <v>3342</v>
      </c>
      <c r="S151" s="2">
        <v>0</v>
      </c>
    </row>
    <row r="152" spans="1:19">
      <c r="A152" t="s">
        <v>21</v>
      </c>
      <c r="B152" s="1">
        <f>HYPERLINK("https://cordis.europa.eu/project/id/248894", "248894")</f>
        <v>0</v>
      </c>
      <c r="C152" t="s">
        <v>137</v>
      </c>
      <c r="D152" t="s">
        <v>947</v>
      </c>
      <c r="F152" t="s">
        <v>2119</v>
      </c>
      <c r="G152" t="s">
        <v>2328</v>
      </c>
      <c r="H152" t="s">
        <v>2548</v>
      </c>
      <c r="I152" t="s">
        <v>2556</v>
      </c>
      <c r="J152" s="1">
        <f>HYPERLINK("https://ec.europa.eu/info/funding-tenders/opportunities/portal/screen/how-to-participate/org-details/999894043", "999894043")</f>
        <v>0</v>
      </c>
      <c r="K152" t="s">
        <v>2568</v>
      </c>
      <c r="L152" t="s">
        <v>2812</v>
      </c>
      <c r="M152" t="s">
        <v>2965</v>
      </c>
      <c r="O152" t="s">
        <v>2970</v>
      </c>
      <c r="P152" t="s">
        <v>3034</v>
      </c>
      <c r="Q152">
        <v>2</v>
      </c>
      <c r="R152" t="s">
        <v>3342</v>
      </c>
      <c r="S152" s="2">
        <v>0</v>
      </c>
    </row>
    <row r="153" spans="1:19">
      <c r="A153" t="s">
        <v>21</v>
      </c>
      <c r="B153" s="1">
        <f>HYPERLINK("https://cordis.europa.eu/project/id/212243", "212243")</f>
        <v>0</v>
      </c>
      <c r="C153" t="s">
        <v>138</v>
      </c>
      <c r="D153" t="s">
        <v>948</v>
      </c>
      <c r="F153" t="s">
        <v>2107</v>
      </c>
      <c r="G153" t="s">
        <v>2363</v>
      </c>
      <c r="H153" t="s">
        <v>2548</v>
      </c>
      <c r="I153" t="s">
        <v>2556</v>
      </c>
      <c r="J153" s="1">
        <f>HYPERLINK("https://ec.europa.eu/info/funding-tenders/opportunities/portal/screen/how-to-participate/org-details/999561042", "999561042")</f>
        <v>0</v>
      </c>
      <c r="K153" t="s">
        <v>2566</v>
      </c>
      <c r="L153" t="s">
        <v>2810</v>
      </c>
      <c r="M153" t="s">
        <v>2966</v>
      </c>
      <c r="O153" t="s">
        <v>2990</v>
      </c>
      <c r="P153" t="s">
        <v>3072</v>
      </c>
      <c r="Q153">
        <v>8</v>
      </c>
      <c r="R153" t="s">
        <v>3342</v>
      </c>
    </row>
    <row r="154" spans="1:19">
      <c r="A154" t="s">
        <v>21</v>
      </c>
      <c r="B154" s="1">
        <f>HYPERLINK("https://cordis.europa.eu/project/id/212243", "212243")</f>
        <v>0</v>
      </c>
      <c r="C154" t="s">
        <v>138</v>
      </c>
      <c r="D154" t="s">
        <v>948</v>
      </c>
      <c r="F154" t="s">
        <v>2107</v>
      </c>
      <c r="G154" t="s">
        <v>2363</v>
      </c>
      <c r="H154" t="s">
        <v>2548</v>
      </c>
      <c r="I154" t="s">
        <v>2556</v>
      </c>
      <c r="J154" s="1">
        <f>HYPERLINK("https://ec.europa.eu/info/funding-tenders/opportunities/portal/screen/how-to-participate/org-details/998757203", "998757203")</f>
        <v>0</v>
      </c>
      <c r="K154" t="s">
        <v>2575</v>
      </c>
      <c r="L154" t="s">
        <v>2817</v>
      </c>
      <c r="M154" t="s">
        <v>2965</v>
      </c>
      <c r="O154" t="s">
        <v>2990</v>
      </c>
      <c r="P154" t="s">
        <v>3072</v>
      </c>
      <c r="Q154">
        <v>19</v>
      </c>
      <c r="R154" t="s">
        <v>3342</v>
      </c>
    </row>
    <row r="155" spans="1:19">
      <c r="A155" t="s">
        <v>21</v>
      </c>
      <c r="B155" s="1">
        <f>HYPERLINK("https://cordis.europa.eu/project/id/604397", "604397")</f>
        <v>0</v>
      </c>
      <c r="C155" t="s">
        <v>139</v>
      </c>
      <c r="D155" t="s">
        <v>949</v>
      </c>
      <c r="F155" t="s">
        <v>2129</v>
      </c>
      <c r="G155" t="s">
        <v>1814</v>
      </c>
      <c r="H155" t="s">
        <v>2548</v>
      </c>
      <c r="I155" t="s">
        <v>2556</v>
      </c>
      <c r="J155" s="1">
        <f>HYPERLINK("https://ec.europa.eu/info/funding-tenders/opportunities/portal/screen/how-to-participate/org-details/951073167", "951073167")</f>
        <v>0</v>
      </c>
      <c r="K155" t="s">
        <v>2651</v>
      </c>
      <c r="L155" t="s">
        <v>2878</v>
      </c>
      <c r="M155" t="s">
        <v>2967</v>
      </c>
      <c r="O155" t="s">
        <v>2973</v>
      </c>
      <c r="P155" t="s">
        <v>3108</v>
      </c>
      <c r="Q155">
        <v>9</v>
      </c>
      <c r="R155" t="s">
        <v>3342</v>
      </c>
    </row>
    <row r="156" spans="1:19">
      <c r="A156" t="s">
        <v>21</v>
      </c>
      <c r="B156" s="1">
        <f>HYPERLINK("https://cordis.europa.eu/project/id/312168", "312168")</f>
        <v>0</v>
      </c>
      <c r="C156" t="s">
        <v>140</v>
      </c>
      <c r="D156" t="s">
        <v>950</v>
      </c>
      <c r="F156" t="s">
        <v>2165</v>
      </c>
      <c r="G156" t="s">
        <v>2360</v>
      </c>
      <c r="H156" t="s">
        <v>2549</v>
      </c>
      <c r="I156" t="s">
        <v>2557</v>
      </c>
      <c r="J156" s="1">
        <f>HYPERLINK("https://ec.europa.eu/info/funding-tenders/opportunities/portal/screen/how-to-participate/org-details/997164075", "997164075")</f>
        <v>0</v>
      </c>
      <c r="K156" t="s">
        <v>2577</v>
      </c>
      <c r="L156" t="s">
        <v>2819</v>
      </c>
      <c r="M156" t="s">
        <v>2968</v>
      </c>
      <c r="O156" t="s">
        <v>2978</v>
      </c>
      <c r="P156" t="s">
        <v>3109</v>
      </c>
      <c r="Q156">
        <v>1</v>
      </c>
      <c r="R156" t="s">
        <v>3343</v>
      </c>
      <c r="S156" s="2">
        <v>686164</v>
      </c>
    </row>
    <row r="157" spans="1:19">
      <c r="A157" t="s">
        <v>21</v>
      </c>
      <c r="B157" s="1">
        <f>HYPERLINK("https://cordis.europa.eu/project/id/312168", "312168")</f>
        <v>0</v>
      </c>
      <c r="C157" t="s">
        <v>140</v>
      </c>
      <c r="D157" t="s">
        <v>950</v>
      </c>
      <c r="F157" t="s">
        <v>2165</v>
      </c>
      <c r="G157" t="s">
        <v>2360</v>
      </c>
      <c r="H157" t="s">
        <v>2549</v>
      </c>
      <c r="I157" t="s">
        <v>2557</v>
      </c>
      <c r="J157" s="1">
        <f>HYPERLINK("https://ec.europa.eu/info/funding-tenders/opportunities/portal/screen/how-to-participate/org-details/952857385", "952857385")</f>
        <v>0</v>
      </c>
      <c r="K157" t="s">
        <v>2580</v>
      </c>
      <c r="L157" t="s">
        <v>2821</v>
      </c>
      <c r="M157" t="s">
        <v>2969</v>
      </c>
      <c r="O157" t="s">
        <v>2978</v>
      </c>
      <c r="P157" t="s">
        <v>3109</v>
      </c>
      <c r="Q157">
        <v>2</v>
      </c>
      <c r="R157" t="s">
        <v>3342</v>
      </c>
    </row>
    <row r="158" spans="1:19">
      <c r="A158" t="s">
        <v>21</v>
      </c>
      <c r="B158" s="1">
        <f>HYPERLINK("https://cordis.europa.eu/project/id/312168", "312168")</f>
        <v>0</v>
      </c>
      <c r="C158" t="s">
        <v>140</v>
      </c>
      <c r="D158" t="s">
        <v>950</v>
      </c>
      <c r="F158" t="s">
        <v>2165</v>
      </c>
      <c r="G158" t="s">
        <v>2360</v>
      </c>
      <c r="H158" t="s">
        <v>2549</v>
      </c>
      <c r="I158" t="s">
        <v>2557</v>
      </c>
      <c r="J158" s="1">
        <f>HYPERLINK("https://ec.europa.eu/info/funding-tenders/opportunities/portal/screen/how-to-participate/org-details/989758028", "989758028")</f>
        <v>0</v>
      </c>
      <c r="K158" t="s">
        <v>2590</v>
      </c>
      <c r="L158" t="s">
        <v>2830</v>
      </c>
      <c r="M158" t="s">
        <v>2967</v>
      </c>
      <c r="O158" t="s">
        <v>2978</v>
      </c>
      <c r="P158" t="s">
        <v>3109</v>
      </c>
      <c r="Q158">
        <v>3</v>
      </c>
      <c r="R158" t="s">
        <v>3342</v>
      </c>
      <c r="S158" s="2">
        <v>202112</v>
      </c>
    </row>
    <row r="159" spans="1:19">
      <c r="A159" t="s">
        <v>21</v>
      </c>
      <c r="B159" s="1">
        <f>HYPERLINK("https://cordis.europa.eu/project/id/314233", "314233")</f>
        <v>0</v>
      </c>
      <c r="C159" t="s">
        <v>141</v>
      </c>
      <c r="D159" t="s">
        <v>951</v>
      </c>
      <c r="F159" t="s">
        <v>2165</v>
      </c>
      <c r="G159" t="s">
        <v>2369</v>
      </c>
      <c r="H159" t="s">
        <v>2548</v>
      </c>
      <c r="I159" t="s">
        <v>2556</v>
      </c>
      <c r="J159" s="1">
        <f>HYPERLINK("https://ec.europa.eu/info/funding-tenders/opportunities/portal/screen/how-to-participate/org-details/999786082", "999786082")</f>
        <v>0</v>
      </c>
      <c r="K159" t="s">
        <v>2607</v>
      </c>
      <c r="M159" t="s">
        <v>2967</v>
      </c>
      <c r="O159" t="s">
        <v>2973</v>
      </c>
      <c r="P159" t="s">
        <v>3036</v>
      </c>
      <c r="Q159">
        <v>8</v>
      </c>
      <c r="R159" t="s">
        <v>3342</v>
      </c>
      <c r="S159" s="2">
        <v>324450</v>
      </c>
    </row>
    <row r="160" spans="1:19">
      <c r="A160" t="s">
        <v>21</v>
      </c>
      <c r="B160" s="1">
        <f>HYPERLINK("https://cordis.europa.eu/project/id/228581", "228581")</f>
        <v>0</v>
      </c>
      <c r="C160" t="s">
        <v>142</v>
      </c>
      <c r="D160" t="s">
        <v>952</v>
      </c>
      <c r="F160" t="s">
        <v>2117</v>
      </c>
      <c r="G160" t="s">
        <v>2331</v>
      </c>
      <c r="H160" t="s">
        <v>2548</v>
      </c>
      <c r="I160" t="s">
        <v>2556</v>
      </c>
      <c r="J160" s="1">
        <f>HYPERLINK("https://ec.europa.eu/info/funding-tenders/opportunities/portal/screen/how-to-participate/org-details/999786082", "999786082")</f>
        <v>0</v>
      </c>
      <c r="K160" t="s">
        <v>2607</v>
      </c>
      <c r="M160" t="s">
        <v>2967</v>
      </c>
      <c r="O160" t="s">
        <v>2973</v>
      </c>
      <c r="P160" t="s">
        <v>3063</v>
      </c>
      <c r="Q160">
        <v>3</v>
      </c>
      <c r="R160" t="s">
        <v>3342</v>
      </c>
    </row>
    <row r="161" spans="1:19">
      <c r="A161" t="s">
        <v>21</v>
      </c>
      <c r="B161" s="1">
        <f>HYPERLINK("https://cordis.europa.eu/project/id/258378", "258378")</f>
        <v>0</v>
      </c>
      <c r="C161" t="s">
        <v>143</v>
      </c>
      <c r="D161" t="s">
        <v>953</v>
      </c>
      <c r="F161" t="s">
        <v>2112</v>
      </c>
      <c r="G161" t="s">
        <v>2319</v>
      </c>
      <c r="H161" t="s">
        <v>2548</v>
      </c>
      <c r="I161" t="s">
        <v>2556</v>
      </c>
      <c r="J161" s="1">
        <f>HYPERLINK("https://ec.europa.eu/info/funding-tenders/opportunities/portal/screen/how-to-participate/org-details/996231614", "996231614")</f>
        <v>0</v>
      </c>
      <c r="K161" t="s">
        <v>2652</v>
      </c>
      <c r="L161" t="s">
        <v>2652</v>
      </c>
      <c r="M161" t="s">
        <v>2965</v>
      </c>
      <c r="O161" t="s">
        <v>2970</v>
      </c>
      <c r="P161" t="s">
        <v>3086</v>
      </c>
      <c r="Q161">
        <v>2</v>
      </c>
      <c r="R161" t="s">
        <v>3342</v>
      </c>
      <c r="S161" s="2">
        <v>0</v>
      </c>
    </row>
    <row r="162" spans="1:19">
      <c r="A162" t="s">
        <v>21</v>
      </c>
      <c r="B162" s="1">
        <f>HYPERLINK("https://cordis.europa.eu/project/id/231590", "231590")</f>
        <v>0</v>
      </c>
      <c r="C162" t="s">
        <v>144</v>
      </c>
      <c r="D162" t="s">
        <v>954</v>
      </c>
      <c r="F162" t="s">
        <v>2163</v>
      </c>
      <c r="G162" t="s">
        <v>2367</v>
      </c>
      <c r="H162" t="s">
        <v>2548</v>
      </c>
      <c r="I162" t="s">
        <v>2556</v>
      </c>
      <c r="J162" s="1">
        <f>HYPERLINK("https://ec.europa.eu/info/funding-tenders/opportunities/portal/screen/how-to-participate/org-details/998024756", "998024756")</f>
        <v>0</v>
      </c>
      <c r="K162" t="s">
        <v>2653</v>
      </c>
      <c r="L162" t="s">
        <v>2879</v>
      </c>
      <c r="M162" t="s">
        <v>2965</v>
      </c>
      <c r="O162" t="s">
        <v>2970</v>
      </c>
      <c r="P162" t="s">
        <v>3110</v>
      </c>
      <c r="Q162">
        <v>3</v>
      </c>
      <c r="R162" t="s">
        <v>3342</v>
      </c>
      <c r="S162" s="2">
        <v>0</v>
      </c>
    </row>
    <row r="163" spans="1:19">
      <c r="A163" t="s">
        <v>21</v>
      </c>
      <c r="B163" s="1">
        <f>HYPERLINK("https://cordis.europa.eu/project/id/248505", "248505")</f>
        <v>0</v>
      </c>
      <c r="C163" t="s">
        <v>145</v>
      </c>
      <c r="D163" t="s">
        <v>955</v>
      </c>
      <c r="F163" t="s">
        <v>2117</v>
      </c>
      <c r="G163" t="s">
        <v>2342</v>
      </c>
      <c r="H163" t="s">
        <v>2549</v>
      </c>
      <c r="I163" t="s">
        <v>2557</v>
      </c>
      <c r="J163" s="1">
        <f>HYPERLINK("https://ec.europa.eu/info/funding-tenders/opportunities/portal/screen/how-to-participate/org-details/999873673", "999873673")</f>
        <v>0</v>
      </c>
      <c r="K163" t="s">
        <v>2578</v>
      </c>
      <c r="M163" t="s">
        <v>2965</v>
      </c>
      <c r="O163" t="s">
        <v>2985</v>
      </c>
      <c r="P163" t="s">
        <v>3034</v>
      </c>
      <c r="Q163">
        <v>6</v>
      </c>
      <c r="R163" t="s">
        <v>3342</v>
      </c>
      <c r="S163" s="2">
        <v>61464</v>
      </c>
    </row>
    <row r="164" spans="1:19">
      <c r="A164" t="s">
        <v>21</v>
      </c>
      <c r="B164" s="1">
        <f>HYPERLINK("https://cordis.europa.eu/project/id/610510", "610510")</f>
        <v>0</v>
      </c>
      <c r="C164" t="s">
        <v>146</v>
      </c>
      <c r="D164" t="s">
        <v>956</v>
      </c>
      <c r="F164" t="s">
        <v>2115</v>
      </c>
      <c r="G164" t="s">
        <v>2377</v>
      </c>
      <c r="H164" t="s">
        <v>2548</v>
      </c>
      <c r="I164" t="s">
        <v>2556</v>
      </c>
      <c r="J164" s="1">
        <f>HYPERLINK("https://ec.europa.eu/info/funding-tenders/opportunities/portal/screen/how-to-participate/org-details/973066462", "973066462")</f>
        <v>0</v>
      </c>
      <c r="K164" t="s">
        <v>2654</v>
      </c>
      <c r="L164" t="s">
        <v>2880</v>
      </c>
      <c r="M164" t="s">
        <v>2965</v>
      </c>
      <c r="O164" t="s">
        <v>2970</v>
      </c>
      <c r="P164" t="s">
        <v>3111</v>
      </c>
      <c r="Q164">
        <v>6</v>
      </c>
      <c r="R164" t="s">
        <v>3342</v>
      </c>
      <c r="S164" s="2">
        <v>0</v>
      </c>
    </row>
    <row r="165" spans="1:19">
      <c r="A165" t="s">
        <v>21</v>
      </c>
      <c r="B165" s="1">
        <f>HYPERLINK("https://cordis.europa.eu/project/id/240837", "240837")</f>
        <v>0</v>
      </c>
      <c r="C165" t="s">
        <v>147</v>
      </c>
      <c r="D165" t="s">
        <v>957</v>
      </c>
      <c r="F165" t="s">
        <v>2117</v>
      </c>
      <c r="G165" t="s">
        <v>2336</v>
      </c>
      <c r="H165" t="s">
        <v>2548</v>
      </c>
      <c r="I165" t="s">
        <v>2556</v>
      </c>
      <c r="J165" s="1">
        <f>HYPERLINK("https://ec.europa.eu/info/funding-tenders/opportunities/portal/screen/how-to-participate/org-details/996257125", "996257125")</f>
        <v>0</v>
      </c>
      <c r="K165" t="s">
        <v>2655</v>
      </c>
      <c r="L165" t="s">
        <v>2881</v>
      </c>
      <c r="M165" t="s">
        <v>2965</v>
      </c>
      <c r="O165" t="s">
        <v>2970</v>
      </c>
      <c r="P165" t="s">
        <v>3112</v>
      </c>
      <c r="Q165">
        <v>18</v>
      </c>
      <c r="R165" t="s">
        <v>3342</v>
      </c>
    </row>
    <row r="166" spans="1:19">
      <c r="A166" t="s">
        <v>21</v>
      </c>
      <c r="B166" s="1">
        <f>HYPERLINK("https://cordis.europa.eu/project/id/222633", "222633")</f>
        <v>0</v>
      </c>
      <c r="C166" t="s">
        <v>148</v>
      </c>
      <c r="D166" t="s">
        <v>958</v>
      </c>
      <c r="F166" t="s">
        <v>2166</v>
      </c>
      <c r="G166" t="s">
        <v>2336</v>
      </c>
      <c r="H166" t="s">
        <v>2548</v>
      </c>
      <c r="I166" t="s">
        <v>2556</v>
      </c>
      <c r="J166" s="1">
        <f>HYPERLINK("https://ec.europa.eu/info/funding-tenders/opportunities/portal/screen/how-to-participate/org-details/999818577", "999818577")</f>
        <v>0</v>
      </c>
      <c r="K166" t="s">
        <v>2614</v>
      </c>
      <c r="L166" t="s">
        <v>2846</v>
      </c>
      <c r="M166" t="s">
        <v>2965</v>
      </c>
      <c r="O166" t="s">
        <v>2972</v>
      </c>
      <c r="P166" t="s">
        <v>3082</v>
      </c>
      <c r="Q166">
        <v>12</v>
      </c>
      <c r="R166" t="s">
        <v>3342</v>
      </c>
    </row>
    <row r="167" spans="1:19">
      <c r="A167" t="s">
        <v>21</v>
      </c>
      <c r="B167" s="1">
        <f>HYPERLINK("https://cordis.europa.eu/project/id/288136", "288136")</f>
        <v>0</v>
      </c>
      <c r="C167" t="s">
        <v>149</v>
      </c>
      <c r="D167" t="s">
        <v>959</v>
      </c>
      <c r="F167" t="s">
        <v>2167</v>
      </c>
      <c r="G167" t="s">
        <v>2378</v>
      </c>
      <c r="H167" t="s">
        <v>2549</v>
      </c>
      <c r="I167" t="s">
        <v>2557</v>
      </c>
      <c r="J167" s="1">
        <f>HYPERLINK("https://ec.europa.eu/info/funding-tenders/opportunities/portal/screen/how-to-participate/org-details/999613131", "999613131")</f>
        <v>0</v>
      </c>
      <c r="K167" t="s">
        <v>2591</v>
      </c>
      <c r="L167" t="s">
        <v>2831</v>
      </c>
      <c r="M167" t="s">
        <v>2965</v>
      </c>
      <c r="O167" t="s">
        <v>2985</v>
      </c>
      <c r="P167" t="s">
        <v>3096</v>
      </c>
      <c r="Q167">
        <v>13</v>
      </c>
      <c r="R167" t="s">
        <v>3342</v>
      </c>
      <c r="S167" s="2">
        <v>0</v>
      </c>
    </row>
    <row r="168" spans="1:19">
      <c r="A168" t="s">
        <v>21</v>
      </c>
      <c r="B168" s="1">
        <f>HYPERLINK("https://cordis.europa.eu/project/id/288136", "288136")</f>
        <v>0</v>
      </c>
      <c r="C168" t="s">
        <v>149</v>
      </c>
      <c r="D168" t="s">
        <v>959</v>
      </c>
      <c r="F168" t="s">
        <v>2167</v>
      </c>
      <c r="G168" t="s">
        <v>2378</v>
      </c>
      <c r="H168" t="s">
        <v>2548</v>
      </c>
      <c r="I168" t="s">
        <v>2556</v>
      </c>
      <c r="J168" s="1">
        <f>HYPERLINK("https://ec.europa.eu/info/funding-tenders/opportunities/portal/screen/how-to-participate/org-details/998082180", "998082180")</f>
        <v>0</v>
      </c>
      <c r="K168" t="s">
        <v>2565</v>
      </c>
      <c r="M168" t="s">
        <v>2965</v>
      </c>
      <c r="O168" t="s">
        <v>2985</v>
      </c>
      <c r="P168" t="s">
        <v>3096</v>
      </c>
      <c r="Q168">
        <v>5</v>
      </c>
      <c r="R168" t="s">
        <v>3342</v>
      </c>
      <c r="S168" s="2">
        <v>0</v>
      </c>
    </row>
    <row r="169" spans="1:19">
      <c r="A169" t="s">
        <v>21</v>
      </c>
      <c r="B169" s="1">
        <f>HYPERLINK("https://cordis.europa.eu/project/id/287581", "287581")</f>
        <v>0</v>
      </c>
      <c r="C169" t="s">
        <v>150</v>
      </c>
      <c r="D169" t="s">
        <v>960</v>
      </c>
      <c r="F169" t="s">
        <v>2168</v>
      </c>
      <c r="G169" t="s">
        <v>2325</v>
      </c>
      <c r="H169" t="s">
        <v>2548</v>
      </c>
      <c r="I169" t="s">
        <v>2556</v>
      </c>
      <c r="J169" s="1">
        <f>HYPERLINK("https://ec.europa.eu/info/funding-tenders/opportunities/portal/screen/how-to-participate/org-details/968750253", "968750253")</f>
        <v>0</v>
      </c>
      <c r="K169" t="s">
        <v>2656</v>
      </c>
      <c r="L169" t="s">
        <v>2882</v>
      </c>
      <c r="M169" t="s">
        <v>2965</v>
      </c>
      <c r="O169" t="s">
        <v>2970</v>
      </c>
      <c r="P169" t="s">
        <v>3096</v>
      </c>
      <c r="Q169">
        <v>4</v>
      </c>
      <c r="R169" t="s">
        <v>3342</v>
      </c>
      <c r="S169" s="2">
        <v>0</v>
      </c>
    </row>
    <row r="170" spans="1:19">
      <c r="A170" t="s">
        <v>21</v>
      </c>
      <c r="B170" s="1">
        <f>HYPERLINK("https://cordis.europa.eu/project/id/289170", "289170")</f>
        <v>0</v>
      </c>
      <c r="C170" t="s">
        <v>151</v>
      </c>
      <c r="D170" t="s">
        <v>961</v>
      </c>
      <c r="F170" t="s">
        <v>2126</v>
      </c>
      <c r="G170" t="s">
        <v>2334</v>
      </c>
      <c r="H170" t="s">
        <v>2548</v>
      </c>
      <c r="I170" t="s">
        <v>2556</v>
      </c>
      <c r="J170" s="1">
        <f>HYPERLINK("https://ec.europa.eu/info/funding-tenders/opportunities/portal/screen/how-to-participate/org-details/960960474", "960960474")</f>
        <v>0</v>
      </c>
      <c r="K170" t="s">
        <v>2657</v>
      </c>
      <c r="L170" t="s">
        <v>2883</v>
      </c>
      <c r="M170" t="s">
        <v>2966</v>
      </c>
      <c r="O170" t="s">
        <v>2987</v>
      </c>
      <c r="P170" t="s">
        <v>3088</v>
      </c>
      <c r="Q170">
        <v>5</v>
      </c>
      <c r="R170" t="s">
        <v>3342</v>
      </c>
      <c r="S170" s="2">
        <v>60600</v>
      </c>
    </row>
    <row r="171" spans="1:19">
      <c r="A171" t="s">
        <v>21</v>
      </c>
      <c r="B171" s="1">
        <f>HYPERLINK("https://cordis.europa.eu/project/id/305081", "305081")</f>
        <v>0</v>
      </c>
      <c r="C171" t="s">
        <v>152</v>
      </c>
      <c r="D171" t="s">
        <v>962</v>
      </c>
      <c r="F171" t="s">
        <v>2153</v>
      </c>
      <c r="G171" t="s">
        <v>2334</v>
      </c>
      <c r="H171" t="s">
        <v>2548</v>
      </c>
      <c r="I171" t="s">
        <v>2556</v>
      </c>
      <c r="J171" s="1">
        <f>HYPERLINK("https://ec.europa.eu/info/funding-tenders/opportunities/portal/screen/how-to-participate/org-details/998225740", "998225740")</f>
        <v>0</v>
      </c>
      <c r="K171" t="s">
        <v>2637</v>
      </c>
      <c r="M171" t="s">
        <v>2965</v>
      </c>
      <c r="O171" t="s">
        <v>2978</v>
      </c>
      <c r="P171" t="s">
        <v>3054</v>
      </c>
      <c r="Q171">
        <v>8</v>
      </c>
      <c r="R171" t="s">
        <v>3342</v>
      </c>
    </row>
    <row r="172" spans="1:19">
      <c r="A172" t="s">
        <v>21</v>
      </c>
      <c r="B172" s="1">
        <f>HYPERLINK("https://cordis.europa.eu/project/id/305081", "305081")</f>
        <v>0</v>
      </c>
      <c r="C172" t="s">
        <v>152</v>
      </c>
      <c r="D172" t="s">
        <v>962</v>
      </c>
      <c r="F172" t="s">
        <v>2153</v>
      </c>
      <c r="G172" t="s">
        <v>2334</v>
      </c>
      <c r="H172" t="s">
        <v>2548</v>
      </c>
      <c r="I172" t="s">
        <v>2556</v>
      </c>
      <c r="J172" s="1">
        <f>HYPERLINK("https://ec.europa.eu/info/funding-tenders/opportunities/portal/screen/how-to-participate/org-details/999894043", "999894043")</f>
        <v>0</v>
      </c>
      <c r="K172" t="s">
        <v>2568</v>
      </c>
      <c r="L172" t="s">
        <v>2812</v>
      </c>
      <c r="M172" t="s">
        <v>2965</v>
      </c>
      <c r="O172" t="s">
        <v>2978</v>
      </c>
      <c r="P172" t="s">
        <v>3054</v>
      </c>
      <c r="Q172">
        <v>10</v>
      </c>
      <c r="R172" t="s">
        <v>3342</v>
      </c>
    </row>
    <row r="173" spans="1:19">
      <c r="A173" t="s">
        <v>21</v>
      </c>
      <c r="B173" s="1">
        <f>HYPERLINK("https://cordis.europa.eu/project/id/305081", "305081")</f>
        <v>0</v>
      </c>
      <c r="C173" t="s">
        <v>152</v>
      </c>
      <c r="D173" t="s">
        <v>962</v>
      </c>
      <c r="F173" t="s">
        <v>2153</v>
      </c>
      <c r="G173" t="s">
        <v>2334</v>
      </c>
      <c r="H173" t="s">
        <v>2548</v>
      </c>
      <c r="I173" t="s">
        <v>2556</v>
      </c>
      <c r="J173" s="1">
        <f>HYPERLINK("https://ec.europa.eu/info/funding-tenders/opportunities/portal/screen/how-to-participate/org-details/999885216", "999885216")</f>
        <v>0</v>
      </c>
      <c r="K173" t="s">
        <v>2658</v>
      </c>
      <c r="L173" t="s">
        <v>2884</v>
      </c>
      <c r="M173" t="s">
        <v>2965</v>
      </c>
      <c r="O173" t="s">
        <v>2978</v>
      </c>
      <c r="P173" t="s">
        <v>3054</v>
      </c>
      <c r="Q173">
        <v>7</v>
      </c>
      <c r="R173" t="s">
        <v>3342</v>
      </c>
    </row>
    <row r="174" spans="1:19">
      <c r="A174" t="s">
        <v>21</v>
      </c>
      <c r="B174" s="1">
        <f>HYPERLINK("https://cordis.europa.eu/project/id/241669", "241669")</f>
        <v>0</v>
      </c>
      <c r="C174" t="s">
        <v>153</v>
      </c>
      <c r="D174" t="s">
        <v>963</v>
      </c>
      <c r="F174" t="s">
        <v>2169</v>
      </c>
      <c r="G174" t="s">
        <v>2356</v>
      </c>
      <c r="H174" t="s">
        <v>2548</v>
      </c>
      <c r="I174" t="s">
        <v>2556</v>
      </c>
      <c r="J174" s="1">
        <f>HYPERLINK("https://ec.europa.eu/info/funding-tenders/opportunities/portal/screen/how-to-participate/org-details/998826946", "998826946")</f>
        <v>0</v>
      </c>
      <c r="K174" t="s">
        <v>2617</v>
      </c>
      <c r="L174" t="s">
        <v>2848</v>
      </c>
      <c r="M174" t="s">
        <v>2965</v>
      </c>
      <c r="O174" t="s">
        <v>2972</v>
      </c>
      <c r="P174" t="s">
        <v>3113</v>
      </c>
      <c r="Q174">
        <v>15</v>
      </c>
      <c r="R174" t="s">
        <v>3342</v>
      </c>
    </row>
    <row r="175" spans="1:19">
      <c r="A175" t="s">
        <v>21</v>
      </c>
      <c r="B175" s="1">
        <f>HYPERLINK("https://cordis.europa.eu/project/id/231747", "231747")</f>
        <v>0</v>
      </c>
      <c r="C175" t="s">
        <v>154</v>
      </c>
      <c r="D175" t="s">
        <v>964</v>
      </c>
      <c r="F175" t="s">
        <v>2111</v>
      </c>
      <c r="G175" t="s">
        <v>2323</v>
      </c>
      <c r="H175" t="s">
        <v>2548</v>
      </c>
      <c r="I175" t="s">
        <v>2556</v>
      </c>
      <c r="J175" s="1">
        <f>HYPERLINK("https://ec.europa.eu/info/funding-tenders/opportunities/portal/screen/how-to-participate/org-details/998138343", "998138343")</f>
        <v>0</v>
      </c>
      <c r="K175" t="s">
        <v>2581</v>
      </c>
      <c r="L175" t="s">
        <v>2822</v>
      </c>
      <c r="M175" t="s">
        <v>2967</v>
      </c>
      <c r="O175" t="s">
        <v>2989</v>
      </c>
      <c r="P175" t="s">
        <v>3114</v>
      </c>
      <c r="Q175">
        <v>39</v>
      </c>
      <c r="R175" t="s">
        <v>3342</v>
      </c>
    </row>
    <row r="176" spans="1:19">
      <c r="A176" t="s">
        <v>21</v>
      </c>
      <c r="B176" s="1">
        <f>HYPERLINK("https://cordis.europa.eu/project/id/611396", "611396")</f>
        <v>0</v>
      </c>
      <c r="C176" t="s">
        <v>155</v>
      </c>
      <c r="D176" t="s">
        <v>965</v>
      </c>
      <c r="F176" t="s">
        <v>2136</v>
      </c>
      <c r="G176" t="s">
        <v>1820</v>
      </c>
      <c r="H176" t="s">
        <v>2548</v>
      </c>
      <c r="I176" t="s">
        <v>2556</v>
      </c>
      <c r="J176" s="1">
        <f>HYPERLINK("https://ec.europa.eu/info/funding-tenders/opportunities/portal/screen/how-to-participate/org-details/951263384", "951263384")</f>
        <v>0</v>
      </c>
      <c r="K176" t="s">
        <v>2659</v>
      </c>
      <c r="L176" t="s">
        <v>2885</v>
      </c>
      <c r="M176" t="s">
        <v>2967</v>
      </c>
      <c r="O176" t="s">
        <v>2970</v>
      </c>
      <c r="P176" t="s">
        <v>3115</v>
      </c>
      <c r="Q176">
        <v>2</v>
      </c>
      <c r="R176" t="s">
        <v>3342</v>
      </c>
      <c r="S176" s="2">
        <v>305000</v>
      </c>
    </row>
    <row r="177" spans="1:19">
      <c r="A177" t="s">
        <v>21</v>
      </c>
      <c r="B177" s="1">
        <f>HYPERLINK("https://cordis.europa.eu/project/id/216041", "216041")</f>
        <v>0</v>
      </c>
      <c r="C177" t="s">
        <v>156</v>
      </c>
      <c r="D177" t="s">
        <v>966</v>
      </c>
      <c r="F177" t="s">
        <v>2164</v>
      </c>
      <c r="G177" t="s">
        <v>2376</v>
      </c>
      <c r="H177" t="s">
        <v>2548</v>
      </c>
      <c r="I177" t="s">
        <v>2556</v>
      </c>
      <c r="J177" s="1">
        <f>HYPERLINK("https://ec.europa.eu/info/funding-tenders/opportunities/portal/screen/how-to-participate/org-details/999793357", "999793357")</f>
        <v>0</v>
      </c>
      <c r="K177" t="s">
        <v>2660</v>
      </c>
      <c r="L177" t="s">
        <v>2886</v>
      </c>
      <c r="M177" t="s">
        <v>2967</v>
      </c>
      <c r="O177" t="s">
        <v>2970</v>
      </c>
      <c r="P177" t="s">
        <v>3107</v>
      </c>
      <c r="Q177">
        <v>2</v>
      </c>
      <c r="R177" t="s">
        <v>3342</v>
      </c>
      <c r="S177" s="2">
        <v>0</v>
      </c>
    </row>
    <row r="178" spans="1:19">
      <c r="A178" t="s">
        <v>21</v>
      </c>
      <c r="B178" s="1">
        <f>HYPERLINK("https://cordis.europa.eu/project/id/223340", "223340")</f>
        <v>0</v>
      </c>
      <c r="C178" t="s">
        <v>157</v>
      </c>
      <c r="D178" t="s">
        <v>967</v>
      </c>
      <c r="F178" t="s">
        <v>2143</v>
      </c>
      <c r="G178" t="s">
        <v>2348</v>
      </c>
      <c r="H178" t="s">
        <v>2548</v>
      </c>
      <c r="I178" t="s">
        <v>2556</v>
      </c>
      <c r="J178" s="1">
        <f>HYPERLINK("https://ec.europa.eu/info/funding-tenders/opportunities/portal/screen/how-to-participate/org-details/998089261", "998089261")</f>
        <v>0</v>
      </c>
      <c r="K178" t="s">
        <v>2661</v>
      </c>
      <c r="L178" t="s">
        <v>2887</v>
      </c>
      <c r="M178" t="s">
        <v>2966</v>
      </c>
      <c r="O178" t="s">
        <v>2979</v>
      </c>
      <c r="P178" t="s">
        <v>3069</v>
      </c>
      <c r="Q178">
        <v>6</v>
      </c>
      <c r="R178" t="s">
        <v>3342</v>
      </c>
      <c r="S178" s="2">
        <v>60000</v>
      </c>
    </row>
    <row r="179" spans="1:19">
      <c r="A179" t="s">
        <v>21</v>
      </c>
      <c r="B179" s="1">
        <f>HYPERLINK("https://cordis.europa.eu/project/id/238988", "238988")</f>
        <v>0</v>
      </c>
      <c r="C179" t="s">
        <v>158</v>
      </c>
      <c r="D179" t="s">
        <v>968</v>
      </c>
      <c r="F179" t="s">
        <v>2137</v>
      </c>
      <c r="G179" t="s">
        <v>2346</v>
      </c>
      <c r="H179" t="s">
        <v>2549</v>
      </c>
      <c r="I179" t="s">
        <v>2557</v>
      </c>
      <c r="J179" s="1">
        <f>HYPERLINK("https://ec.europa.eu/info/funding-tenders/opportunities/portal/screen/how-to-participate/org-details/996569368", "996569368")</f>
        <v>0</v>
      </c>
      <c r="K179" t="s">
        <v>2598</v>
      </c>
      <c r="L179" t="s">
        <v>2836</v>
      </c>
      <c r="M179" t="s">
        <v>2966</v>
      </c>
      <c r="O179" t="s">
        <v>2988</v>
      </c>
      <c r="P179" t="s">
        <v>3116</v>
      </c>
      <c r="Q179">
        <v>27</v>
      </c>
      <c r="R179" t="s">
        <v>3342</v>
      </c>
      <c r="S179" s="2">
        <v>0</v>
      </c>
    </row>
    <row r="180" spans="1:19">
      <c r="A180" t="s">
        <v>21</v>
      </c>
      <c r="B180" s="1">
        <f>HYPERLINK("https://cordis.europa.eu/project/id/308665", "308665")</f>
        <v>0</v>
      </c>
      <c r="C180" t="s">
        <v>159</v>
      </c>
      <c r="D180" t="s">
        <v>969</v>
      </c>
      <c r="F180" t="s">
        <v>2170</v>
      </c>
      <c r="G180" t="s">
        <v>2361</v>
      </c>
      <c r="H180" t="s">
        <v>2548</v>
      </c>
      <c r="I180" t="s">
        <v>2556</v>
      </c>
      <c r="J180" s="1">
        <f>HYPERLINK("https://ec.europa.eu/info/funding-tenders/opportunities/portal/screen/how-to-participate/org-details/988059752", "988059752")</f>
        <v>0</v>
      </c>
      <c r="K180" t="s">
        <v>2564</v>
      </c>
      <c r="L180" t="s">
        <v>2809</v>
      </c>
      <c r="M180" t="s">
        <v>2965</v>
      </c>
      <c r="O180" t="s">
        <v>2970</v>
      </c>
      <c r="P180" t="s">
        <v>3117</v>
      </c>
      <c r="Q180">
        <v>20</v>
      </c>
      <c r="R180" t="s">
        <v>3342</v>
      </c>
    </row>
    <row r="181" spans="1:19">
      <c r="A181" t="s">
        <v>21</v>
      </c>
      <c r="B181" s="1">
        <f>HYPERLINK("https://cordis.europa.eu/project/id/211404", "211404")</f>
        <v>0</v>
      </c>
      <c r="C181" t="s">
        <v>160</v>
      </c>
      <c r="D181" t="s">
        <v>970</v>
      </c>
      <c r="F181" t="s">
        <v>2132</v>
      </c>
      <c r="G181" t="s">
        <v>2331</v>
      </c>
      <c r="H181" t="s">
        <v>2548</v>
      </c>
      <c r="I181" t="s">
        <v>2556</v>
      </c>
      <c r="J181" s="1">
        <f>HYPERLINK("https://ec.europa.eu/info/funding-tenders/opportunities/portal/screen/how-to-participate/org-details/995410024", "995410024")</f>
        <v>0</v>
      </c>
      <c r="K181" t="s">
        <v>2646</v>
      </c>
      <c r="L181" t="s">
        <v>2874</v>
      </c>
      <c r="O181" t="s">
        <v>2990</v>
      </c>
      <c r="P181" t="s">
        <v>3072</v>
      </c>
      <c r="Q181">
        <v>25</v>
      </c>
      <c r="R181" t="s">
        <v>3342</v>
      </c>
    </row>
    <row r="182" spans="1:19">
      <c r="A182" t="s">
        <v>21</v>
      </c>
      <c r="B182" s="1">
        <f>HYPERLINK("https://cordis.europa.eu/project/id/264879", "264879")</f>
        <v>0</v>
      </c>
      <c r="C182" t="s">
        <v>161</v>
      </c>
      <c r="D182" t="s">
        <v>971</v>
      </c>
      <c r="F182" t="s">
        <v>2162</v>
      </c>
      <c r="G182" t="s">
        <v>2333</v>
      </c>
      <c r="H182" t="s">
        <v>2548</v>
      </c>
      <c r="I182" t="s">
        <v>2556</v>
      </c>
      <c r="J182" s="1">
        <f>HYPERLINK("https://ec.europa.eu/info/funding-tenders/opportunities/portal/screen/how-to-participate/org-details/998539535", "998539535")</f>
        <v>0</v>
      </c>
      <c r="K182" t="s">
        <v>2662</v>
      </c>
      <c r="L182" t="s">
        <v>2662</v>
      </c>
      <c r="M182" t="s">
        <v>2965</v>
      </c>
      <c r="O182" t="s">
        <v>2972</v>
      </c>
      <c r="P182" t="s">
        <v>3071</v>
      </c>
      <c r="Q182">
        <v>28</v>
      </c>
      <c r="R182" t="s">
        <v>3342</v>
      </c>
    </row>
    <row r="183" spans="1:19">
      <c r="A183" t="s">
        <v>21</v>
      </c>
      <c r="B183" s="1">
        <f>HYPERLINK("https://cordis.europa.eu/project/id/226534", "226534")</f>
        <v>0</v>
      </c>
      <c r="C183" t="s">
        <v>162</v>
      </c>
      <c r="D183" t="s">
        <v>972</v>
      </c>
      <c r="F183" t="s">
        <v>2154</v>
      </c>
      <c r="G183" t="s">
        <v>2379</v>
      </c>
      <c r="H183" t="s">
        <v>2548</v>
      </c>
      <c r="I183" t="s">
        <v>2556</v>
      </c>
      <c r="J183" s="1">
        <f>HYPERLINK("https://ec.europa.eu/info/funding-tenders/opportunities/portal/screen/how-to-participate/org-details/997400464", "997400464")</f>
        <v>0</v>
      </c>
      <c r="K183" t="s">
        <v>2663</v>
      </c>
      <c r="L183" t="s">
        <v>2888</v>
      </c>
      <c r="M183" t="s">
        <v>2969</v>
      </c>
      <c r="O183" t="s">
        <v>2973</v>
      </c>
      <c r="P183" t="s">
        <v>3103</v>
      </c>
      <c r="Q183">
        <v>20</v>
      </c>
      <c r="R183" t="s">
        <v>3342</v>
      </c>
    </row>
    <row r="184" spans="1:19">
      <c r="A184" t="s">
        <v>21</v>
      </c>
      <c r="B184" s="1">
        <f>HYPERLINK("https://cordis.europa.eu/project/id/226534", "226534")</f>
        <v>0</v>
      </c>
      <c r="C184" t="s">
        <v>162</v>
      </c>
      <c r="D184" t="s">
        <v>972</v>
      </c>
      <c r="F184" t="s">
        <v>2154</v>
      </c>
      <c r="G184" t="s">
        <v>2379</v>
      </c>
      <c r="H184" t="s">
        <v>2548</v>
      </c>
      <c r="I184" t="s">
        <v>2556</v>
      </c>
      <c r="J184" s="1">
        <f>HYPERLINK("https://ec.europa.eu/info/funding-tenders/opportunities/portal/screen/how-to-participate/org-details/998075972", "998075972")</f>
        <v>0</v>
      </c>
      <c r="K184" t="s">
        <v>2664</v>
      </c>
      <c r="L184" t="s">
        <v>2889</v>
      </c>
      <c r="M184" t="s">
        <v>2969</v>
      </c>
      <c r="O184" t="s">
        <v>2973</v>
      </c>
      <c r="P184" t="s">
        <v>3103</v>
      </c>
      <c r="Q184">
        <v>19</v>
      </c>
      <c r="R184" t="s">
        <v>3342</v>
      </c>
    </row>
    <row r="185" spans="1:19">
      <c r="A185" t="s">
        <v>21</v>
      </c>
      <c r="B185" s="1">
        <f>HYPERLINK("https://cordis.europa.eu/project/id/226534", "226534")</f>
        <v>0</v>
      </c>
      <c r="C185" t="s">
        <v>162</v>
      </c>
      <c r="D185" t="s">
        <v>972</v>
      </c>
      <c r="F185" t="s">
        <v>2154</v>
      </c>
      <c r="G185" t="s">
        <v>2379</v>
      </c>
      <c r="H185" t="s">
        <v>2548</v>
      </c>
      <c r="I185" t="s">
        <v>2556</v>
      </c>
      <c r="J185" s="1">
        <f>HYPERLINK("https://ec.europa.eu/info/funding-tenders/opportunities/portal/screen/how-to-participate/org-details/996726411", "996726411")</f>
        <v>0</v>
      </c>
      <c r="K185" t="s">
        <v>2609</v>
      </c>
      <c r="M185" t="s">
        <v>2969</v>
      </c>
      <c r="O185" t="s">
        <v>2973</v>
      </c>
      <c r="P185" t="s">
        <v>3103</v>
      </c>
      <c r="Q185">
        <v>21</v>
      </c>
      <c r="R185" t="s">
        <v>3342</v>
      </c>
    </row>
    <row r="186" spans="1:19">
      <c r="A186" t="s">
        <v>21</v>
      </c>
      <c r="B186" s="1">
        <f>HYPERLINK("https://cordis.europa.eu/project/id/608555", "608555")</f>
        <v>0</v>
      </c>
      <c r="C186" t="s">
        <v>163</v>
      </c>
      <c r="D186" t="s">
        <v>973</v>
      </c>
      <c r="F186" t="s">
        <v>2131</v>
      </c>
      <c r="G186" t="s">
        <v>2339</v>
      </c>
      <c r="H186" t="s">
        <v>2548</v>
      </c>
      <c r="I186" t="s">
        <v>2556</v>
      </c>
      <c r="J186" s="1">
        <f>HYPERLINK("https://ec.europa.eu/info/funding-tenders/opportunities/portal/screen/how-to-participate/org-details/951778551", "951778551")</f>
        <v>0</v>
      </c>
      <c r="K186" t="s">
        <v>2665</v>
      </c>
      <c r="L186" t="s">
        <v>2890</v>
      </c>
      <c r="M186" t="s">
        <v>2967</v>
      </c>
      <c r="O186" t="s">
        <v>2970</v>
      </c>
      <c r="P186" t="s">
        <v>3059</v>
      </c>
      <c r="Q186">
        <v>12</v>
      </c>
      <c r="R186" t="s">
        <v>3342</v>
      </c>
    </row>
    <row r="187" spans="1:19">
      <c r="A187" t="s">
        <v>21</v>
      </c>
      <c r="B187" s="1">
        <f>HYPERLINK("https://cordis.europa.eu/project/id/613979", "613979")</f>
        <v>0</v>
      </c>
      <c r="C187" t="s">
        <v>164</v>
      </c>
      <c r="D187" t="s">
        <v>974</v>
      </c>
      <c r="F187" t="s">
        <v>2136</v>
      </c>
      <c r="G187" t="s">
        <v>1948</v>
      </c>
      <c r="H187" t="s">
        <v>2549</v>
      </c>
      <c r="I187" t="s">
        <v>2557</v>
      </c>
      <c r="J187" s="1">
        <f>HYPERLINK("https://ec.europa.eu/info/funding-tenders/opportunities/portal/screen/how-to-participate/org-details/999613131", "999613131")</f>
        <v>0</v>
      </c>
      <c r="K187" t="s">
        <v>2591</v>
      </c>
      <c r="L187" t="s">
        <v>2831</v>
      </c>
      <c r="M187" t="s">
        <v>2965</v>
      </c>
      <c r="O187" t="s">
        <v>2972</v>
      </c>
      <c r="P187" t="s">
        <v>3118</v>
      </c>
      <c r="Q187">
        <v>29</v>
      </c>
      <c r="R187" t="s">
        <v>3342</v>
      </c>
    </row>
    <row r="188" spans="1:19">
      <c r="A188" t="s">
        <v>21</v>
      </c>
      <c r="B188" s="1">
        <f>HYPERLINK("https://cordis.europa.eu/project/id/613979", "613979")</f>
        <v>0</v>
      </c>
      <c r="C188" t="s">
        <v>164</v>
      </c>
      <c r="D188" t="s">
        <v>974</v>
      </c>
      <c r="F188" t="s">
        <v>2136</v>
      </c>
      <c r="G188" t="s">
        <v>1948</v>
      </c>
      <c r="H188" t="s">
        <v>2548</v>
      </c>
      <c r="I188" t="s">
        <v>2556</v>
      </c>
      <c r="J188" s="1">
        <f>HYPERLINK("https://ec.europa.eu/info/funding-tenders/opportunities/portal/screen/how-to-participate/org-details/997151562", "997151562")</f>
        <v>0</v>
      </c>
      <c r="K188" t="s">
        <v>2604</v>
      </c>
      <c r="M188" t="s">
        <v>2965</v>
      </c>
      <c r="O188" t="s">
        <v>2972</v>
      </c>
      <c r="P188" t="s">
        <v>3118</v>
      </c>
      <c r="Q188">
        <v>30</v>
      </c>
      <c r="R188" t="s">
        <v>3342</v>
      </c>
    </row>
    <row r="189" spans="1:19">
      <c r="A189" t="s">
        <v>21</v>
      </c>
      <c r="B189" s="1">
        <f>HYPERLINK("https://cordis.europa.eu/project/id/243908", "243908")</f>
        <v>0</v>
      </c>
      <c r="C189" t="s">
        <v>165</v>
      </c>
      <c r="D189" t="s">
        <v>975</v>
      </c>
      <c r="F189" t="s">
        <v>2117</v>
      </c>
      <c r="G189" t="s">
        <v>2334</v>
      </c>
      <c r="H189" t="s">
        <v>2548</v>
      </c>
      <c r="I189" t="s">
        <v>2556</v>
      </c>
      <c r="J189" s="1">
        <f>HYPERLINK("https://ec.europa.eu/info/funding-tenders/opportunities/portal/screen/how-to-participate/org-details/986119267", "986119267")</f>
        <v>0</v>
      </c>
      <c r="K189" t="s">
        <v>2572</v>
      </c>
      <c r="L189" t="s">
        <v>2815</v>
      </c>
      <c r="M189" t="s">
        <v>2965</v>
      </c>
      <c r="O189" t="s">
        <v>2972</v>
      </c>
      <c r="P189" t="s">
        <v>3065</v>
      </c>
      <c r="Q189">
        <v>23</v>
      </c>
      <c r="R189" t="s">
        <v>3342</v>
      </c>
    </row>
    <row r="190" spans="1:19">
      <c r="A190" t="s">
        <v>21</v>
      </c>
      <c r="B190" s="1">
        <f>HYPERLINK("https://cordis.europa.eu/project/id/243908", "243908")</f>
        <v>0</v>
      </c>
      <c r="C190" t="s">
        <v>165</v>
      </c>
      <c r="D190" t="s">
        <v>975</v>
      </c>
      <c r="F190" t="s">
        <v>2117</v>
      </c>
      <c r="G190" t="s">
        <v>2334</v>
      </c>
      <c r="H190" t="s">
        <v>2548</v>
      </c>
      <c r="I190" t="s">
        <v>2556</v>
      </c>
      <c r="J190" s="1">
        <f>HYPERLINK("https://ec.europa.eu/info/funding-tenders/opportunities/portal/screen/how-to-participate/org-details/999885216", "999885216")</f>
        <v>0</v>
      </c>
      <c r="K190" t="s">
        <v>2658</v>
      </c>
      <c r="L190" t="s">
        <v>2884</v>
      </c>
      <c r="M190" t="s">
        <v>2965</v>
      </c>
      <c r="O190" t="s">
        <v>2972</v>
      </c>
      <c r="P190" t="s">
        <v>3065</v>
      </c>
      <c r="Q190">
        <v>22</v>
      </c>
      <c r="R190" t="s">
        <v>3342</v>
      </c>
    </row>
    <row r="191" spans="1:19">
      <c r="A191" t="s">
        <v>21</v>
      </c>
      <c r="B191" s="1">
        <f>HYPERLINK("https://cordis.europa.eu/project/id/303419", "303419")</f>
        <v>0</v>
      </c>
      <c r="C191" t="s">
        <v>166</v>
      </c>
      <c r="D191" t="s">
        <v>976</v>
      </c>
      <c r="F191" t="s">
        <v>2171</v>
      </c>
      <c r="G191" t="s">
        <v>1905</v>
      </c>
      <c r="H191" t="s">
        <v>2548</v>
      </c>
      <c r="I191" t="s">
        <v>2556</v>
      </c>
      <c r="J191" s="1">
        <f>HYPERLINK("https://ec.europa.eu/info/funding-tenders/opportunities/portal/screen/how-to-participate/org-details/986276989", "986276989")</f>
        <v>0</v>
      </c>
      <c r="K191" t="s">
        <v>2666</v>
      </c>
      <c r="L191" t="s">
        <v>2891</v>
      </c>
      <c r="M191" t="s">
        <v>2965</v>
      </c>
      <c r="O191" t="s">
        <v>2980</v>
      </c>
      <c r="P191" t="s">
        <v>3119</v>
      </c>
      <c r="Q191">
        <v>8</v>
      </c>
      <c r="R191" t="s">
        <v>3342</v>
      </c>
    </row>
    <row r="192" spans="1:19">
      <c r="A192" t="s">
        <v>21</v>
      </c>
      <c r="B192" s="1">
        <f>HYPERLINK("https://cordis.europa.eu/project/id/244121", "244121")</f>
        <v>0</v>
      </c>
      <c r="C192" t="s">
        <v>65</v>
      </c>
      <c r="D192" t="s">
        <v>977</v>
      </c>
      <c r="F192" t="s">
        <v>2106</v>
      </c>
      <c r="G192" t="s">
        <v>2379</v>
      </c>
      <c r="H192" t="s">
        <v>2548</v>
      </c>
      <c r="I192" t="s">
        <v>2556</v>
      </c>
      <c r="J192" s="1">
        <f>HYPERLINK("https://ec.europa.eu/info/funding-tenders/opportunities/portal/screen/how-to-participate/org-details/994387935", "994387935")</f>
        <v>0</v>
      </c>
      <c r="K192" t="s">
        <v>2667</v>
      </c>
      <c r="L192" t="s">
        <v>2892</v>
      </c>
      <c r="M192" t="s">
        <v>2965</v>
      </c>
      <c r="O192" t="s">
        <v>2972</v>
      </c>
      <c r="P192" t="s">
        <v>3065</v>
      </c>
      <c r="Q192">
        <v>24</v>
      </c>
      <c r="R192" t="s">
        <v>3342</v>
      </c>
    </row>
    <row r="193" spans="1:19">
      <c r="A193" t="s">
        <v>21</v>
      </c>
      <c r="B193" s="1">
        <f>HYPERLINK("https://cordis.europa.eu/project/id/241302", "241302")</f>
        <v>0</v>
      </c>
      <c r="C193" t="s">
        <v>167</v>
      </c>
      <c r="D193" t="s">
        <v>978</v>
      </c>
      <c r="F193" t="s">
        <v>2172</v>
      </c>
      <c r="G193" t="s">
        <v>2380</v>
      </c>
      <c r="H193" t="s">
        <v>2548</v>
      </c>
      <c r="I193" t="s">
        <v>2556</v>
      </c>
      <c r="J193" s="1">
        <f>HYPERLINK("https://ec.europa.eu/info/funding-tenders/opportunities/portal/screen/how-to-participate/org-details/999885216", "999885216")</f>
        <v>0</v>
      </c>
      <c r="K193" t="s">
        <v>2658</v>
      </c>
      <c r="L193" t="s">
        <v>2884</v>
      </c>
      <c r="M193" t="s">
        <v>2965</v>
      </c>
      <c r="O193" t="s">
        <v>2970</v>
      </c>
      <c r="P193" t="s">
        <v>3112</v>
      </c>
      <c r="Q193">
        <v>9</v>
      </c>
      <c r="R193" t="s">
        <v>3342</v>
      </c>
    </row>
    <row r="194" spans="1:19">
      <c r="A194" t="s">
        <v>21</v>
      </c>
      <c r="B194" s="1">
        <f>HYPERLINK("https://cordis.europa.eu/project/id/312325", "312325")</f>
        <v>0</v>
      </c>
      <c r="C194" t="s">
        <v>168</v>
      </c>
      <c r="D194" t="s">
        <v>979</v>
      </c>
      <c r="F194" t="s">
        <v>2158</v>
      </c>
      <c r="G194" t="s">
        <v>2332</v>
      </c>
      <c r="H194" t="s">
        <v>2548</v>
      </c>
      <c r="I194" t="s">
        <v>2556</v>
      </c>
      <c r="J194" s="1">
        <f>HYPERLINK("https://ec.europa.eu/info/funding-tenders/opportunities/portal/screen/how-to-participate/org-details/995410024", "995410024")</f>
        <v>0</v>
      </c>
      <c r="K194" t="s">
        <v>2646</v>
      </c>
      <c r="L194" t="s">
        <v>2874</v>
      </c>
      <c r="O194" t="s">
        <v>2990</v>
      </c>
      <c r="P194" t="s">
        <v>3120</v>
      </c>
      <c r="Q194">
        <v>18</v>
      </c>
      <c r="R194" t="s">
        <v>3342</v>
      </c>
    </row>
    <row r="195" spans="1:19">
      <c r="A195" t="s">
        <v>21</v>
      </c>
      <c r="B195" s="1">
        <f>HYPERLINK("https://cordis.europa.eu/project/id/285609", "285609")</f>
        <v>0</v>
      </c>
      <c r="C195" t="s">
        <v>169</v>
      </c>
      <c r="D195" t="s">
        <v>980</v>
      </c>
      <c r="F195" t="s">
        <v>2152</v>
      </c>
      <c r="G195" t="s">
        <v>2367</v>
      </c>
      <c r="H195" t="s">
        <v>2549</v>
      </c>
      <c r="I195" t="s">
        <v>2557</v>
      </c>
      <c r="J195" s="1">
        <f>HYPERLINK("https://ec.europa.eu/info/funding-tenders/opportunities/portal/screen/how-to-participate/org-details/999613131", "999613131")</f>
        <v>0</v>
      </c>
      <c r="K195" t="s">
        <v>2591</v>
      </c>
      <c r="L195" t="s">
        <v>2831</v>
      </c>
      <c r="M195" t="s">
        <v>2965</v>
      </c>
      <c r="O195" t="s">
        <v>2985</v>
      </c>
      <c r="P195" t="s">
        <v>3121</v>
      </c>
      <c r="Q195">
        <v>17</v>
      </c>
      <c r="R195" t="s">
        <v>3342</v>
      </c>
      <c r="S195" s="2">
        <v>0</v>
      </c>
    </row>
    <row r="196" spans="1:19">
      <c r="A196" t="s">
        <v>21</v>
      </c>
      <c r="B196" s="1">
        <f>HYPERLINK("https://cordis.europa.eu/project/id/251186", "251186")</f>
        <v>0</v>
      </c>
      <c r="C196" t="s">
        <v>170</v>
      </c>
      <c r="D196" t="s">
        <v>981</v>
      </c>
      <c r="F196" t="s">
        <v>2121</v>
      </c>
      <c r="G196" t="s">
        <v>2356</v>
      </c>
      <c r="H196" t="s">
        <v>2548</v>
      </c>
      <c r="I196" t="s">
        <v>2556</v>
      </c>
      <c r="J196" s="1">
        <f>HYPERLINK("https://ec.europa.eu/info/funding-tenders/opportunities/portal/screen/how-to-participate/org-details/986247404", "986247404")</f>
        <v>0</v>
      </c>
      <c r="K196" t="s">
        <v>2668</v>
      </c>
      <c r="L196" t="s">
        <v>2893</v>
      </c>
      <c r="M196" t="s">
        <v>2967</v>
      </c>
      <c r="O196" t="s">
        <v>2977</v>
      </c>
      <c r="P196" t="s">
        <v>3083</v>
      </c>
      <c r="Q196">
        <v>5</v>
      </c>
      <c r="R196" t="s">
        <v>3342</v>
      </c>
    </row>
    <row r="197" spans="1:19">
      <c r="A197" t="s">
        <v>21</v>
      </c>
      <c r="B197" s="1">
        <f>HYPERLINK("https://cordis.europa.eu/project/id/269978", "269978")</f>
        <v>0</v>
      </c>
      <c r="C197" t="s">
        <v>171</v>
      </c>
      <c r="D197" t="s">
        <v>982</v>
      </c>
      <c r="F197" t="s">
        <v>2162</v>
      </c>
      <c r="G197" t="s">
        <v>2330</v>
      </c>
      <c r="H197" t="s">
        <v>2549</v>
      </c>
      <c r="I197" t="s">
        <v>2557</v>
      </c>
      <c r="J197" s="1">
        <f>HYPERLINK("https://ec.europa.eu/info/funding-tenders/opportunities/portal/screen/how-to-participate/org-details/999613131", "999613131")</f>
        <v>0</v>
      </c>
      <c r="K197" t="s">
        <v>2591</v>
      </c>
      <c r="L197" t="s">
        <v>2831</v>
      </c>
      <c r="M197" t="s">
        <v>2965</v>
      </c>
      <c r="O197" t="s">
        <v>2970</v>
      </c>
      <c r="P197" t="s">
        <v>3122</v>
      </c>
      <c r="Q197">
        <v>17</v>
      </c>
      <c r="R197" t="s">
        <v>3342</v>
      </c>
      <c r="S197" s="2">
        <v>210000</v>
      </c>
    </row>
    <row r="198" spans="1:19">
      <c r="A198" t="s">
        <v>21</v>
      </c>
      <c r="B198" s="1">
        <f>HYPERLINK("https://cordis.europa.eu/project/id/613678", "613678")</f>
        <v>0</v>
      </c>
      <c r="C198" t="s">
        <v>172</v>
      </c>
      <c r="D198" t="s">
        <v>983</v>
      </c>
      <c r="F198" t="s">
        <v>2131</v>
      </c>
      <c r="G198" t="s">
        <v>2354</v>
      </c>
      <c r="H198" t="s">
        <v>2549</v>
      </c>
      <c r="I198" t="s">
        <v>2557</v>
      </c>
      <c r="J198" s="1">
        <f>HYPERLINK("https://ec.europa.eu/info/funding-tenders/opportunities/portal/screen/how-to-participate/org-details/998317211", "998317211")</f>
        <v>0</v>
      </c>
      <c r="K198" t="s">
        <v>2649</v>
      </c>
      <c r="M198" t="s">
        <v>2966</v>
      </c>
      <c r="O198" t="s">
        <v>2987</v>
      </c>
      <c r="P198" t="s">
        <v>3118</v>
      </c>
      <c r="Q198">
        <v>18</v>
      </c>
      <c r="R198" t="s">
        <v>3342</v>
      </c>
    </row>
    <row r="199" spans="1:19">
      <c r="A199" t="s">
        <v>21</v>
      </c>
      <c r="B199" s="1">
        <f>HYPERLINK("https://cordis.europa.eu/project/id/613678", "613678")</f>
        <v>0</v>
      </c>
      <c r="C199" t="s">
        <v>172</v>
      </c>
      <c r="D199" t="s">
        <v>983</v>
      </c>
      <c r="F199" t="s">
        <v>2131</v>
      </c>
      <c r="G199" t="s">
        <v>2354</v>
      </c>
      <c r="H199" t="s">
        <v>2548</v>
      </c>
      <c r="I199" t="s">
        <v>2556</v>
      </c>
      <c r="J199" s="1">
        <f>HYPERLINK("https://ec.europa.eu/info/funding-tenders/opportunities/portal/screen/how-to-participate/org-details/998354750", "998354750")</f>
        <v>0</v>
      </c>
      <c r="K199" t="s">
        <v>2596</v>
      </c>
      <c r="L199" t="s">
        <v>2834</v>
      </c>
      <c r="M199" t="s">
        <v>2969</v>
      </c>
      <c r="O199" t="s">
        <v>2987</v>
      </c>
      <c r="P199" t="s">
        <v>3118</v>
      </c>
      <c r="Q199">
        <v>17</v>
      </c>
      <c r="R199" t="s">
        <v>3342</v>
      </c>
    </row>
    <row r="200" spans="1:19">
      <c r="A200" t="s">
        <v>21</v>
      </c>
      <c r="B200" s="1">
        <f>HYPERLINK("https://cordis.europa.eu/project/id/278913", "278913")</f>
        <v>0</v>
      </c>
      <c r="C200" t="s">
        <v>173</v>
      </c>
      <c r="D200" t="s">
        <v>984</v>
      </c>
      <c r="F200" t="s">
        <v>2159</v>
      </c>
      <c r="G200" t="s">
        <v>2381</v>
      </c>
      <c r="H200" t="s">
        <v>2548</v>
      </c>
      <c r="I200" t="s">
        <v>2556</v>
      </c>
      <c r="J200" s="1">
        <f>HYPERLINK("https://ec.europa.eu/info/funding-tenders/opportunities/portal/screen/how-to-participate/org-details/995994837", "995994837")</f>
        <v>0</v>
      </c>
      <c r="K200" t="s">
        <v>2610</v>
      </c>
      <c r="L200" t="s">
        <v>2843</v>
      </c>
      <c r="M200" t="s">
        <v>2965</v>
      </c>
      <c r="O200" t="s">
        <v>2973</v>
      </c>
      <c r="P200" t="s">
        <v>3076</v>
      </c>
      <c r="Q200">
        <v>28</v>
      </c>
      <c r="R200" t="s">
        <v>3342</v>
      </c>
    </row>
    <row r="201" spans="1:19">
      <c r="A201" t="s">
        <v>21</v>
      </c>
      <c r="B201" s="1">
        <f>HYPERLINK("https://cordis.europa.eu/project/id/279233", "279233")</f>
        <v>0</v>
      </c>
      <c r="C201" t="s">
        <v>174</v>
      </c>
      <c r="D201" t="s">
        <v>985</v>
      </c>
      <c r="F201" t="s">
        <v>2126</v>
      </c>
      <c r="G201" t="s">
        <v>2355</v>
      </c>
      <c r="H201" t="s">
        <v>2549</v>
      </c>
      <c r="I201" t="s">
        <v>2557</v>
      </c>
      <c r="J201" s="1">
        <f>HYPERLINK("https://ec.europa.eu/info/funding-tenders/opportunities/portal/screen/how-to-participate/org-details/999613131", "999613131")</f>
        <v>0</v>
      </c>
      <c r="K201" t="s">
        <v>2591</v>
      </c>
      <c r="L201" t="s">
        <v>2831</v>
      </c>
      <c r="M201" t="s">
        <v>2965</v>
      </c>
      <c r="O201" t="s">
        <v>2973</v>
      </c>
      <c r="P201" t="s">
        <v>3076</v>
      </c>
      <c r="Q201">
        <v>25</v>
      </c>
      <c r="R201" t="s">
        <v>3342</v>
      </c>
    </row>
    <row r="202" spans="1:19">
      <c r="A202" t="s">
        <v>21</v>
      </c>
      <c r="B202" s="1">
        <f>HYPERLINK("https://cordis.europa.eu/project/id/603993", "603993")</f>
        <v>0</v>
      </c>
      <c r="C202" t="s">
        <v>175</v>
      </c>
      <c r="D202" t="s">
        <v>986</v>
      </c>
      <c r="F202" t="s">
        <v>2139</v>
      </c>
      <c r="G202" t="s">
        <v>2382</v>
      </c>
      <c r="H202" t="s">
        <v>2548</v>
      </c>
      <c r="I202" t="s">
        <v>2556</v>
      </c>
      <c r="J202" s="1">
        <f>HYPERLINK("https://ec.europa.eu/info/funding-tenders/opportunities/portal/screen/how-to-participate/org-details/949274593", "949274593")</f>
        <v>0</v>
      </c>
      <c r="K202" t="s">
        <v>2669</v>
      </c>
      <c r="L202" t="s">
        <v>2894</v>
      </c>
      <c r="M202" t="s">
        <v>2967</v>
      </c>
      <c r="O202" t="s">
        <v>2972</v>
      </c>
      <c r="P202" t="s">
        <v>3123</v>
      </c>
      <c r="Q202">
        <v>69</v>
      </c>
      <c r="R202" t="s">
        <v>3342</v>
      </c>
    </row>
    <row r="203" spans="1:19">
      <c r="A203" t="s">
        <v>21</v>
      </c>
      <c r="B203" s="1">
        <f>HYPERLINK("https://cordis.europa.eu/project/id/289016", "289016")</f>
        <v>0</v>
      </c>
      <c r="C203" t="s">
        <v>176</v>
      </c>
      <c r="D203" t="s">
        <v>987</v>
      </c>
      <c r="F203" t="s">
        <v>2160</v>
      </c>
      <c r="G203" t="s">
        <v>2369</v>
      </c>
      <c r="H203" t="s">
        <v>2548</v>
      </c>
      <c r="I203" t="s">
        <v>2556</v>
      </c>
      <c r="J203" s="1">
        <f>HYPERLINK("https://ec.europa.eu/info/funding-tenders/opportunities/portal/screen/how-to-participate/org-details/973066462", "973066462")</f>
        <v>0</v>
      </c>
      <c r="K203" t="s">
        <v>2654</v>
      </c>
      <c r="L203" t="s">
        <v>2880</v>
      </c>
      <c r="M203" t="s">
        <v>2965</v>
      </c>
      <c r="O203" t="s">
        <v>2970</v>
      </c>
      <c r="P203" t="s">
        <v>3096</v>
      </c>
      <c r="Q203">
        <v>4</v>
      </c>
      <c r="R203" t="s">
        <v>3342</v>
      </c>
      <c r="S203" s="2">
        <v>0</v>
      </c>
    </row>
    <row r="204" spans="1:19">
      <c r="A204" t="s">
        <v>21</v>
      </c>
      <c r="B204" s="1">
        <f>HYPERLINK("https://cordis.europa.eu/project/id/218606", "218606")</f>
        <v>0</v>
      </c>
      <c r="C204" t="s">
        <v>177</v>
      </c>
      <c r="D204" t="s">
        <v>988</v>
      </c>
      <c r="F204" t="s">
        <v>2151</v>
      </c>
      <c r="G204" t="s">
        <v>2327</v>
      </c>
      <c r="H204" t="s">
        <v>2548</v>
      </c>
      <c r="I204" t="s">
        <v>2556</v>
      </c>
      <c r="J204" s="1">
        <f>HYPERLINK("https://ec.europa.eu/info/funding-tenders/opportunities/portal/screen/how-to-participate/org-details/997637823", "997637823")</f>
        <v>0</v>
      </c>
      <c r="K204" t="s">
        <v>2670</v>
      </c>
      <c r="L204" t="s">
        <v>2895</v>
      </c>
      <c r="M204" t="s">
        <v>2967</v>
      </c>
      <c r="O204" t="s">
        <v>2973</v>
      </c>
      <c r="P204" t="s">
        <v>3039</v>
      </c>
      <c r="Q204">
        <v>13</v>
      </c>
      <c r="R204" t="s">
        <v>3342</v>
      </c>
      <c r="S204" s="2">
        <v>38340</v>
      </c>
    </row>
    <row r="205" spans="1:19">
      <c r="A205" t="s">
        <v>21</v>
      </c>
      <c r="B205" s="1">
        <f>HYPERLINK("https://cordis.europa.eu/project/id/613044", "613044")</f>
        <v>0</v>
      </c>
      <c r="C205" t="s">
        <v>178</v>
      </c>
      <c r="D205" t="s">
        <v>989</v>
      </c>
      <c r="F205" t="s">
        <v>2131</v>
      </c>
      <c r="G205" t="s">
        <v>2332</v>
      </c>
      <c r="H205" t="s">
        <v>2548</v>
      </c>
      <c r="I205" t="s">
        <v>2556</v>
      </c>
      <c r="J205" s="1">
        <f>HYPERLINK("https://ec.europa.eu/info/funding-tenders/opportunities/portal/screen/how-to-participate/org-details/998826946", "998826946")</f>
        <v>0</v>
      </c>
      <c r="K205" t="s">
        <v>2617</v>
      </c>
      <c r="L205" t="s">
        <v>2848</v>
      </c>
      <c r="M205" t="s">
        <v>2965</v>
      </c>
      <c r="O205" t="s">
        <v>2970</v>
      </c>
      <c r="P205" t="s">
        <v>3124</v>
      </c>
      <c r="Q205">
        <v>2</v>
      </c>
      <c r="R205" t="s">
        <v>3342</v>
      </c>
      <c r="S205" s="2">
        <v>0</v>
      </c>
    </row>
    <row r="206" spans="1:19">
      <c r="A206" t="s">
        <v>21</v>
      </c>
      <c r="B206" s="1">
        <f>HYPERLINK("https://cordis.europa.eu/project/id/605402", "605402")</f>
        <v>0</v>
      </c>
      <c r="C206" t="s">
        <v>179</v>
      </c>
      <c r="D206" t="s">
        <v>990</v>
      </c>
      <c r="F206" t="s">
        <v>2149</v>
      </c>
      <c r="G206" t="s">
        <v>1701</v>
      </c>
      <c r="H206" t="s">
        <v>2548</v>
      </c>
      <c r="I206" t="s">
        <v>2556</v>
      </c>
      <c r="J206" s="1">
        <f>HYPERLINK("https://ec.europa.eu/info/funding-tenders/opportunities/portal/screen/how-to-participate/org-details/949840588", "949840588")</f>
        <v>0</v>
      </c>
      <c r="K206" t="s">
        <v>2671</v>
      </c>
      <c r="L206" t="s">
        <v>2895</v>
      </c>
      <c r="M206" t="s">
        <v>2967</v>
      </c>
      <c r="O206" t="s">
        <v>2970</v>
      </c>
      <c r="P206" t="s">
        <v>3125</v>
      </c>
      <c r="Q206">
        <v>22</v>
      </c>
      <c r="R206" t="s">
        <v>3342</v>
      </c>
    </row>
    <row r="207" spans="1:19">
      <c r="A207" t="s">
        <v>21</v>
      </c>
      <c r="B207" s="1">
        <f>HYPERLINK("https://cordis.europa.eu/project/id/609029", "609029")</f>
        <v>0</v>
      </c>
      <c r="C207" t="s">
        <v>180</v>
      </c>
      <c r="D207" t="s">
        <v>991</v>
      </c>
      <c r="F207" t="s">
        <v>2173</v>
      </c>
      <c r="G207" t="s">
        <v>2332</v>
      </c>
      <c r="H207" t="s">
        <v>2548</v>
      </c>
      <c r="I207" t="s">
        <v>2556</v>
      </c>
      <c r="J207" s="1">
        <f>HYPERLINK("https://ec.europa.eu/info/funding-tenders/opportunities/portal/screen/how-to-participate/org-details/951759248", "951759248")</f>
        <v>0</v>
      </c>
      <c r="K207" t="s">
        <v>2672</v>
      </c>
      <c r="L207" t="s">
        <v>2896</v>
      </c>
      <c r="M207" t="s">
        <v>2967</v>
      </c>
      <c r="O207" t="s">
        <v>2970</v>
      </c>
      <c r="P207" t="s">
        <v>3126</v>
      </c>
      <c r="Q207">
        <v>4</v>
      </c>
      <c r="R207" t="s">
        <v>3342</v>
      </c>
      <c r="S207" s="2">
        <v>89604</v>
      </c>
    </row>
    <row r="208" spans="1:19">
      <c r="A208" t="s">
        <v>21</v>
      </c>
      <c r="B208" s="1">
        <f>HYPERLINK("https://cordis.europa.eu/project/id/603629", "603629")</f>
        <v>0</v>
      </c>
      <c r="C208" t="s">
        <v>181</v>
      </c>
      <c r="D208" t="s">
        <v>992</v>
      </c>
      <c r="F208" t="s">
        <v>2115</v>
      </c>
      <c r="G208" t="s">
        <v>2322</v>
      </c>
      <c r="H208" t="s">
        <v>2548</v>
      </c>
      <c r="I208" t="s">
        <v>2556</v>
      </c>
      <c r="J208" s="1">
        <f>HYPERLINK("https://ec.europa.eu/info/funding-tenders/opportunities/portal/screen/how-to-participate/org-details/997292018", "997292018")</f>
        <v>0</v>
      </c>
      <c r="K208" t="s">
        <v>2606</v>
      </c>
      <c r="L208" t="s">
        <v>2841</v>
      </c>
      <c r="M208" t="s">
        <v>2965</v>
      </c>
      <c r="O208" t="s">
        <v>2970</v>
      </c>
      <c r="P208" t="s">
        <v>3127</v>
      </c>
      <c r="Q208">
        <v>22</v>
      </c>
      <c r="R208" t="s">
        <v>3342</v>
      </c>
    </row>
    <row r="209" spans="1:19">
      <c r="A209" t="s">
        <v>21</v>
      </c>
      <c r="B209" s="1">
        <f>HYPERLINK("https://cordis.europa.eu/project/id/603288", "603288")</f>
        <v>0</v>
      </c>
      <c r="C209" t="s">
        <v>182</v>
      </c>
      <c r="D209" t="s">
        <v>993</v>
      </c>
      <c r="F209" t="s">
        <v>2115</v>
      </c>
      <c r="G209" t="s">
        <v>2377</v>
      </c>
      <c r="H209" t="s">
        <v>2548</v>
      </c>
      <c r="I209" t="s">
        <v>2556</v>
      </c>
      <c r="J209" s="1">
        <f>HYPERLINK("https://ec.europa.eu/info/funding-tenders/opportunities/portal/screen/how-to-participate/org-details/998804636", "998804636")</f>
        <v>0</v>
      </c>
      <c r="K209" t="s">
        <v>2612</v>
      </c>
      <c r="L209" t="s">
        <v>2845</v>
      </c>
      <c r="M209" t="s">
        <v>2965</v>
      </c>
      <c r="O209" t="s">
        <v>2973</v>
      </c>
      <c r="P209" t="s">
        <v>3037</v>
      </c>
      <c r="Q209">
        <v>12</v>
      </c>
      <c r="R209" t="s">
        <v>3342</v>
      </c>
    </row>
    <row r="210" spans="1:19">
      <c r="A210" t="s">
        <v>21</v>
      </c>
      <c r="B210" s="1">
        <f>HYPERLINK("https://cordis.europa.eu/project/id/202020", "202020")</f>
        <v>0</v>
      </c>
      <c r="C210" t="s">
        <v>183</v>
      </c>
      <c r="D210" t="s">
        <v>994</v>
      </c>
      <c r="F210" t="s">
        <v>2174</v>
      </c>
      <c r="G210" t="s">
        <v>2340</v>
      </c>
      <c r="H210" t="s">
        <v>2549</v>
      </c>
      <c r="I210" t="s">
        <v>2557</v>
      </c>
      <c r="J210" s="1">
        <f>HYPERLINK("https://ec.europa.eu/info/funding-tenders/opportunities/portal/screen/how-to-participate/org-details/999613131", "999613131")</f>
        <v>0</v>
      </c>
      <c r="K210" t="s">
        <v>2591</v>
      </c>
      <c r="L210" t="s">
        <v>2831</v>
      </c>
      <c r="M210" t="s">
        <v>2965</v>
      </c>
      <c r="O210" t="s">
        <v>2973</v>
      </c>
      <c r="P210" t="s">
        <v>3087</v>
      </c>
      <c r="Q210">
        <v>12</v>
      </c>
      <c r="R210" t="s">
        <v>3342</v>
      </c>
      <c r="S210" s="2">
        <v>107463</v>
      </c>
    </row>
    <row r="211" spans="1:19">
      <c r="A211" t="s">
        <v>21</v>
      </c>
      <c r="B211" s="1">
        <f>HYPERLINK("https://cordis.europa.eu/project/id/288021", "288021")</f>
        <v>0</v>
      </c>
      <c r="C211" t="s">
        <v>184</v>
      </c>
      <c r="D211" t="s">
        <v>995</v>
      </c>
      <c r="F211" t="s">
        <v>2123</v>
      </c>
      <c r="G211" t="s">
        <v>2330</v>
      </c>
      <c r="H211" t="s">
        <v>2548</v>
      </c>
      <c r="I211" t="s">
        <v>2556</v>
      </c>
      <c r="J211" s="1">
        <f>HYPERLINK("https://ec.europa.eu/info/funding-tenders/opportunities/portal/screen/how-to-participate/org-details/996231614", "996231614")</f>
        <v>0</v>
      </c>
      <c r="K211" t="s">
        <v>2652</v>
      </c>
      <c r="L211" t="s">
        <v>2652</v>
      </c>
      <c r="M211" t="s">
        <v>2965</v>
      </c>
      <c r="O211" t="s">
        <v>2989</v>
      </c>
      <c r="P211" t="s">
        <v>3096</v>
      </c>
      <c r="Q211">
        <v>6</v>
      </c>
      <c r="R211" t="s">
        <v>3342</v>
      </c>
      <c r="S211" s="2">
        <v>37800</v>
      </c>
    </row>
    <row r="212" spans="1:19">
      <c r="A212" t="s">
        <v>21</v>
      </c>
      <c r="B212" s="1">
        <f>HYPERLINK("https://cordis.europa.eu/project/id/224409", "224409")</f>
        <v>0</v>
      </c>
      <c r="C212" t="s">
        <v>185</v>
      </c>
      <c r="D212" t="s">
        <v>996</v>
      </c>
      <c r="F212" t="s">
        <v>2107</v>
      </c>
      <c r="G212" t="s">
        <v>2383</v>
      </c>
      <c r="H212" t="s">
        <v>2548</v>
      </c>
      <c r="I212" t="s">
        <v>2556</v>
      </c>
      <c r="J212" s="1">
        <f>HYPERLINK("https://ec.europa.eu/info/funding-tenders/opportunities/portal/screen/how-to-participate/org-details/999597126", "999597126")</f>
        <v>0</v>
      </c>
      <c r="K212" t="s">
        <v>2673</v>
      </c>
      <c r="L212" t="s">
        <v>2897</v>
      </c>
      <c r="M212" t="s">
        <v>2967</v>
      </c>
      <c r="O212" t="s">
        <v>2970</v>
      </c>
      <c r="P212" t="s">
        <v>3128</v>
      </c>
      <c r="Q212">
        <v>2</v>
      </c>
      <c r="R212" t="s">
        <v>3342</v>
      </c>
      <c r="S212" s="2">
        <v>0</v>
      </c>
    </row>
    <row r="213" spans="1:19">
      <c r="A213" t="s">
        <v>21</v>
      </c>
      <c r="B213" s="1">
        <f>HYPERLINK("https://cordis.europa.eu/project/id/245162", "245162")</f>
        <v>0</v>
      </c>
      <c r="C213" t="s">
        <v>186</v>
      </c>
      <c r="D213" t="s">
        <v>997</v>
      </c>
      <c r="F213" t="s">
        <v>2117</v>
      </c>
      <c r="G213" t="s">
        <v>2319</v>
      </c>
      <c r="H213" t="s">
        <v>2548</v>
      </c>
      <c r="I213" t="s">
        <v>2556</v>
      </c>
      <c r="J213" s="1">
        <f>HYPERLINK("https://ec.europa.eu/info/funding-tenders/opportunities/portal/screen/how-to-participate/org-details/999894043", "999894043")</f>
        <v>0</v>
      </c>
      <c r="K213" t="s">
        <v>2568</v>
      </c>
      <c r="L213" t="s">
        <v>2812</v>
      </c>
      <c r="M213" t="s">
        <v>2965</v>
      </c>
      <c r="O213" t="s">
        <v>2973</v>
      </c>
      <c r="P213" t="s">
        <v>3089</v>
      </c>
      <c r="Q213">
        <v>6</v>
      </c>
      <c r="R213" t="s">
        <v>3342</v>
      </c>
    </row>
    <row r="214" spans="1:19">
      <c r="A214" t="s">
        <v>21</v>
      </c>
      <c r="B214" s="1">
        <f>HYPERLINK("https://cordis.europa.eu/project/id/312184", "312184")</f>
        <v>0</v>
      </c>
      <c r="C214" t="s">
        <v>187</v>
      </c>
      <c r="D214" t="s">
        <v>998</v>
      </c>
      <c r="F214" t="s">
        <v>2153</v>
      </c>
      <c r="G214" t="s">
        <v>2384</v>
      </c>
      <c r="H214" t="s">
        <v>2549</v>
      </c>
      <c r="I214" t="s">
        <v>2557</v>
      </c>
      <c r="J214" s="1">
        <f>HYPERLINK("https://ec.europa.eu/info/funding-tenders/opportunities/portal/screen/how-to-participate/org-details/966956432", "966956432")</f>
        <v>0</v>
      </c>
      <c r="K214" t="s">
        <v>2674</v>
      </c>
      <c r="L214" t="s">
        <v>2674</v>
      </c>
      <c r="M214" t="s">
        <v>2965</v>
      </c>
      <c r="O214" t="s">
        <v>2987</v>
      </c>
      <c r="P214" t="s">
        <v>3129</v>
      </c>
      <c r="Q214">
        <v>24</v>
      </c>
      <c r="R214" t="s">
        <v>3342</v>
      </c>
    </row>
    <row r="215" spans="1:19">
      <c r="A215" t="s">
        <v>21</v>
      </c>
      <c r="B215" s="1">
        <f>HYPERLINK("https://cordis.europa.eu/project/id/218812", "218812")</f>
        <v>0</v>
      </c>
      <c r="C215" t="s">
        <v>188</v>
      </c>
      <c r="D215" t="s">
        <v>999</v>
      </c>
      <c r="F215" t="s">
        <v>2134</v>
      </c>
      <c r="G215" t="s">
        <v>2363</v>
      </c>
      <c r="H215" t="s">
        <v>2548</v>
      </c>
      <c r="I215" t="s">
        <v>2556</v>
      </c>
      <c r="J215" s="1">
        <f>HYPERLINK("https://ec.europa.eu/info/funding-tenders/opportunities/portal/screen/how-to-participate/org-details/997400464", "997400464")</f>
        <v>0</v>
      </c>
      <c r="K215" t="s">
        <v>2663</v>
      </c>
      <c r="L215" t="s">
        <v>2888</v>
      </c>
      <c r="M215" t="s">
        <v>2969</v>
      </c>
      <c r="O215" t="s">
        <v>2970</v>
      </c>
      <c r="P215" t="s">
        <v>3130</v>
      </c>
      <c r="Q215">
        <v>64</v>
      </c>
      <c r="R215" t="s">
        <v>3342</v>
      </c>
    </row>
    <row r="216" spans="1:19">
      <c r="A216" t="s">
        <v>21</v>
      </c>
      <c r="B216" s="1">
        <f>HYPERLINK("https://cordis.europa.eu/project/id/248502", "248502")</f>
        <v>0</v>
      </c>
      <c r="C216" t="s">
        <v>189</v>
      </c>
      <c r="D216" t="s">
        <v>1000</v>
      </c>
      <c r="F216" t="s">
        <v>2106</v>
      </c>
      <c r="G216" t="s">
        <v>2383</v>
      </c>
      <c r="H216" t="s">
        <v>2549</v>
      </c>
      <c r="I216" t="s">
        <v>2557</v>
      </c>
      <c r="J216" s="1">
        <f>HYPERLINK("https://ec.europa.eu/info/funding-tenders/opportunities/portal/screen/how-to-participate/org-details/999613131", "999613131")</f>
        <v>0</v>
      </c>
      <c r="K216" t="s">
        <v>2591</v>
      </c>
      <c r="L216" t="s">
        <v>2831</v>
      </c>
      <c r="M216" t="s">
        <v>2965</v>
      </c>
      <c r="O216" t="s">
        <v>2970</v>
      </c>
      <c r="P216" t="s">
        <v>3034</v>
      </c>
      <c r="Q216">
        <v>4</v>
      </c>
      <c r="R216" t="s">
        <v>3342</v>
      </c>
      <c r="S216" s="2">
        <v>145539</v>
      </c>
    </row>
    <row r="217" spans="1:19">
      <c r="A217" t="s">
        <v>21</v>
      </c>
      <c r="B217" s="1">
        <f>HYPERLINK("https://cordis.europa.eu/project/id/606935", "606935")</f>
        <v>0</v>
      </c>
      <c r="C217" t="s">
        <v>190</v>
      </c>
      <c r="D217" t="s">
        <v>1001</v>
      </c>
      <c r="F217" t="s">
        <v>2175</v>
      </c>
      <c r="G217" t="s">
        <v>2274</v>
      </c>
      <c r="H217" t="s">
        <v>2548</v>
      </c>
      <c r="I217" t="s">
        <v>2556</v>
      </c>
      <c r="J217" s="1">
        <f>HYPERLINK("https://ec.europa.eu/info/funding-tenders/opportunities/portal/screen/how-to-participate/org-details/950727847", "950727847")</f>
        <v>0</v>
      </c>
      <c r="K217" t="s">
        <v>2675</v>
      </c>
      <c r="L217" t="s">
        <v>2675</v>
      </c>
      <c r="M217" t="s">
        <v>2966</v>
      </c>
      <c r="O217" t="s">
        <v>2973</v>
      </c>
      <c r="P217" t="s">
        <v>3043</v>
      </c>
      <c r="Q217">
        <v>13</v>
      </c>
      <c r="R217" t="s">
        <v>3342</v>
      </c>
      <c r="S217" s="2">
        <v>103000</v>
      </c>
    </row>
    <row r="218" spans="1:19">
      <c r="A218" t="s">
        <v>21</v>
      </c>
      <c r="B218" s="1">
        <f>HYPERLINK("https://cordis.europa.eu/project/id/606935", "606935")</f>
        <v>0</v>
      </c>
      <c r="C218" t="s">
        <v>190</v>
      </c>
      <c r="D218" t="s">
        <v>1001</v>
      </c>
      <c r="F218" t="s">
        <v>2175</v>
      </c>
      <c r="G218" t="s">
        <v>2274</v>
      </c>
      <c r="H218" t="s">
        <v>2548</v>
      </c>
      <c r="I218" t="s">
        <v>2556</v>
      </c>
      <c r="J218" s="1">
        <f>HYPERLINK("https://ec.europa.eu/info/funding-tenders/opportunities/portal/screen/how-to-participate/org-details/952699954", "952699954")</f>
        <v>0</v>
      </c>
      <c r="K218" t="s">
        <v>2676</v>
      </c>
      <c r="L218" t="s">
        <v>2898</v>
      </c>
      <c r="M218" t="s">
        <v>2967</v>
      </c>
      <c r="O218" t="s">
        <v>2973</v>
      </c>
      <c r="P218" t="s">
        <v>3043</v>
      </c>
      <c r="Q218">
        <v>14</v>
      </c>
      <c r="R218" t="s">
        <v>3342</v>
      </c>
      <c r="S218" s="2">
        <v>88000</v>
      </c>
    </row>
    <row r="219" spans="1:19">
      <c r="A219" t="s">
        <v>21</v>
      </c>
      <c r="B219" s="1">
        <f>HYPERLINK("https://cordis.europa.eu/project/id/241421", "241421")</f>
        <v>0</v>
      </c>
      <c r="C219" t="s">
        <v>191</v>
      </c>
      <c r="D219" t="s">
        <v>1002</v>
      </c>
      <c r="F219" t="s">
        <v>2169</v>
      </c>
      <c r="G219" t="s">
        <v>2385</v>
      </c>
      <c r="H219" t="s">
        <v>2548</v>
      </c>
      <c r="I219" t="s">
        <v>2556</v>
      </c>
      <c r="J219" s="1">
        <f>HYPERLINK("https://ec.europa.eu/info/funding-tenders/opportunities/portal/screen/how-to-participate/org-details/996231614", "996231614")</f>
        <v>0</v>
      </c>
      <c r="K219" t="s">
        <v>2652</v>
      </c>
      <c r="L219" t="s">
        <v>2652</v>
      </c>
      <c r="M219" t="s">
        <v>2965</v>
      </c>
      <c r="O219" t="s">
        <v>2979</v>
      </c>
      <c r="P219" t="s">
        <v>3112</v>
      </c>
      <c r="Q219">
        <v>23</v>
      </c>
      <c r="R219" t="s">
        <v>3342</v>
      </c>
    </row>
    <row r="220" spans="1:19">
      <c r="A220" t="s">
        <v>21</v>
      </c>
      <c r="B220" s="1">
        <f>HYPERLINK("https://cordis.europa.eu/project/id/278173", "278173")</f>
        <v>0</v>
      </c>
      <c r="C220" t="s">
        <v>192</v>
      </c>
      <c r="D220" t="s">
        <v>1003</v>
      </c>
      <c r="F220" t="s">
        <v>2160</v>
      </c>
      <c r="G220" t="s">
        <v>2369</v>
      </c>
      <c r="H220" t="s">
        <v>2548</v>
      </c>
      <c r="I220" t="s">
        <v>2556</v>
      </c>
      <c r="J220" s="1">
        <f>HYPERLINK("https://ec.europa.eu/info/funding-tenders/opportunities/portal/screen/how-to-participate/org-details/968436361", "968436361")</f>
        <v>0</v>
      </c>
      <c r="K220" t="s">
        <v>2677</v>
      </c>
      <c r="L220" t="s">
        <v>2899</v>
      </c>
      <c r="M220" t="s">
        <v>2966</v>
      </c>
      <c r="O220" t="s">
        <v>2973</v>
      </c>
      <c r="P220" t="s">
        <v>3076</v>
      </c>
      <c r="Q220">
        <v>3</v>
      </c>
      <c r="R220" t="s">
        <v>3342</v>
      </c>
      <c r="S220" s="2">
        <v>374813.84</v>
      </c>
    </row>
    <row r="221" spans="1:19">
      <c r="A221" t="s">
        <v>21</v>
      </c>
      <c r="B221" s="1">
        <f>HYPERLINK("https://cordis.europa.eu/project/id/226873", "226873")</f>
        <v>0</v>
      </c>
      <c r="C221" t="s">
        <v>193</v>
      </c>
      <c r="D221" t="s">
        <v>1004</v>
      </c>
      <c r="F221" t="s">
        <v>2141</v>
      </c>
      <c r="G221" t="s">
        <v>1725</v>
      </c>
      <c r="H221" t="s">
        <v>2549</v>
      </c>
      <c r="I221" t="s">
        <v>2557</v>
      </c>
      <c r="J221" s="1">
        <f>HYPERLINK("https://ec.europa.eu/info/funding-tenders/opportunities/portal/screen/how-to-participate/org-details/992582086", "992582086")</f>
        <v>0</v>
      </c>
      <c r="K221" t="s">
        <v>2678</v>
      </c>
      <c r="L221" t="s">
        <v>2900</v>
      </c>
      <c r="M221" t="s">
        <v>2965</v>
      </c>
      <c r="O221" t="s">
        <v>2973</v>
      </c>
      <c r="P221" t="s">
        <v>3103</v>
      </c>
      <c r="Q221">
        <v>15</v>
      </c>
      <c r="R221" t="s">
        <v>3342</v>
      </c>
    </row>
    <row r="222" spans="1:19">
      <c r="A222" t="s">
        <v>21</v>
      </c>
      <c r="B222" s="1">
        <f>HYPERLINK("https://cordis.europa.eu/project/id/226873", "226873")</f>
        <v>0</v>
      </c>
      <c r="C222" t="s">
        <v>193</v>
      </c>
      <c r="D222" t="s">
        <v>1004</v>
      </c>
      <c r="F222" t="s">
        <v>2141</v>
      </c>
      <c r="G222" t="s">
        <v>1725</v>
      </c>
      <c r="H222" t="s">
        <v>2549</v>
      </c>
      <c r="I222" t="s">
        <v>2557</v>
      </c>
      <c r="J222" s="1">
        <f>HYPERLINK("https://ec.europa.eu/info/funding-tenders/opportunities/portal/screen/how-to-participate/org-details/999613131", "999613131")</f>
        <v>0</v>
      </c>
      <c r="K222" t="s">
        <v>2591</v>
      </c>
      <c r="L222" t="s">
        <v>2831</v>
      </c>
      <c r="M222" t="s">
        <v>2965</v>
      </c>
      <c r="O222" t="s">
        <v>2973</v>
      </c>
      <c r="P222" t="s">
        <v>3103</v>
      </c>
      <c r="Q222">
        <v>14</v>
      </c>
      <c r="R222" t="s">
        <v>3342</v>
      </c>
    </row>
    <row r="223" spans="1:19">
      <c r="A223" t="s">
        <v>21</v>
      </c>
      <c r="B223" s="1">
        <f>HYPERLINK("https://cordis.europa.eu/project/id/226873", "226873")</f>
        <v>0</v>
      </c>
      <c r="C223" t="s">
        <v>193</v>
      </c>
      <c r="D223" t="s">
        <v>1004</v>
      </c>
      <c r="F223" t="s">
        <v>2141</v>
      </c>
      <c r="G223" t="s">
        <v>1725</v>
      </c>
      <c r="H223" t="s">
        <v>2548</v>
      </c>
      <c r="I223" t="s">
        <v>2556</v>
      </c>
      <c r="J223" s="1">
        <f>HYPERLINK("https://ec.europa.eu/info/funding-tenders/opportunities/portal/screen/how-to-participate/org-details/999885216", "999885216")</f>
        <v>0</v>
      </c>
      <c r="K223" t="s">
        <v>2658</v>
      </c>
      <c r="L223" t="s">
        <v>2884</v>
      </c>
      <c r="M223" t="s">
        <v>2965</v>
      </c>
      <c r="O223" t="s">
        <v>2973</v>
      </c>
      <c r="P223" t="s">
        <v>3103</v>
      </c>
      <c r="Q223">
        <v>12</v>
      </c>
      <c r="R223" t="s">
        <v>3342</v>
      </c>
    </row>
    <row r="224" spans="1:19">
      <c r="A224" t="s">
        <v>21</v>
      </c>
      <c r="B224" s="1">
        <f>HYPERLINK("https://cordis.europa.eu/project/id/223495", "223495")</f>
        <v>0</v>
      </c>
      <c r="C224" t="s">
        <v>194</v>
      </c>
      <c r="D224" t="s">
        <v>1005</v>
      </c>
      <c r="F224" t="s">
        <v>2143</v>
      </c>
      <c r="G224" t="s">
        <v>2367</v>
      </c>
      <c r="H224" t="s">
        <v>2548</v>
      </c>
      <c r="I224" t="s">
        <v>2556</v>
      </c>
      <c r="J224" s="1">
        <f>HYPERLINK("https://ec.europa.eu/info/funding-tenders/opportunities/portal/screen/how-to-participate/org-details/998089261", "998089261")</f>
        <v>0</v>
      </c>
      <c r="K224" t="s">
        <v>2661</v>
      </c>
      <c r="L224" t="s">
        <v>2887</v>
      </c>
      <c r="M224" t="s">
        <v>2966</v>
      </c>
      <c r="O224" t="s">
        <v>2973</v>
      </c>
      <c r="P224" t="s">
        <v>3069</v>
      </c>
      <c r="Q224">
        <v>7</v>
      </c>
      <c r="R224" t="s">
        <v>3342</v>
      </c>
    </row>
    <row r="225" spans="1:19">
      <c r="A225" t="s">
        <v>21</v>
      </c>
      <c r="B225" s="1">
        <f>HYPERLINK("https://cordis.europa.eu/project/id/201412", "201412")</f>
        <v>0</v>
      </c>
      <c r="C225" t="s">
        <v>195</v>
      </c>
      <c r="D225" t="s">
        <v>1006</v>
      </c>
      <c r="F225" t="s">
        <v>2164</v>
      </c>
      <c r="G225" t="s">
        <v>2386</v>
      </c>
      <c r="H225" t="s">
        <v>2548</v>
      </c>
      <c r="I225" t="s">
        <v>2556</v>
      </c>
      <c r="J225" s="1">
        <f>HYPERLINK("https://ec.europa.eu/info/funding-tenders/opportunities/portal/screen/how-to-participate/org-details/986163111", "986163111")</f>
        <v>0</v>
      </c>
      <c r="K225" t="s">
        <v>2679</v>
      </c>
      <c r="L225" t="s">
        <v>2901</v>
      </c>
      <c r="M225" t="s">
        <v>2966</v>
      </c>
      <c r="O225" t="s">
        <v>2973</v>
      </c>
      <c r="P225" t="s">
        <v>3087</v>
      </c>
      <c r="Q225">
        <v>6</v>
      </c>
      <c r="R225" t="s">
        <v>3342</v>
      </c>
    </row>
    <row r="226" spans="1:19">
      <c r="A226" t="s">
        <v>21</v>
      </c>
      <c r="B226" s="1">
        <f>HYPERLINK("https://cordis.europa.eu/project/id/613571", "613571")</f>
        <v>0</v>
      </c>
      <c r="C226" t="s">
        <v>196</v>
      </c>
      <c r="D226" t="s">
        <v>1007</v>
      </c>
      <c r="F226" t="s">
        <v>2131</v>
      </c>
      <c r="G226" t="s">
        <v>2339</v>
      </c>
      <c r="H226" t="s">
        <v>2549</v>
      </c>
      <c r="I226" t="s">
        <v>2557</v>
      </c>
      <c r="J226" s="1">
        <f>HYPERLINK("https://ec.europa.eu/info/funding-tenders/opportunities/portal/screen/how-to-participate/org-details/997692046", "997692046")</f>
        <v>0</v>
      </c>
      <c r="K226" t="s">
        <v>2680</v>
      </c>
      <c r="L226" t="s">
        <v>2902</v>
      </c>
      <c r="M226" t="s">
        <v>2966</v>
      </c>
      <c r="O226" t="s">
        <v>2987</v>
      </c>
      <c r="P226" t="s">
        <v>3118</v>
      </c>
      <c r="Q226">
        <v>19</v>
      </c>
      <c r="R226" t="s">
        <v>3342</v>
      </c>
    </row>
    <row r="227" spans="1:19">
      <c r="A227" t="s">
        <v>21</v>
      </c>
      <c r="B227" s="1">
        <f>HYPERLINK("https://cordis.europa.eu/project/id/602139", "602139")</f>
        <v>0</v>
      </c>
      <c r="C227" t="s">
        <v>197</v>
      </c>
      <c r="D227" t="s">
        <v>1008</v>
      </c>
      <c r="F227" t="s">
        <v>2149</v>
      </c>
      <c r="G227" t="s">
        <v>2374</v>
      </c>
      <c r="H227" t="s">
        <v>2548</v>
      </c>
      <c r="I227" t="s">
        <v>2556</v>
      </c>
      <c r="J227" s="1">
        <f>HYPERLINK("https://ec.europa.eu/info/funding-tenders/opportunities/portal/screen/how-to-participate/org-details/998826946", "998826946")</f>
        <v>0</v>
      </c>
      <c r="K227" t="s">
        <v>2617</v>
      </c>
      <c r="L227" t="s">
        <v>2848</v>
      </c>
      <c r="M227" t="s">
        <v>2965</v>
      </c>
      <c r="O227" t="s">
        <v>2978</v>
      </c>
      <c r="P227" t="s">
        <v>3037</v>
      </c>
      <c r="Q227">
        <v>13</v>
      </c>
      <c r="R227" t="s">
        <v>3342</v>
      </c>
      <c r="S227" s="2">
        <v>19260</v>
      </c>
    </row>
    <row r="228" spans="1:19">
      <c r="A228" t="s">
        <v>21</v>
      </c>
      <c r="B228" s="1">
        <f>HYPERLINK("https://cordis.europa.eu/project/id/261433", "261433")</f>
        <v>0</v>
      </c>
      <c r="C228" t="s">
        <v>198</v>
      </c>
      <c r="D228" t="s">
        <v>1009</v>
      </c>
      <c r="F228" t="s">
        <v>2176</v>
      </c>
      <c r="G228" t="s">
        <v>1820</v>
      </c>
      <c r="H228" t="s">
        <v>2548</v>
      </c>
      <c r="I228" t="s">
        <v>2556</v>
      </c>
      <c r="J228" s="1">
        <f>HYPERLINK("https://ec.europa.eu/info/funding-tenders/opportunities/portal/screen/how-to-participate/org-details/999555513", "999555513")</f>
        <v>0</v>
      </c>
      <c r="K228" t="s">
        <v>2681</v>
      </c>
      <c r="M228" t="s">
        <v>2966</v>
      </c>
      <c r="O228" t="s">
        <v>2972</v>
      </c>
      <c r="P228" t="s">
        <v>3038</v>
      </c>
      <c r="Q228">
        <v>14</v>
      </c>
      <c r="R228" t="s">
        <v>3342</v>
      </c>
      <c r="S228" s="2">
        <v>579704.6</v>
      </c>
    </row>
    <row r="229" spans="1:19">
      <c r="A229" t="s">
        <v>21</v>
      </c>
      <c r="B229" s="1">
        <f>HYPERLINK("https://cordis.europa.eu/project/id/261433", "261433")</f>
        <v>0</v>
      </c>
      <c r="C229" t="s">
        <v>198</v>
      </c>
      <c r="D229" t="s">
        <v>1009</v>
      </c>
      <c r="F229" t="s">
        <v>2176</v>
      </c>
      <c r="G229" t="s">
        <v>1820</v>
      </c>
      <c r="H229" t="s">
        <v>2548</v>
      </c>
      <c r="I229" t="s">
        <v>2556</v>
      </c>
      <c r="J229" s="1">
        <f>HYPERLINK("https://ec.europa.eu/info/funding-tenders/opportunities/portal/screen/how-to-participate/org-details/984358329", "984358329")</f>
        <v>0</v>
      </c>
      <c r="K229" t="s">
        <v>2682</v>
      </c>
      <c r="L229" t="s">
        <v>2903</v>
      </c>
      <c r="M229" t="s">
        <v>2968</v>
      </c>
      <c r="O229" t="s">
        <v>2972</v>
      </c>
      <c r="P229" t="s">
        <v>3038</v>
      </c>
      <c r="Q229">
        <v>13</v>
      </c>
      <c r="R229" t="s">
        <v>3342</v>
      </c>
      <c r="S229" s="2">
        <v>639094.4</v>
      </c>
    </row>
    <row r="230" spans="1:19">
      <c r="A230" t="s">
        <v>21</v>
      </c>
      <c r="B230" s="1">
        <f>HYPERLINK("https://cordis.europa.eu/project/id/261433", "261433")</f>
        <v>0</v>
      </c>
      <c r="C230" t="s">
        <v>198</v>
      </c>
      <c r="D230" t="s">
        <v>1009</v>
      </c>
      <c r="F230" t="s">
        <v>2176</v>
      </c>
      <c r="G230" t="s">
        <v>1820</v>
      </c>
      <c r="H230" t="s">
        <v>2548</v>
      </c>
      <c r="I230" t="s">
        <v>2556</v>
      </c>
      <c r="J230" s="1">
        <f>HYPERLINK("https://ec.europa.eu/info/funding-tenders/opportunities/portal/screen/how-to-participate/org-details/998826946", "998826946")</f>
        <v>0</v>
      </c>
      <c r="K230" t="s">
        <v>2617</v>
      </c>
      <c r="L230" t="s">
        <v>2848</v>
      </c>
      <c r="M230" t="s">
        <v>2965</v>
      </c>
      <c r="O230" t="s">
        <v>2972</v>
      </c>
      <c r="P230" t="s">
        <v>3038</v>
      </c>
      <c r="Q230">
        <v>11</v>
      </c>
      <c r="R230" t="s">
        <v>3342</v>
      </c>
      <c r="S230" s="2">
        <v>265400</v>
      </c>
    </row>
    <row r="231" spans="1:19">
      <c r="A231" t="s">
        <v>21</v>
      </c>
      <c r="B231" s="1">
        <f>HYPERLINK("https://cordis.europa.eu/project/id/604102", "604102")</f>
        <v>0</v>
      </c>
      <c r="C231" t="s">
        <v>199</v>
      </c>
      <c r="D231" t="s">
        <v>1010</v>
      </c>
      <c r="F231" t="s">
        <v>2109</v>
      </c>
      <c r="G231" t="s">
        <v>1701</v>
      </c>
      <c r="H231" t="s">
        <v>2548</v>
      </c>
      <c r="I231" t="s">
        <v>2556</v>
      </c>
      <c r="J231" s="1">
        <f>HYPERLINK("https://ec.europa.eu/info/funding-tenders/opportunities/portal/screen/how-to-participate/org-details/998826946", "998826946")</f>
        <v>0</v>
      </c>
      <c r="K231" t="s">
        <v>2617</v>
      </c>
      <c r="L231" t="s">
        <v>2848</v>
      </c>
      <c r="M231" t="s">
        <v>2965</v>
      </c>
      <c r="O231" t="s">
        <v>2988</v>
      </c>
      <c r="P231" t="s">
        <v>3131</v>
      </c>
      <c r="Q231">
        <v>7</v>
      </c>
      <c r="R231" t="s">
        <v>3342</v>
      </c>
      <c r="S231" s="2">
        <v>0</v>
      </c>
    </row>
    <row r="232" spans="1:19">
      <c r="A232" t="s">
        <v>21</v>
      </c>
      <c r="B232" s="1">
        <f>HYPERLINK("https://cordis.europa.eu/project/id/312057", "312057")</f>
        <v>0</v>
      </c>
      <c r="C232" t="s">
        <v>200</v>
      </c>
      <c r="D232" t="s">
        <v>1011</v>
      </c>
      <c r="F232" t="s">
        <v>2158</v>
      </c>
      <c r="G232" t="s">
        <v>2387</v>
      </c>
      <c r="H232" t="s">
        <v>2549</v>
      </c>
      <c r="I232" t="s">
        <v>2557</v>
      </c>
      <c r="J232" s="1">
        <f>HYPERLINK("https://ec.europa.eu/info/funding-tenders/opportunities/portal/screen/how-to-participate/org-details/999613131", "999613131")</f>
        <v>0</v>
      </c>
      <c r="K232" t="s">
        <v>2591</v>
      </c>
      <c r="L232" t="s">
        <v>2831</v>
      </c>
      <c r="M232" t="s">
        <v>2965</v>
      </c>
      <c r="O232" t="s">
        <v>2972</v>
      </c>
      <c r="P232" t="s">
        <v>3129</v>
      </c>
      <c r="Q232">
        <v>14</v>
      </c>
      <c r="R232" t="s">
        <v>3342</v>
      </c>
    </row>
    <row r="233" spans="1:19">
      <c r="A233" t="s">
        <v>21</v>
      </c>
      <c r="B233" s="1">
        <f>HYPERLINK("https://cordis.europa.eu/project/id/312057", "312057")</f>
        <v>0</v>
      </c>
      <c r="C233" t="s">
        <v>200</v>
      </c>
      <c r="D233" t="s">
        <v>1011</v>
      </c>
      <c r="F233" t="s">
        <v>2158</v>
      </c>
      <c r="G233" t="s">
        <v>2387</v>
      </c>
      <c r="H233" t="s">
        <v>2548</v>
      </c>
      <c r="I233" t="s">
        <v>2556</v>
      </c>
      <c r="J233" s="1">
        <f>HYPERLINK("https://ec.europa.eu/info/funding-tenders/opportunities/portal/screen/how-to-participate/org-details/998082180", "998082180")</f>
        <v>0</v>
      </c>
      <c r="K233" t="s">
        <v>2565</v>
      </c>
      <c r="M233" t="s">
        <v>2965</v>
      </c>
      <c r="O233" t="s">
        <v>2972</v>
      </c>
      <c r="P233" t="s">
        <v>3129</v>
      </c>
      <c r="Q233">
        <v>15</v>
      </c>
      <c r="R233" t="s">
        <v>3342</v>
      </c>
    </row>
    <row r="234" spans="1:19">
      <c r="A234" t="s">
        <v>21</v>
      </c>
      <c r="B234" s="1">
        <f>HYPERLINK("https://cordis.europa.eu/project/id/262693", "262693")</f>
        <v>0</v>
      </c>
      <c r="C234" t="s">
        <v>201</v>
      </c>
      <c r="D234" t="s">
        <v>1012</v>
      </c>
      <c r="F234" t="s">
        <v>2130</v>
      </c>
      <c r="G234" t="s">
        <v>2355</v>
      </c>
      <c r="H234" t="s">
        <v>2548</v>
      </c>
      <c r="I234" t="s">
        <v>2556</v>
      </c>
      <c r="J234" s="1">
        <f>HYPERLINK("https://ec.europa.eu/info/funding-tenders/opportunities/portal/screen/how-to-participate/org-details/975002485", "975002485")</f>
        <v>0</v>
      </c>
      <c r="K234" t="s">
        <v>2683</v>
      </c>
      <c r="L234" t="s">
        <v>2904</v>
      </c>
      <c r="M234" t="s">
        <v>2968</v>
      </c>
      <c r="O234" t="s">
        <v>2990</v>
      </c>
      <c r="P234" t="s">
        <v>3132</v>
      </c>
      <c r="Q234">
        <v>31</v>
      </c>
      <c r="R234" t="s">
        <v>3342</v>
      </c>
    </row>
    <row r="235" spans="1:19">
      <c r="A235" t="s">
        <v>21</v>
      </c>
      <c r="B235" s="1">
        <f>HYPERLINK("https://cordis.europa.eu/project/id/262693", "262693")</f>
        <v>0</v>
      </c>
      <c r="C235" t="s">
        <v>201</v>
      </c>
      <c r="D235" t="s">
        <v>1012</v>
      </c>
      <c r="F235" t="s">
        <v>2130</v>
      </c>
      <c r="G235" t="s">
        <v>2355</v>
      </c>
      <c r="H235" t="s">
        <v>2548</v>
      </c>
      <c r="I235" t="s">
        <v>2556</v>
      </c>
      <c r="J235" s="1">
        <f>HYPERLINK("https://ec.europa.eu/info/funding-tenders/opportunities/portal/screen/how-to-participate/org-details/983932402", "983932402")</f>
        <v>0</v>
      </c>
      <c r="K235" t="s">
        <v>2684</v>
      </c>
      <c r="L235" t="s">
        <v>2905</v>
      </c>
      <c r="M235" t="s">
        <v>2966</v>
      </c>
      <c r="O235" t="s">
        <v>2990</v>
      </c>
      <c r="P235" t="s">
        <v>3132</v>
      </c>
      <c r="Q235">
        <v>28</v>
      </c>
      <c r="R235" t="s">
        <v>3342</v>
      </c>
    </row>
    <row r="236" spans="1:19">
      <c r="A236" t="s">
        <v>21</v>
      </c>
      <c r="B236" s="1">
        <f>HYPERLINK("https://cordis.europa.eu/project/id/262693", "262693")</f>
        <v>0</v>
      </c>
      <c r="C236" t="s">
        <v>201</v>
      </c>
      <c r="D236" t="s">
        <v>1012</v>
      </c>
      <c r="F236" t="s">
        <v>2130</v>
      </c>
      <c r="G236" t="s">
        <v>2355</v>
      </c>
      <c r="H236" t="s">
        <v>2548</v>
      </c>
      <c r="I236" t="s">
        <v>2556</v>
      </c>
      <c r="J236" s="1">
        <f>HYPERLINK("https://ec.europa.eu/info/funding-tenders/opportunities/portal/screen/how-to-participate/org-details/998082180", "998082180")</f>
        <v>0</v>
      </c>
      <c r="K236" t="s">
        <v>2565</v>
      </c>
      <c r="M236" t="s">
        <v>2965</v>
      </c>
      <c r="O236" t="s">
        <v>2990</v>
      </c>
      <c r="P236" t="s">
        <v>3132</v>
      </c>
      <c r="Q236">
        <v>27</v>
      </c>
      <c r="R236" t="s">
        <v>3342</v>
      </c>
    </row>
    <row r="237" spans="1:19">
      <c r="A237" t="s">
        <v>21</v>
      </c>
      <c r="B237" s="1">
        <f>HYPERLINK("https://cordis.europa.eu/project/id/244706", "244706")</f>
        <v>0</v>
      </c>
      <c r="C237" t="s">
        <v>202</v>
      </c>
      <c r="D237" t="s">
        <v>1013</v>
      </c>
      <c r="F237" t="s">
        <v>2121</v>
      </c>
      <c r="G237" t="s">
        <v>2356</v>
      </c>
      <c r="H237" t="s">
        <v>2548</v>
      </c>
      <c r="I237" t="s">
        <v>2556</v>
      </c>
      <c r="J237" s="1">
        <f>HYPERLINK("https://ec.europa.eu/info/funding-tenders/opportunities/portal/screen/how-to-participate/org-details/997400464", "997400464")</f>
        <v>0</v>
      </c>
      <c r="K237" t="s">
        <v>2663</v>
      </c>
      <c r="L237" t="s">
        <v>2888</v>
      </c>
      <c r="M237" t="s">
        <v>2969</v>
      </c>
      <c r="O237" t="s">
        <v>2973</v>
      </c>
      <c r="P237" t="s">
        <v>3089</v>
      </c>
      <c r="Q237">
        <v>9</v>
      </c>
      <c r="R237" t="s">
        <v>3342</v>
      </c>
    </row>
    <row r="238" spans="1:19">
      <c r="A238" t="s">
        <v>21</v>
      </c>
      <c r="B238" s="1">
        <f>HYPERLINK("https://cordis.europa.eu/project/id/602068", "602068")</f>
        <v>0</v>
      </c>
      <c r="C238" t="s">
        <v>203</v>
      </c>
      <c r="D238" t="s">
        <v>1014</v>
      </c>
      <c r="F238" t="s">
        <v>2109</v>
      </c>
      <c r="G238" t="s">
        <v>2373</v>
      </c>
      <c r="H238" t="s">
        <v>2548</v>
      </c>
      <c r="I238" t="s">
        <v>2556</v>
      </c>
      <c r="J238" s="1">
        <f>HYPERLINK("https://ec.europa.eu/info/funding-tenders/opportunities/portal/screen/how-to-participate/org-details/998089261", "998089261")</f>
        <v>0</v>
      </c>
      <c r="K238" t="s">
        <v>2661</v>
      </c>
      <c r="L238" t="s">
        <v>2887</v>
      </c>
      <c r="M238" t="s">
        <v>2966</v>
      </c>
      <c r="O238" t="s">
        <v>2979</v>
      </c>
      <c r="P238" t="s">
        <v>3037</v>
      </c>
      <c r="Q238">
        <v>11</v>
      </c>
      <c r="R238" t="s">
        <v>3342</v>
      </c>
      <c r="S238" s="2">
        <v>168827.53</v>
      </c>
    </row>
    <row r="239" spans="1:19">
      <c r="A239" t="s">
        <v>21</v>
      </c>
      <c r="B239" s="1">
        <f>HYPERLINK("https://cordis.europa.eu/project/id/281532", "281532")</f>
        <v>0</v>
      </c>
      <c r="C239" t="s">
        <v>204</v>
      </c>
      <c r="D239" t="s">
        <v>1015</v>
      </c>
      <c r="F239" t="s">
        <v>2159</v>
      </c>
      <c r="G239" t="s">
        <v>2326</v>
      </c>
      <c r="H239" t="s">
        <v>2548</v>
      </c>
      <c r="I239" t="s">
        <v>2556</v>
      </c>
      <c r="J239" s="1">
        <f>HYPERLINK("https://ec.europa.eu/info/funding-tenders/opportunities/portal/screen/how-to-participate/org-details/999885216", "999885216")</f>
        <v>0</v>
      </c>
      <c r="K239" t="s">
        <v>2658</v>
      </c>
      <c r="L239" t="s">
        <v>2884</v>
      </c>
      <c r="M239" t="s">
        <v>2965</v>
      </c>
      <c r="O239" t="s">
        <v>2973</v>
      </c>
      <c r="P239" t="s">
        <v>3133</v>
      </c>
      <c r="Q239">
        <v>7</v>
      </c>
      <c r="R239" t="s">
        <v>3342</v>
      </c>
      <c r="S239" s="2">
        <v>149500</v>
      </c>
    </row>
    <row r="240" spans="1:19">
      <c r="A240" t="s">
        <v>21</v>
      </c>
      <c r="B240" s="1">
        <f>HYPERLINK("https://cordis.europa.eu/project/id/231688", "231688")</f>
        <v>0</v>
      </c>
      <c r="C240" t="s">
        <v>205</v>
      </c>
      <c r="D240" t="s">
        <v>1016</v>
      </c>
      <c r="F240" t="s">
        <v>2163</v>
      </c>
      <c r="G240" t="s">
        <v>2323</v>
      </c>
      <c r="H240" t="s">
        <v>2548</v>
      </c>
      <c r="I240" t="s">
        <v>2556</v>
      </c>
      <c r="J240" s="1">
        <f>HYPERLINK("https://ec.europa.eu/info/funding-tenders/opportunities/portal/screen/how-to-participate/org-details/998040955", "998040955")</f>
        <v>0</v>
      </c>
      <c r="K240" t="s">
        <v>2602</v>
      </c>
      <c r="M240" t="s">
        <v>2965</v>
      </c>
      <c r="O240" t="s">
        <v>2970</v>
      </c>
      <c r="P240" t="s">
        <v>3110</v>
      </c>
      <c r="Q240">
        <v>3</v>
      </c>
      <c r="R240" t="s">
        <v>3342</v>
      </c>
      <c r="S240" s="2">
        <v>0</v>
      </c>
    </row>
    <row r="241" spans="1:19">
      <c r="A241" t="s">
        <v>21</v>
      </c>
      <c r="B241" s="1">
        <f>HYPERLINK("https://cordis.europa.eu/project/id/318671", "318671")</f>
        <v>0</v>
      </c>
      <c r="C241" t="s">
        <v>206</v>
      </c>
      <c r="D241" t="s">
        <v>1017</v>
      </c>
      <c r="F241" t="s">
        <v>2177</v>
      </c>
      <c r="G241" t="s">
        <v>1725</v>
      </c>
      <c r="H241" t="s">
        <v>2549</v>
      </c>
      <c r="I241" t="s">
        <v>2557</v>
      </c>
      <c r="J241" s="1">
        <f>HYPERLINK("https://ec.europa.eu/info/funding-tenders/opportunities/portal/screen/how-to-participate/org-details/999613131", "999613131")</f>
        <v>0</v>
      </c>
      <c r="K241" t="s">
        <v>2591</v>
      </c>
      <c r="L241" t="s">
        <v>2831</v>
      </c>
      <c r="M241" t="s">
        <v>2965</v>
      </c>
      <c r="O241" t="s">
        <v>2970</v>
      </c>
      <c r="P241" t="s">
        <v>3134</v>
      </c>
      <c r="Q241">
        <v>7</v>
      </c>
      <c r="R241" t="s">
        <v>3342</v>
      </c>
      <c r="S241" s="2">
        <v>0</v>
      </c>
    </row>
    <row r="242" spans="1:19">
      <c r="A242" t="s">
        <v>21</v>
      </c>
      <c r="B242" s="1">
        <f>HYPERLINK("https://cordis.europa.eu/project/id/321488", "321488")</f>
        <v>0</v>
      </c>
      <c r="C242" t="s">
        <v>207</v>
      </c>
      <c r="D242" t="s">
        <v>1018</v>
      </c>
      <c r="F242" t="s">
        <v>2173</v>
      </c>
      <c r="G242" t="s">
        <v>2358</v>
      </c>
      <c r="H242" t="s">
        <v>2548</v>
      </c>
      <c r="I242" t="s">
        <v>2556</v>
      </c>
      <c r="J242" s="1">
        <f>HYPERLINK("https://ec.europa.eu/info/funding-tenders/opportunities/portal/screen/how-to-participate/org-details/954435575", "954435575")</f>
        <v>0</v>
      </c>
      <c r="K242" t="s">
        <v>2685</v>
      </c>
      <c r="L242" t="s">
        <v>2906</v>
      </c>
      <c r="M242" t="s">
        <v>2968</v>
      </c>
      <c r="O242" t="s">
        <v>2978</v>
      </c>
      <c r="P242" t="s">
        <v>3135</v>
      </c>
      <c r="Q242">
        <v>28</v>
      </c>
      <c r="R242" t="s">
        <v>3342</v>
      </c>
      <c r="S242" s="2">
        <v>99746.5</v>
      </c>
    </row>
    <row r="243" spans="1:19">
      <c r="A243" t="s">
        <v>21</v>
      </c>
      <c r="B243" s="1">
        <f>HYPERLINK("https://cordis.europa.eu/project/id/201413", "201413")</f>
        <v>0</v>
      </c>
      <c r="C243" t="s">
        <v>208</v>
      </c>
      <c r="D243" t="s">
        <v>1019</v>
      </c>
      <c r="F243" t="s">
        <v>2164</v>
      </c>
      <c r="G243" t="s">
        <v>2331</v>
      </c>
      <c r="H243" t="s">
        <v>2548</v>
      </c>
      <c r="I243" t="s">
        <v>2556</v>
      </c>
      <c r="J243" s="1">
        <f>HYPERLINK("https://ec.europa.eu/info/funding-tenders/opportunities/portal/screen/how-to-participate/org-details/999555513", "999555513")</f>
        <v>0</v>
      </c>
      <c r="K243" t="s">
        <v>2681</v>
      </c>
      <c r="M243" t="s">
        <v>2966</v>
      </c>
      <c r="O243" t="s">
        <v>2972</v>
      </c>
      <c r="P243" t="s">
        <v>3087</v>
      </c>
      <c r="Q243">
        <v>17</v>
      </c>
      <c r="R243" t="s">
        <v>3342</v>
      </c>
      <c r="S243" s="2">
        <v>52176</v>
      </c>
    </row>
    <row r="244" spans="1:19">
      <c r="A244" t="s">
        <v>21</v>
      </c>
      <c r="B244" s="1">
        <f>HYPERLINK("https://cordis.europa.eu/project/id/201413", "201413")</f>
        <v>0</v>
      </c>
      <c r="C244" t="s">
        <v>208</v>
      </c>
      <c r="D244" t="s">
        <v>1019</v>
      </c>
      <c r="F244" t="s">
        <v>2164</v>
      </c>
      <c r="G244" t="s">
        <v>2331</v>
      </c>
      <c r="H244" t="s">
        <v>2548</v>
      </c>
      <c r="I244" t="s">
        <v>2556</v>
      </c>
      <c r="J244" s="1">
        <f>HYPERLINK("https://ec.europa.eu/info/funding-tenders/opportunities/portal/screen/how-to-participate/org-details/999902773", "999902773")</f>
        <v>0</v>
      </c>
      <c r="K244" t="s">
        <v>2571</v>
      </c>
      <c r="L244" t="s">
        <v>2814</v>
      </c>
      <c r="M244" t="s">
        <v>2965</v>
      </c>
      <c r="O244" t="s">
        <v>2972</v>
      </c>
      <c r="P244" t="s">
        <v>3087</v>
      </c>
      <c r="Q244">
        <v>18</v>
      </c>
      <c r="R244" t="s">
        <v>3342</v>
      </c>
      <c r="S244" s="2">
        <v>35391.72</v>
      </c>
    </row>
    <row r="245" spans="1:19">
      <c r="A245" t="s">
        <v>21</v>
      </c>
      <c r="B245" s="1">
        <f>HYPERLINK("https://cordis.europa.eu/project/id/201413", "201413")</f>
        <v>0</v>
      </c>
      <c r="C245" t="s">
        <v>208</v>
      </c>
      <c r="D245" t="s">
        <v>1019</v>
      </c>
      <c r="F245" t="s">
        <v>2164</v>
      </c>
      <c r="G245" t="s">
        <v>2331</v>
      </c>
      <c r="H245" t="s">
        <v>2548</v>
      </c>
      <c r="I245" t="s">
        <v>2556</v>
      </c>
      <c r="J245" s="1">
        <f>HYPERLINK("https://ec.europa.eu/info/funding-tenders/opportunities/portal/screen/how-to-participate/org-details/998826946", "998826946")</f>
        <v>0</v>
      </c>
      <c r="K245" t="s">
        <v>2617</v>
      </c>
      <c r="L245" t="s">
        <v>2848</v>
      </c>
      <c r="M245" t="s">
        <v>2965</v>
      </c>
      <c r="O245" t="s">
        <v>2972</v>
      </c>
      <c r="P245" t="s">
        <v>3087</v>
      </c>
      <c r="Q245">
        <v>26</v>
      </c>
      <c r="R245" t="s">
        <v>3342</v>
      </c>
      <c r="S245" s="2">
        <v>126608.28</v>
      </c>
    </row>
    <row r="246" spans="1:19">
      <c r="A246" t="s">
        <v>21</v>
      </c>
      <c r="B246" s="1">
        <f>HYPERLINK("https://cordis.europa.eu/project/id/289841", "289841")</f>
        <v>0</v>
      </c>
      <c r="C246" t="s">
        <v>209</v>
      </c>
      <c r="D246" t="s">
        <v>1020</v>
      </c>
      <c r="F246" t="s">
        <v>2126</v>
      </c>
      <c r="G246" t="s">
        <v>2355</v>
      </c>
      <c r="H246" t="s">
        <v>2548</v>
      </c>
      <c r="I246" t="s">
        <v>2556</v>
      </c>
      <c r="J246" s="1">
        <f>HYPERLINK("https://ec.europa.eu/info/funding-tenders/opportunities/portal/screen/how-to-participate/org-details/998804636", "998804636")</f>
        <v>0</v>
      </c>
      <c r="K246" t="s">
        <v>2612</v>
      </c>
      <c r="L246" t="s">
        <v>2845</v>
      </c>
      <c r="M246" t="s">
        <v>2965</v>
      </c>
      <c r="O246" t="s">
        <v>2972</v>
      </c>
      <c r="P246" t="s">
        <v>3088</v>
      </c>
      <c r="Q246">
        <v>18</v>
      </c>
      <c r="R246" t="s">
        <v>3342</v>
      </c>
    </row>
    <row r="247" spans="1:19">
      <c r="A247" t="s">
        <v>21</v>
      </c>
      <c r="B247" s="1">
        <f>HYPERLINK("https://cordis.europa.eu/project/id/289841", "289841")</f>
        <v>0</v>
      </c>
      <c r="C247" t="s">
        <v>209</v>
      </c>
      <c r="D247" t="s">
        <v>1020</v>
      </c>
      <c r="F247" t="s">
        <v>2126</v>
      </c>
      <c r="G247" t="s">
        <v>2355</v>
      </c>
      <c r="H247" t="s">
        <v>2548</v>
      </c>
      <c r="I247" t="s">
        <v>2556</v>
      </c>
      <c r="J247" s="1">
        <f>HYPERLINK("https://ec.europa.eu/info/funding-tenders/opportunities/portal/screen/how-to-participate/org-details/998082180", "998082180")</f>
        <v>0</v>
      </c>
      <c r="K247" t="s">
        <v>2565</v>
      </c>
      <c r="M247" t="s">
        <v>2965</v>
      </c>
      <c r="O247" t="s">
        <v>2972</v>
      </c>
      <c r="P247" t="s">
        <v>3088</v>
      </c>
      <c r="Q247">
        <v>17</v>
      </c>
      <c r="R247" t="s">
        <v>3342</v>
      </c>
    </row>
    <row r="248" spans="1:19">
      <c r="A248" t="s">
        <v>21</v>
      </c>
      <c r="B248" s="1">
        <f>HYPERLINK("https://cordis.europa.eu/project/id/223920", "223920")</f>
        <v>0</v>
      </c>
      <c r="C248" t="s">
        <v>210</v>
      </c>
      <c r="D248" t="s">
        <v>1021</v>
      </c>
      <c r="F248" t="s">
        <v>2174</v>
      </c>
      <c r="G248" t="s">
        <v>2380</v>
      </c>
      <c r="H248" t="s">
        <v>2549</v>
      </c>
      <c r="I248" t="s">
        <v>2557</v>
      </c>
      <c r="J248" s="1">
        <f>HYPERLINK("https://ec.europa.eu/info/funding-tenders/opportunities/portal/screen/how-to-participate/org-details/999613131", "999613131")</f>
        <v>0</v>
      </c>
      <c r="K248" t="s">
        <v>2591</v>
      </c>
      <c r="L248" t="s">
        <v>2831</v>
      </c>
      <c r="M248" t="s">
        <v>2965</v>
      </c>
      <c r="O248" t="s">
        <v>2989</v>
      </c>
      <c r="P248" t="s">
        <v>3128</v>
      </c>
      <c r="Q248">
        <v>11</v>
      </c>
      <c r="R248" t="s">
        <v>3342</v>
      </c>
      <c r="S248" s="2">
        <v>398296</v>
      </c>
    </row>
    <row r="249" spans="1:19">
      <c r="A249" t="s">
        <v>21</v>
      </c>
      <c r="B249" s="1">
        <f>HYPERLINK("https://cordis.europa.eu/project/id/277984", "277984")</f>
        <v>0</v>
      </c>
      <c r="C249" t="s">
        <v>211</v>
      </c>
      <c r="D249" t="s">
        <v>1022</v>
      </c>
      <c r="F249" t="s">
        <v>2160</v>
      </c>
      <c r="G249" t="s">
        <v>2369</v>
      </c>
      <c r="H249" t="s">
        <v>2548</v>
      </c>
      <c r="I249" t="s">
        <v>2556</v>
      </c>
      <c r="J249" s="1">
        <f>HYPERLINK("https://ec.europa.eu/info/funding-tenders/opportunities/portal/screen/how-to-participate/org-details/984772131", "984772131")</f>
        <v>0</v>
      </c>
      <c r="K249" t="s">
        <v>2601</v>
      </c>
      <c r="L249" t="s">
        <v>2839</v>
      </c>
      <c r="M249" t="s">
        <v>2968</v>
      </c>
      <c r="O249" t="s">
        <v>2973</v>
      </c>
      <c r="P249" t="s">
        <v>3076</v>
      </c>
      <c r="Q249">
        <v>13</v>
      </c>
      <c r="R249" t="s">
        <v>3342</v>
      </c>
      <c r="S249" s="2">
        <v>473382.66</v>
      </c>
    </row>
    <row r="250" spans="1:19">
      <c r="A250" t="s">
        <v>21</v>
      </c>
      <c r="B250" s="1">
        <f>HYPERLINK("https://cordis.europa.eu/project/id/313010", "313010")</f>
        <v>0</v>
      </c>
      <c r="C250" t="s">
        <v>212</v>
      </c>
      <c r="D250" t="s">
        <v>1023</v>
      </c>
      <c r="F250" t="s">
        <v>2146</v>
      </c>
      <c r="G250" t="s">
        <v>2388</v>
      </c>
      <c r="H250" t="s">
        <v>2548</v>
      </c>
      <c r="I250" t="s">
        <v>2556</v>
      </c>
      <c r="J250" s="1">
        <f>HYPERLINK("https://ec.europa.eu/info/funding-tenders/opportunities/portal/screen/how-to-participate/org-details/998089261", "998089261")</f>
        <v>0</v>
      </c>
      <c r="K250" t="s">
        <v>2661</v>
      </c>
      <c r="L250" t="s">
        <v>2887</v>
      </c>
      <c r="M250" t="s">
        <v>2966</v>
      </c>
      <c r="O250" t="s">
        <v>2990</v>
      </c>
      <c r="P250" t="s">
        <v>3120</v>
      </c>
      <c r="Q250">
        <v>17</v>
      </c>
      <c r="R250" t="s">
        <v>3342</v>
      </c>
      <c r="S250" s="2">
        <v>147840</v>
      </c>
    </row>
    <row r="251" spans="1:19">
      <c r="A251" t="s">
        <v>21</v>
      </c>
      <c r="B251" s="1">
        <f>HYPERLINK("https://cordis.europa.eu/project/id/600933", "600933")</f>
        <v>0</v>
      </c>
      <c r="C251" t="s">
        <v>213</v>
      </c>
      <c r="D251" t="s">
        <v>1024</v>
      </c>
      <c r="F251" t="s">
        <v>2146</v>
      </c>
      <c r="G251" t="s">
        <v>2360</v>
      </c>
      <c r="H251" t="s">
        <v>2549</v>
      </c>
      <c r="I251" t="s">
        <v>2557</v>
      </c>
      <c r="J251" s="1">
        <f>HYPERLINK("https://ec.europa.eu/info/funding-tenders/opportunities/portal/screen/how-to-participate/org-details/998295580", "998295580")</f>
        <v>0</v>
      </c>
      <c r="K251" t="s">
        <v>2686</v>
      </c>
      <c r="L251" t="s">
        <v>2907</v>
      </c>
      <c r="M251" t="s">
        <v>2966</v>
      </c>
      <c r="O251" t="s">
        <v>2970</v>
      </c>
      <c r="P251" t="s">
        <v>3099</v>
      </c>
      <c r="Q251">
        <v>6</v>
      </c>
      <c r="R251" t="s">
        <v>3342</v>
      </c>
      <c r="S251" s="2">
        <v>120180</v>
      </c>
    </row>
    <row r="252" spans="1:19">
      <c r="A252" t="s">
        <v>21</v>
      </c>
      <c r="B252" s="1">
        <f>HYPERLINK("https://cordis.europa.eu/project/id/213266", "213266")</f>
        <v>0</v>
      </c>
      <c r="C252" t="s">
        <v>214</v>
      </c>
      <c r="D252" t="s">
        <v>1025</v>
      </c>
      <c r="F252" t="s">
        <v>2178</v>
      </c>
      <c r="G252" t="s">
        <v>2341</v>
      </c>
      <c r="H252" t="s">
        <v>2548</v>
      </c>
      <c r="I252" t="s">
        <v>2556</v>
      </c>
      <c r="J252" s="1">
        <f>HYPERLINK("https://ec.europa.eu/info/funding-tenders/opportunities/portal/screen/how-to-participate/org-details/999845252", "999845252")</f>
        <v>0</v>
      </c>
      <c r="K252" t="s">
        <v>2687</v>
      </c>
      <c r="L252" t="s">
        <v>2908</v>
      </c>
      <c r="M252" t="s">
        <v>2965</v>
      </c>
      <c r="O252" t="s">
        <v>2973</v>
      </c>
      <c r="P252" t="s">
        <v>3136</v>
      </c>
      <c r="Q252">
        <v>23</v>
      </c>
      <c r="R252" t="s">
        <v>3342</v>
      </c>
    </row>
    <row r="253" spans="1:19">
      <c r="A253" t="s">
        <v>21</v>
      </c>
      <c r="B253" s="1">
        <f>HYPERLINK("https://cordis.europa.eu/project/id/212814", "212814")</f>
        <v>0</v>
      </c>
      <c r="C253" t="s">
        <v>215</v>
      </c>
      <c r="D253" t="s">
        <v>1026</v>
      </c>
      <c r="F253" t="s">
        <v>2132</v>
      </c>
      <c r="G253" t="s">
        <v>2389</v>
      </c>
      <c r="H253" t="s">
        <v>2548</v>
      </c>
      <c r="I253" t="s">
        <v>2556</v>
      </c>
      <c r="J253" s="1">
        <f>HYPERLINK("https://ec.europa.eu/info/funding-tenders/opportunities/portal/screen/how-to-participate/org-details/999845252", "999845252")</f>
        <v>0</v>
      </c>
      <c r="K253" t="s">
        <v>2687</v>
      </c>
      <c r="L253" t="s">
        <v>2908</v>
      </c>
      <c r="M253" t="s">
        <v>2965</v>
      </c>
      <c r="O253" t="s">
        <v>2970</v>
      </c>
      <c r="P253" t="s">
        <v>3107</v>
      </c>
      <c r="Q253">
        <v>2</v>
      </c>
      <c r="R253" t="s">
        <v>3342</v>
      </c>
      <c r="S253" s="2">
        <v>0</v>
      </c>
    </row>
    <row r="254" spans="1:19">
      <c r="A254" t="s">
        <v>21</v>
      </c>
      <c r="B254" s="1">
        <f>HYPERLINK("https://cordis.europa.eu/project/id/226977", "226977")</f>
        <v>0</v>
      </c>
      <c r="C254" t="s">
        <v>216</v>
      </c>
      <c r="D254" t="s">
        <v>1027</v>
      </c>
      <c r="F254" t="s">
        <v>2166</v>
      </c>
      <c r="G254" t="s">
        <v>2359</v>
      </c>
      <c r="H254" t="s">
        <v>2548</v>
      </c>
      <c r="I254" t="s">
        <v>2556</v>
      </c>
      <c r="J254" s="1">
        <f>HYPERLINK("https://ec.europa.eu/info/funding-tenders/opportunities/portal/screen/how-to-participate/org-details/999845252", "999845252")</f>
        <v>0</v>
      </c>
      <c r="K254" t="s">
        <v>2687</v>
      </c>
      <c r="L254" t="s">
        <v>2908</v>
      </c>
      <c r="M254" t="s">
        <v>2965</v>
      </c>
      <c r="O254" t="s">
        <v>2973</v>
      </c>
      <c r="P254" t="s">
        <v>3056</v>
      </c>
      <c r="Q254">
        <v>7</v>
      </c>
      <c r="R254" t="s">
        <v>3342</v>
      </c>
    </row>
    <row r="255" spans="1:19">
      <c r="A255" t="s">
        <v>21</v>
      </c>
      <c r="B255" s="1">
        <f>HYPERLINK("https://cordis.europa.eu/project/id/295735", "295735")</f>
        <v>0</v>
      </c>
      <c r="C255" t="s">
        <v>217</v>
      </c>
      <c r="D255" t="s">
        <v>1028</v>
      </c>
      <c r="F255" t="s">
        <v>2153</v>
      </c>
      <c r="G255" t="s">
        <v>2373</v>
      </c>
      <c r="H255" t="s">
        <v>2548</v>
      </c>
      <c r="I255" t="s">
        <v>2556</v>
      </c>
      <c r="J255" s="1">
        <f>HYPERLINK("https://ec.europa.eu/info/funding-tenders/opportunities/portal/screen/how-to-participate/org-details/999845252", "999845252")</f>
        <v>0</v>
      </c>
      <c r="K255" t="s">
        <v>2687</v>
      </c>
      <c r="L255" t="s">
        <v>2908</v>
      </c>
      <c r="M255" t="s">
        <v>2965</v>
      </c>
      <c r="O255" t="s">
        <v>2976</v>
      </c>
      <c r="P255" t="s">
        <v>3137</v>
      </c>
      <c r="Q255">
        <v>4</v>
      </c>
      <c r="R255" t="s">
        <v>3342</v>
      </c>
      <c r="S255" s="2">
        <v>214940.5</v>
      </c>
    </row>
    <row r="256" spans="1:19">
      <c r="A256" t="s">
        <v>21</v>
      </c>
      <c r="B256" s="1">
        <f>HYPERLINK("https://cordis.europa.eu/project/id/295735", "295735")</f>
        <v>0</v>
      </c>
      <c r="C256" t="s">
        <v>217</v>
      </c>
      <c r="D256" t="s">
        <v>1028</v>
      </c>
      <c r="F256" t="s">
        <v>2153</v>
      </c>
      <c r="G256" t="s">
        <v>2373</v>
      </c>
      <c r="H256" t="s">
        <v>2548</v>
      </c>
      <c r="I256" t="s">
        <v>2556</v>
      </c>
      <c r="J256" s="1">
        <f>HYPERLINK("https://ec.europa.eu/info/funding-tenders/opportunities/portal/screen/how-to-participate/org-details/998826946", "998826946")</f>
        <v>0</v>
      </c>
      <c r="K256" t="s">
        <v>2617</v>
      </c>
      <c r="L256" t="s">
        <v>2848</v>
      </c>
      <c r="M256" t="s">
        <v>2965</v>
      </c>
      <c r="O256" t="s">
        <v>2976</v>
      </c>
      <c r="P256" t="s">
        <v>3137</v>
      </c>
      <c r="Q256">
        <v>2</v>
      </c>
      <c r="R256" t="s">
        <v>3342</v>
      </c>
      <c r="S256" s="2">
        <v>96676.99000000001</v>
      </c>
    </row>
    <row r="257" spans="1:21">
      <c r="A257" t="s">
        <v>21</v>
      </c>
      <c r="B257" s="1">
        <f>HYPERLINK("https://cordis.europa.eu/project/id/245226", "245226")</f>
        <v>0</v>
      </c>
      <c r="C257" t="s">
        <v>218</v>
      </c>
      <c r="D257" t="s">
        <v>1029</v>
      </c>
      <c r="F257" t="s">
        <v>2124</v>
      </c>
      <c r="G257" t="s">
        <v>2366</v>
      </c>
      <c r="H257" t="s">
        <v>2548</v>
      </c>
      <c r="I257" t="s">
        <v>2556</v>
      </c>
      <c r="J257" s="1">
        <f>HYPERLINK("https://ec.europa.eu/info/funding-tenders/opportunities/portal/screen/how-to-participate/org-details/999845252", "999845252")</f>
        <v>0</v>
      </c>
      <c r="K257" t="s">
        <v>2687</v>
      </c>
      <c r="L257" t="s">
        <v>2908</v>
      </c>
      <c r="M257" t="s">
        <v>2965</v>
      </c>
      <c r="O257" t="s">
        <v>2973</v>
      </c>
      <c r="P257" t="s">
        <v>3089</v>
      </c>
      <c r="Q257">
        <v>12</v>
      </c>
      <c r="R257" t="s">
        <v>3342</v>
      </c>
    </row>
    <row r="258" spans="1:21">
      <c r="A258" t="s">
        <v>21</v>
      </c>
      <c r="B258" s="1">
        <f>HYPERLINK("https://cordis.europa.eu/project/id/115766", "115766")</f>
        <v>0</v>
      </c>
      <c r="C258" t="s">
        <v>219</v>
      </c>
      <c r="D258" t="s">
        <v>1030</v>
      </c>
      <c r="F258" t="s">
        <v>2179</v>
      </c>
      <c r="G258" t="s">
        <v>2390</v>
      </c>
      <c r="H258" t="s">
        <v>2548</v>
      </c>
      <c r="I258" t="s">
        <v>2556</v>
      </c>
      <c r="J258" s="1">
        <f>HYPERLINK("https://ec.europa.eu/info/funding-tenders/opportunities/portal/screen/how-to-participate/org-details/999845252", "999845252")</f>
        <v>0</v>
      </c>
      <c r="K258" t="s">
        <v>2687</v>
      </c>
      <c r="L258" t="s">
        <v>2908</v>
      </c>
      <c r="M258" t="s">
        <v>2965</v>
      </c>
      <c r="O258" t="s">
        <v>2991</v>
      </c>
      <c r="P258" t="s">
        <v>3138</v>
      </c>
      <c r="Q258">
        <v>10</v>
      </c>
      <c r="R258" t="s">
        <v>3342</v>
      </c>
    </row>
    <row r="259" spans="1:21">
      <c r="A259" t="s">
        <v>21</v>
      </c>
      <c r="B259" s="1">
        <f>HYPERLINK("https://cordis.europa.eu/project/id/278568", "278568")</f>
        <v>0</v>
      </c>
      <c r="C259" t="s">
        <v>220</v>
      </c>
      <c r="D259" t="s">
        <v>1031</v>
      </c>
      <c r="F259" t="s">
        <v>2123</v>
      </c>
      <c r="G259" t="s">
        <v>1714</v>
      </c>
      <c r="H259" t="s">
        <v>2548</v>
      </c>
      <c r="I259" t="s">
        <v>2556</v>
      </c>
      <c r="J259" s="1">
        <f>HYPERLINK("https://ec.europa.eu/info/funding-tenders/opportunities/portal/screen/how-to-participate/org-details/999845252", "999845252")</f>
        <v>0</v>
      </c>
      <c r="K259" t="s">
        <v>2687</v>
      </c>
      <c r="L259" t="s">
        <v>2908</v>
      </c>
      <c r="M259" t="s">
        <v>2965</v>
      </c>
      <c r="O259" t="s">
        <v>2972</v>
      </c>
      <c r="P259" t="s">
        <v>3076</v>
      </c>
      <c r="Q259">
        <v>13</v>
      </c>
      <c r="R259" t="s">
        <v>3342</v>
      </c>
    </row>
    <row r="260" spans="1:21">
      <c r="A260" t="s">
        <v>21</v>
      </c>
      <c r="B260" s="1">
        <f>HYPERLINK("https://cordis.europa.eu/project/id/224348", "224348")</f>
        <v>0</v>
      </c>
      <c r="C260" t="s">
        <v>221</v>
      </c>
      <c r="D260" t="s">
        <v>1032</v>
      </c>
      <c r="F260" t="s">
        <v>2151</v>
      </c>
      <c r="G260" t="s">
        <v>2327</v>
      </c>
      <c r="H260" t="s">
        <v>2548</v>
      </c>
      <c r="I260" t="s">
        <v>2556</v>
      </c>
      <c r="J260" s="1">
        <f>HYPERLINK("https://ec.europa.eu/info/funding-tenders/opportunities/portal/screen/how-to-participate/org-details/998819089", "998819089")</f>
        <v>0</v>
      </c>
      <c r="K260" t="s">
        <v>2632</v>
      </c>
      <c r="L260" t="s">
        <v>2862</v>
      </c>
      <c r="M260" t="s">
        <v>2967</v>
      </c>
      <c r="O260" t="s">
        <v>2970</v>
      </c>
      <c r="P260" t="s">
        <v>3128</v>
      </c>
      <c r="Q260">
        <v>5</v>
      </c>
      <c r="R260" t="s">
        <v>3342</v>
      </c>
      <c r="S260" s="2">
        <v>0</v>
      </c>
    </row>
    <row r="261" spans="1:21">
      <c r="A261" t="s">
        <v>21</v>
      </c>
      <c r="B261" s="1">
        <f>HYPERLINK("https://cordis.europa.eu/project/id/224348", "224348")</f>
        <v>0</v>
      </c>
      <c r="C261" t="s">
        <v>221</v>
      </c>
      <c r="D261" t="s">
        <v>1032</v>
      </c>
      <c r="F261" t="s">
        <v>2151</v>
      </c>
      <c r="G261" t="s">
        <v>2327</v>
      </c>
      <c r="H261" t="s">
        <v>2548</v>
      </c>
      <c r="I261" t="s">
        <v>2556</v>
      </c>
      <c r="J261" s="1">
        <f>HYPERLINK("https://ec.europa.eu/info/funding-tenders/opportunities/portal/screen/how-to-participate/org-details/973066462", "973066462")</f>
        <v>0</v>
      </c>
      <c r="K261" t="s">
        <v>2654</v>
      </c>
      <c r="L261" t="s">
        <v>2880</v>
      </c>
      <c r="M261" t="s">
        <v>2965</v>
      </c>
      <c r="O261" t="s">
        <v>2970</v>
      </c>
      <c r="P261" t="s">
        <v>3128</v>
      </c>
      <c r="Q261">
        <v>4</v>
      </c>
      <c r="R261" t="s">
        <v>3342</v>
      </c>
      <c r="S261" s="2">
        <v>0</v>
      </c>
    </row>
    <row r="262" spans="1:21">
      <c r="A262" t="s">
        <v>21</v>
      </c>
      <c r="B262" s="1">
        <f>HYPERLINK("https://cordis.europa.eu/project/id/224348", "224348")</f>
        <v>0</v>
      </c>
      <c r="C262" t="s">
        <v>221</v>
      </c>
      <c r="D262" t="s">
        <v>1032</v>
      </c>
      <c r="F262" t="s">
        <v>2151</v>
      </c>
      <c r="G262" t="s">
        <v>2327</v>
      </c>
      <c r="H262" t="s">
        <v>2548</v>
      </c>
      <c r="I262" t="s">
        <v>2556</v>
      </c>
      <c r="J262" s="1">
        <f>HYPERLINK("https://ec.europa.eu/info/funding-tenders/opportunities/portal/screen/how-to-participate/org-details/999845252", "999845252")</f>
        <v>0</v>
      </c>
      <c r="K262" t="s">
        <v>2687</v>
      </c>
      <c r="L262" t="s">
        <v>2908</v>
      </c>
      <c r="M262" t="s">
        <v>2965</v>
      </c>
      <c r="O262" t="s">
        <v>2970</v>
      </c>
      <c r="P262" t="s">
        <v>3128</v>
      </c>
      <c r="Q262">
        <v>6</v>
      </c>
      <c r="R262" t="s">
        <v>3342</v>
      </c>
      <c r="S262" s="2">
        <v>0</v>
      </c>
    </row>
    <row r="263" spans="1:21">
      <c r="A263" t="s">
        <v>21</v>
      </c>
      <c r="B263" s="1">
        <f>HYPERLINK("https://cordis.europa.eu/project/id/289511", "289511")</f>
        <v>0</v>
      </c>
      <c r="C263" t="s">
        <v>222</v>
      </c>
      <c r="D263" t="s">
        <v>1033</v>
      </c>
      <c r="F263" t="s">
        <v>2126</v>
      </c>
      <c r="G263" t="s">
        <v>2372</v>
      </c>
      <c r="H263" t="s">
        <v>2548</v>
      </c>
      <c r="I263" t="s">
        <v>2556</v>
      </c>
      <c r="J263" s="1">
        <f>HYPERLINK("https://ec.europa.eu/info/funding-tenders/opportunities/portal/screen/how-to-participate/org-details/999894043", "999894043")</f>
        <v>0</v>
      </c>
      <c r="K263" t="s">
        <v>2568</v>
      </c>
      <c r="L263" t="s">
        <v>2812</v>
      </c>
      <c r="M263" t="s">
        <v>2965</v>
      </c>
      <c r="O263" t="s">
        <v>2972</v>
      </c>
      <c r="P263" t="s">
        <v>3088</v>
      </c>
      <c r="Q263">
        <v>18</v>
      </c>
      <c r="R263" t="s">
        <v>3342</v>
      </c>
    </row>
    <row r="264" spans="1:21">
      <c r="A264" t="s">
        <v>21</v>
      </c>
      <c r="B264" s="1">
        <f>HYPERLINK("https://cordis.europa.eu/project/id/289511", "289511")</f>
        <v>0</v>
      </c>
      <c r="C264" t="s">
        <v>222</v>
      </c>
      <c r="D264" t="s">
        <v>1033</v>
      </c>
      <c r="F264" t="s">
        <v>2126</v>
      </c>
      <c r="G264" t="s">
        <v>2372</v>
      </c>
      <c r="H264" t="s">
        <v>2549</v>
      </c>
      <c r="I264" t="s">
        <v>2557</v>
      </c>
      <c r="J264" s="1">
        <f>HYPERLINK("https://ec.europa.eu/info/funding-tenders/opportunities/portal/screen/how-to-participate/org-details/999613131", "999613131")</f>
        <v>0</v>
      </c>
      <c r="K264" t="s">
        <v>2591</v>
      </c>
      <c r="L264" t="s">
        <v>2831</v>
      </c>
      <c r="M264" t="s">
        <v>2965</v>
      </c>
      <c r="O264" t="s">
        <v>2972</v>
      </c>
      <c r="P264" t="s">
        <v>3088</v>
      </c>
      <c r="Q264">
        <v>21</v>
      </c>
      <c r="R264" t="s">
        <v>3342</v>
      </c>
    </row>
    <row r="265" spans="1:21">
      <c r="A265" t="s">
        <v>21</v>
      </c>
      <c r="B265" s="1">
        <f>HYPERLINK("https://cordis.europa.eu/project/id/289511", "289511")</f>
        <v>0</v>
      </c>
      <c r="C265" t="s">
        <v>222</v>
      </c>
      <c r="D265" t="s">
        <v>1033</v>
      </c>
      <c r="F265" t="s">
        <v>2126</v>
      </c>
      <c r="G265" t="s">
        <v>2372</v>
      </c>
      <c r="H265" t="s">
        <v>2548</v>
      </c>
      <c r="I265" t="s">
        <v>2556</v>
      </c>
      <c r="J265" s="1">
        <f>HYPERLINK("https://ec.europa.eu/info/funding-tenders/opportunities/portal/screen/how-to-participate/org-details/999845252", "999845252")</f>
        <v>0</v>
      </c>
      <c r="K265" t="s">
        <v>2687</v>
      </c>
      <c r="L265" t="s">
        <v>2908</v>
      </c>
      <c r="M265" t="s">
        <v>2965</v>
      </c>
      <c r="O265" t="s">
        <v>2972</v>
      </c>
      <c r="P265" t="s">
        <v>3088</v>
      </c>
      <c r="Q265">
        <v>19</v>
      </c>
      <c r="R265" t="s">
        <v>3342</v>
      </c>
    </row>
    <row r="266" spans="1:21">
      <c r="A266" t="s">
        <v>21</v>
      </c>
      <c r="B266" s="1">
        <f>HYPERLINK("https://cordis.europa.eu/project/id/226217", "226217")</f>
        <v>0</v>
      </c>
      <c r="C266" t="s">
        <v>223</v>
      </c>
      <c r="D266" t="s">
        <v>1034</v>
      </c>
      <c r="F266" t="s">
        <v>2137</v>
      </c>
      <c r="G266" t="s">
        <v>2328</v>
      </c>
      <c r="H266" t="s">
        <v>2548</v>
      </c>
      <c r="I266" t="s">
        <v>2556</v>
      </c>
      <c r="J266" s="1">
        <f>HYPERLINK("https://ec.europa.eu/info/funding-tenders/opportunities/portal/screen/how-to-participate/org-details/999845252", "999845252")</f>
        <v>0</v>
      </c>
      <c r="K266" t="s">
        <v>2687</v>
      </c>
      <c r="L266" t="s">
        <v>2908</v>
      </c>
      <c r="M266" t="s">
        <v>2965</v>
      </c>
      <c r="O266" t="s">
        <v>2973</v>
      </c>
      <c r="P266" t="s">
        <v>3103</v>
      </c>
      <c r="Q266">
        <v>3</v>
      </c>
      <c r="R266" t="s">
        <v>3342</v>
      </c>
      <c r="S266" s="2">
        <v>81360</v>
      </c>
    </row>
    <row r="267" spans="1:21">
      <c r="A267" t="s">
        <v>21</v>
      </c>
      <c r="B267" s="1">
        <f>HYPERLINK("https://cordis.europa.eu/project/id/248120", "248120")</f>
        <v>0</v>
      </c>
      <c r="C267" t="s">
        <v>224</v>
      </c>
      <c r="D267" t="s">
        <v>1035</v>
      </c>
      <c r="F267" t="s">
        <v>2172</v>
      </c>
      <c r="G267" t="s">
        <v>2380</v>
      </c>
      <c r="H267" t="s">
        <v>2548</v>
      </c>
      <c r="I267" t="s">
        <v>2556</v>
      </c>
      <c r="J267" s="1">
        <f>HYPERLINK("https://ec.europa.eu/info/funding-tenders/opportunities/portal/screen/how-to-participate/org-details/999845252", "999845252")</f>
        <v>0</v>
      </c>
      <c r="K267" t="s">
        <v>2687</v>
      </c>
      <c r="L267" t="s">
        <v>2908</v>
      </c>
      <c r="M267" t="s">
        <v>2965</v>
      </c>
      <c r="O267" t="s">
        <v>2970</v>
      </c>
      <c r="P267" t="s">
        <v>3034</v>
      </c>
      <c r="Q267">
        <v>2</v>
      </c>
      <c r="R267" t="s">
        <v>3342</v>
      </c>
      <c r="S267" s="2">
        <v>0</v>
      </c>
    </row>
    <row r="268" spans="1:21">
      <c r="A268" t="s">
        <v>21</v>
      </c>
      <c r="B268" s="1">
        <f>HYPERLINK("https://cordis.europa.eu/project/id/305240", "305240")</f>
        <v>0</v>
      </c>
      <c r="C268" t="s">
        <v>225</v>
      </c>
      <c r="D268" t="s">
        <v>1036</v>
      </c>
      <c r="F268" t="s">
        <v>2177</v>
      </c>
      <c r="G268" t="s">
        <v>1725</v>
      </c>
      <c r="H268" t="s">
        <v>2548</v>
      </c>
      <c r="I268" t="s">
        <v>2556</v>
      </c>
      <c r="J268" s="1">
        <f>HYPERLINK("https://ec.europa.eu/info/funding-tenders/opportunities/portal/screen/how-to-participate/org-details/999845252", "999845252")</f>
        <v>0</v>
      </c>
      <c r="K268" t="s">
        <v>2687</v>
      </c>
      <c r="L268" t="s">
        <v>2908</v>
      </c>
      <c r="M268" t="s">
        <v>2965</v>
      </c>
      <c r="O268" t="s">
        <v>2979</v>
      </c>
      <c r="P268" t="s">
        <v>3054</v>
      </c>
      <c r="Q268">
        <v>13</v>
      </c>
      <c r="R268" t="s">
        <v>3342</v>
      </c>
      <c r="S268" s="2">
        <v>62060.66</v>
      </c>
    </row>
    <row r="269" spans="1:21">
      <c r="A269" t="s">
        <v>21</v>
      </c>
      <c r="B269" s="1">
        <f>HYPERLINK("https://cordis.europa.eu/project/id/618086", "618086")</f>
        <v>0</v>
      </c>
      <c r="C269" t="s">
        <v>226</v>
      </c>
      <c r="D269" t="s">
        <v>1037</v>
      </c>
      <c r="F269" t="s">
        <v>2136</v>
      </c>
      <c r="G269" t="s">
        <v>2338</v>
      </c>
      <c r="H269" t="s">
        <v>2548</v>
      </c>
      <c r="I269" t="s">
        <v>2556</v>
      </c>
      <c r="J269" s="1">
        <f>HYPERLINK("https://ec.europa.eu/info/funding-tenders/opportunities/portal/screen/how-to-participate/org-details/999845252", "999845252")</f>
        <v>0</v>
      </c>
      <c r="K269" t="s">
        <v>2687</v>
      </c>
      <c r="L269" t="s">
        <v>2908</v>
      </c>
      <c r="M269" t="s">
        <v>2965</v>
      </c>
      <c r="O269" t="s">
        <v>2970</v>
      </c>
      <c r="P269" t="s">
        <v>3139</v>
      </c>
      <c r="Q269">
        <v>3</v>
      </c>
      <c r="R269" t="s">
        <v>3342</v>
      </c>
      <c r="S269" s="2">
        <v>0</v>
      </c>
    </row>
    <row r="270" spans="1:21">
      <c r="A270" t="s">
        <v>21</v>
      </c>
      <c r="B270" s="1">
        <f>HYPERLINK("https://cordis.europa.eu/project/id/222665", "222665")</f>
        <v>0</v>
      </c>
      <c r="C270" t="s">
        <v>227</v>
      </c>
      <c r="D270" t="s">
        <v>1038</v>
      </c>
      <c r="F270" t="s">
        <v>2134</v>
      </c>
      <c r="G270" t="s">
        <v>2367</v>
      </c>
      <c r="H270" t="s">
        <v>2549</v>
      </c>
      <c r="I270" t="s">
        <v>2557</v>
      </c>
      <c r="J270" s="1">
        <f>HYPERLINK("https://ec.europa.eu/info/funding-tenders/opportunities/portal/screen/how-to-participate/org-details/999873673", "999873673")</f>
        <v>0</v>
      </c>
      <c r="K270" t="s">
        <v>2578</v>
      </c>
      <c r="M270" t="s">
        <v>2965</v>
      </c>
      <c r="O270" t="s">
        <v>2978</v>
      </c>
      <c r="P270" t="s">
        <v>3140</v>
      </c>
      <c r="Q270">
        <v>1</v>
      </c>
      <c r="R270" t="s">
        <v>3343</v>
      </c>
      <c r="S270" s="2">
        <v>284611</v>
      </c>
    </row>
    <row r="271" spans="1:21">
      <c r="A271" t="s">
        <v>21</v>
      </c>
      <c r="B271" s="1">
        <f>HYPERLINK("https://cordis.europa.eu/project/id/222665", "222665")</f>
        <v>0</v>
      </c>
      <c r="C271" t="s">
        <v>227</v>
      </c>
      <c r="D271" t="s">
        <v>1038</v>
      </c>
      <c r="F271" t="s">
        <v>2134</v>
      </c>
      <c r="G271" t="s">
        <v>2367</v>
      </c>
      <c r="H271" t="s">
        <v>2549</v>
      </c>
      <c r="I271" t="s">
        <v>2557</v>
      </c>
      <c r="J271" s="1">
        <f>HYPERLINK("https://ec.europa.eu/info/funding-tenders/opportunities/portal/screen/how-to-participate/org-details/998869335", "998869335")</f>
        <v>0</v>
      </c>
      <c r="K271" t="s">
        <v>2688</v>
      </c>
      <c r="L271" t="s">
        <v>2909</v>
      </c>
      <c r="M271" t="s">
        <v>2967</v>
      </c>
      <c r="O271" t="s">
        <v>2978</v>
      </c>
      <c r="P271" t="s">
        <v>3140</v>
      </c>
      <c r="Q271">
        <v>2</v>
      </c>
      <c r="R271" t="s">
        <v>3342</v>
      </c>
      <c r="S271" s="2">
        <v>187966</v>
      </c>
    </row>
    <row r="272" spans="1:21">
      <c r="A272" t="s">
        <v>22</v>
      </c>
      <c r="B272" s="1">
        <f>HYPERLINK("https://cordis.europa.eu/project/id/874434", "874434")</f>
        <v>0</v>
      </c>
      <c r="C272" t="s">
        <v>228</v>
      </c>
      <c r="D272" t="s">
        <v>1039</v>
      </c>
      <c r="E272" t="s">
        <v>1652</v>
      </c>
      <c r="F272" t="s">
        <v>2180</v>
      </c>
      <c r="G272" t="s">
        <v>2391</v>
      </c>
      <c r="H272" t="s">
        <v>2548</v>
      </c>
      <c r="I272" t="s">
        <v>2556</v>
      </c>
      <c r="J272" s="1">
        <f>HYPERLINK("https://ec.europa.eu/info/funding-tenders/opportunities/portal/screen/how-to-participate/org-details/960368386", "960368386")</f>
        <v>0</v>
      </c>
      <c r="K272" t="s">
        <v>2622</v>
      </c>
      <c r="L272" t="s">
        <v>2853</v>
      </c>
      <c r="M272" t="s">
        <v>2969</v>
      </c>
      <c r="N272" t="b">
        <v>0</v>
      </c>
      <c r="O272" t="s">
        <v>2985</v>
      </c>
      <c r="P272" t="s">
        <v>3141</v>
      </c>
      <c r="Q272">
        <v>4</v>
      </c>
      <c r="R272" t="s">
        <v>3342</v>
      </c>
      <c r="S272" s="2">
        <v>0</v>
      </c>
      <c r="T272" s="2">
        <v>0</v>
      </c>
      <c r="U272" s="2">
        <v>23100</v>
      </c>
    </row>
    <row r="273" spans="1:21">
      <c r="A273" t="s">
        <v>22</v>
      </c>
      <c r="B273" s="1">
        <f>HYPERLINK("https://cordis.europa.eu/project/id/874434", "874434")</f>
        <v>0</v>
      </c>
      <c r="C273" t="s">
        <v>228</v>
      </c>
      <c r="D273" t="s">
        <v>1039</v>
      </c>
      <c r="E273" t="s">
        <v>1652</v>
      </c>
      <c r="F273" t="s">
        <v>2180</v>
      </c>
      <c r="G273" t="s">
        <v>2391</v>
      </c>
      <c r="H273" t="s">
        <v>2548</v>
      </c>
      <c r="I273" t="s">
        <v>2556</v>
      </c>
      <c r="J273" s="1">
        <f>HYPERLINK("https://ec.europa.eu/info/funding-tenders/opportunities/portal/screen/how-to-participate/org-details/951100909", "951100909")</f>
        <v>0</v>
      </c>
      <c r="K273" t="s">
        <v>2582</v>
      </c>
      <c r="L273" t="s">
        <v>2823</v>
      </c>
      <c r="M273" t="s">
        <v>2969</v>
      </c>
      <c r="N273" t="b">
        <v>0</v>
      </c>
      <c r="O273" t="s">
        <v>2985</v>
      </c>
      <c r="P273" t="s">
        <v>3141</v>
      </c>
      <c r="Q273">
        <v>3</v>
      </c>
      <c r="R273" t="s">
        <v>3342</v>
      </c>
      <c r="S273" s="2">
        <v>0</v>
      </c>
      <c r="T273" s="2">
        <v>0</v>
      </c>
      <c r="U273" s="2">
        <v>23100</v>
      </c>
    </row>
    <row r="274" spans="1:21">
      <c r="A274" t="s">
        <v>22</v>
      </c>
      <c r="B274" s="1">
        <f>HYPERLINK("https://cordis.europa.eu/project/id/874434", "874434")</f>
        <v>0</v>
      </c>
      <c r="C274" t="s">
        <v>228</v>
      </c>
      <c r="D274" t="s">
        <v>1039</v>
      </c>
      <c r="E274" t="s">
        <v>1652</v>
      </c>
      <c r="F274" t="s">
        <v>2180</v>
      </c>
      <c r="G274" t="s">
        <v>2391</v>
      </c>
      <c r="H274" t="s">
        <v>2548</v>
      </c>
      <c r="I274" t="s">
        <v>2556</v>
      </c>
      <c r="J274" s="1">
        <f>HYPERLINK("https://ec.europa.eu/info/funding-tenders/opportunities/portal/screen/how-to-participate/org-details/997466424", "997466424")</f>
        <v>0</v>
      </c>
      <c r="K274" t="s">
        <v>2586</v>
      </c>
      <c r="L274" t="s">
        <v>2827</v>
      </c>
      <c r="M274" t="s">
        <v>2969</v>
      </c>
      <c r="N274" t="b">
        <v>0</v>
      </c>
      <c r="O274" t="s">
        <v>2985</v>
      </c>
      <c r="P274" t="s">
        <v>3141</v>
      </c>
      <c r="Q274">
        <v>1</v>
      </c>
      <c r="R274" t="s">
        <v>3343</v>
      </c>
      <c r="S274" s="2">
        <v>300000</v>
      </c>
      <c r="T274" s="2">
        <v>300000</v>
      </c>
      <c r="U274" s="2">
        <v>300000</v>
      </c>
    </row>
    <row r="275" spans="1:21">
      <c r="A275" t="s">
        <v>22</v>
      </c>
      <c r="B275" s="1">
        <f>HYPERLINK("https://cordis.europa.eu/project/id/874434", "874434")</f>
        <v>0</v>
      </c>
      <c r="C275" t="s">
        <v>228</v>
      </c>
      <c r="D275" t="s">
        <v>1039</v>
      </c>
      <c r="E275" t="s">
        <v>1652</v>
      </c>
      <c r="F275" t="s">
        <v>2180</v>
      </c>
      <c r="G275" t="s">
        <v>2391</v>
      </c>
      <c r="H275" t="s">
        <v>2548</v>
      </c>
      <c r="I275" t="s">
        <v>2556</v>
      </c>
      <c r="J275" s="1">
        <f>HYPERLINK("https://ec.europa.eu/info/funding-tenders/opportunities/portal/screen/how-to-participate/org-details/966514403", "966514403")</f>
        <v>0</v>
      </c>
      <c r="K275" t="s">
        <v>2635</v>
      </c>
      <c r="L275" t="s">
        <v>2865</v>
      </c>
      <c r="M275" t="s">
        <v>2969</v>
      </c>
      <c r="N275" t="b">
        <v>0</v>
      </c>
      <c r="O275" t="s">
        <v>2985</v>
      </c>
      <c r="P275" t="s">
        <v>3141</v>
      </c>
      <c r="Q275">
        <v>2</v>
      </c>
      <c r="R275" t="s">
        <v>3342</v>
      </c>
      <c r="S275" s="2">
        <v>0</v>
      </c>
      <c r="T275" s="2">
        <v>0</v>
      </c>
      <c r="U275" s="2">
        <v>23100</v>
      </c>
    </row>
    <row r="276" spans="1:21">
      <c r="A276" t="s">
        <v>22</v>
      </c>
      <c r="B276" s="1">
        <f>HYPERLINK("https://cordis.europa.eu/project/id/826092", "826092")</f>
        <v>0</v>
      </c>
      <c r="C276" t="s">
        <v>229</v>
      </c>
      <c r="D276" t="s">
        <v>1040</v>
      </c>
      <c r="E276" t="s">
        <v>1653</v>
      </c>
      <c r="F276" t="s">
        <v>2181</v>
      </c>
      <c r="G276" t="s">
        <v>2392</v>
      </c>
      <c r="H276" t="s">
        <v>2548</v>
      </c>
      <c r="I276" t="s">
        <v>2556</v>
      </c>
      <c r="J276" s="1">
        <f>HYPERLINK("https://ec.europa.eu/info/funding-tenders/opportunities/portal/screen/how-to-participate/org-details/988059752", "988059752")</f>
        <v>0</v>
      </c>
      <c r="K276" t="s">
        <v>2564</v>
      </c>
      <c r="L276" t="s">
        <v>2809</v>
      </c>
      <c r="M276" t="s">
        <v>2965</v>
      </c>
      <c r="N276" t="b">
        <v>0</v>
      </c>
      <c r="O276" t="s">
        <v>2985</v>
      </c>
      <c r="P276" t="s">
        <v>3142</v>
      </c>
      <c r="Q276">
        <v>12</v>
      </c>
      <c r="R276" t="s">
        <v>3342</v>
      </c>
      <c r="S276" s="2">
        <v>106489.3</v>
      </c>
      <c r="T276" s="2">
        <v>106489.3</v>
      </c>
      <c r="U276" s="2">
        <v>112485</v>
      </c>
    </row>
    <row r="277" spans="1:21">
      <c r="A277" t="s">
        <v>22</v>
      </c>
      <c r="B277" s="1">
        <f>HYPERLINK("https://cordis.europa.eu/project/id/826092", "826092")</f>
        <v>0</v>
      </c>
      <c r="C277" t="s">
        <v>229</v>
      </c>
      <c r="D277" t="s">
        <v>1040</v>
      </c>
      <c r="E277" t="s">
        <v>1653</v>
      </c>
      <c r="F277" t="s">
        <v>2181</v>
      </c>
      <c r="G277" t="s">
        <v>2392</v>
      </c>
      <c r="H277" t="s">
        <v>2548</v>
      </c>
      <c r="I277" t="s">
        <v>2556</v>
      </c>
      <c r="J277" s="1">
        <f>HYPERLINK("https://ec.europa.eu/info/funding-tenders/opportunities/portal/screen/how-to-participate/org-details/906020935", "906020935")</f>
        <v>0</v>
      </c>
      <c r="K277" t="s">
        <v>2689</v>
      </c>
      <c r="M277" t="s">
        <v>2969</v>
      </c>
      <c r="N277" t="b">
        <v>0</v>
      </c>
      <c r="O277" t="s">
        <v>2985</v>
      </c>
      <c r="P277" t="s">
        <v>3142</v>
      </c>
      <c r="Q277">
        <v>9</v>
      </c>
      <c r="R277" t="s">
        <v>3342</v>
      </c>
      <c r="S277" s="2">
        <v>0</v>
      </c>
      <c r="T277" s="2">
        <v>0</v>
      </c>
      <c r="U277" s="2">
        <v>0</v>
      </c>
    </row>
    <row r="278" spans="1:21">
      <c r="A278" t="s">
        <v>22</v>
      </c>
      <c r="B278" s="1">
        <f>HYPERLINK("https://cordis.europa.eu/project/id/964264", "964264")</f>
        <v>0</v>
      </c>
      <c r="C278" t="s">
        <v>230</v>
      </c>
      <c r="D278" t="s">
        <v>1041</v>
      </c>
      <c r="E278" t="s">
        <v>1654</v>
      </c>
      <c r="F278" t="s">
        <v>2182</v>
      </c>
      <c r="G278" t="s">
        <v>2393</v>
      </c>
      <c r="H278" t="s">
        <v>2548</v>
      </c>
      <c r="I278" t="s">
        <v>2556</v>
      </c>
      <c r="J278" s="1">
        <f>HYPERLINK("https://ec.europa.eu/info/funding-tenders/opportunities/portal/screen/how-to-participate/org-details/960368386", "960368386")</f>
        <v>0</v>
      </c>
      <c r="K278" t="s">
        <v>2622</v>
      </c>
      <c r="L278" t="s">
        <v>2853</v>
      </c>
      <c r="M278" t="s">
        <v>2969</v>
      </c>
      <c r="N278" t="b">
        <v>0</v>
      </c>
      <c r="O278" t="s">
        <v>2992</v>
      </c>
      <c r="P278" t="s">
        <v>3143</v>
      </c>
      <c r="Q278">
        <v>30</v>
      </c>
      <c r="R278" t="s">
        <v>3342</v>
      </c>
      <c r="S278" s="2">
        <v>0</v>
      </c>
      <c r="T278" s="2">
        <v>0</v>
      </c>
      <c r="U278" s="2">
        <v>400000</v>
      </c>
    </row>
    <row r="279" spans="1:21">
      <c r="A279" t="s">
        <v>22</v>
      </c>
      <c r="B279" s="1">
        <f>HYPERLINK("https://cordis.europa.eu/project/id/666102", "666102")</f>
        <v>0</v>
      </c>
      <c r="C279" t="s">
        <v>231</v>
      </c>
      <c r="D279" t="s">
        <v>1042</v>
      </c>
      <c r="E279" t="s">
        <v>1655</v>
      </c>
      <c r="F279" t="s">
        <v>2113</v>
      </c>
      <c r="G279" t="s">
        <v>2388</v>
      </c>
      <c r="H279" t="s">
        <v>2548</v>
      </c>
      <c r="I279" t="s">
        <v>2556</v>
      </c>
      <c r="J279" s="1">
        <f>HYPERLINK("https://ec.europa.eu/info/funding-tenders/opportunities/portal/screen/how-to-participate/org-details/998711419", "998711419")</f>
        <v>0</v>
      </c>
      <c r="K279" t="s">
        <v>2628</v>
      </c>
      <c r="M279" t="s">
        <v>2965</v>
      </c>
      <c r="N279" t="b">
        <v>0</v>
      </c>
      <c r="O279" t="s">
        <v>2993</v>
      </c>
      <c r="P279" t="s">
        <v>3144</v>
      </c>
      <c r="Q279">
        <v>6</v>
      </c>
      <c r="R279" t="s">
        <v>3342</v>
      </c>
      <c r="S279" s="2">
        <v>0</v>
      </c>
      <c r="T279" s="2">
        <v>0</v>
      </c>
      <c r="U279" s="2">
        <v>45000</v>
      </c>
    </row>
    <row r="280" spans="1:21">
      <c r="A280" t="s">
        <v>22</v>
      </c>
      <c r="B280" s="1">
        <f>HYPERLINK("https://cordis.europa.eu/project/id/687794", "687794")</f>
        <v>0</v>
      </c>
      <c r="C280" t="s">
        <v>232</v>
      </c>
      <c r="D280" t="s">
        <v>1043</v>
      </c>
      <c r="E280" t="s">
        <v>1656</v>
      </c>
      <c r="F280" t="s">
        <v>2183</v>
      </c>
      <c r="G280" t="s">
        <v>2394</v>
      </c>
      <c r="H280" t="s">
        <v>2549</v>
      </c>
      <c r="I280" t="s">
        <v>2557</v>
      </c>
      <c r="J280" s="1">
        <f>HYPERLINK("https://ec.europa.eu/info/funding-tenders/opportunities/portal/screen/how-to-participate/org-details/984830428", "984830428")</f>
        <v>0</v>
      </c>
      <c r="K280" t="s">
        <v>2690</v>
      </c>
      <c r="M280" t="s">
        <v>2967</v>
      </c>
      <c r="N280" t="b">
        <v>0</v>
      </c>
      <c r="O280" t="s">
        <v>2985</v>
      </c>
      <c r="P280" t="s">
        <v>3145</v>
      </c>
      <c r="Q280">
        <v>4</v>
      </c>
      <c r="R280" t="s">
        <v>3342</v>
      </c>
      <c r="S280" s="2">
        <v>59125</v>
      </c>
      <c r="T280" s="2">
        <v>59125</v>
      </c>
      <c r="U280" s="2">
        <v>156625</v>
      </c>
    </row>
    <row r="281" spans="1:21">
      <c r="A281" t="s">
        <v>22</v>
      </c>
      <c r="B281" s="1">
        <f>HYPERLINK("https://cordis.europa.eu/project/id/687794", "687794")</f>
        <v>0</v>
      </c>
      <c r="C281" t="s">
        <v>232</v>
      </c>
      <c r="D281" t="s">
        <v>1043</v>
      </c>
      <c r="E281" t="s">
        <v>1656</v>
      </c>
      <c r="F281" t="s">
        <v>2183</v>
      </c>
      <c r="G281" t="s">
        <v>2394</v>
      </c>
      <c r="H281" t="s">
        <v>2549</v>
      </c>
      <c r="I281" t="s">
        <v>2557</v>
      </c>
      <c r="J281" s="1">
        <f>HYPERLINK("https://ec.europa.eu/info/funding-tenders/opportunities/portal/screen/how-to-participate/org-details/999873673", "999873673")</f>
        <v>0</v>
      </c>
      <c r="K281" t="s">
        <v>2578</v>
      </c>
      <c r="M281" t="s">
        <v>2965</v>
      </c>
      <c r="N281" t="b">
        <v>0</v>
      </c>
      <c r="O281" t="s">
        <v>2985</v>
      </c>
      <c r="P281" t="s">
        <v>3145</v>
      </c>
      <c r="Q281">
        <v>5</v>
      </c>
      <c r="R281" t="s">
        <v>3342</v>
      </c>
      <c r="S281" s="2">
        <v>20000</v>
      </c>
      <c r="T281" s="2">
        <v>20000</v>
      </c>
      <c r="U281" s="2">
        <v>110000</v>
      </c>
    </row>
    <row r="282" spans="1:21">
      <c r="A282" t="s">
        <v>22</v>
      </c>
      <c r="B282" s="1">
        <f>HYPERLINK("https://cordis.europa.eu/project/id/755477", "755477")</f>
        <v>0</v>
      </c>
      <c r="C282" t="s">
        <v>233</v>
      </c>
      <c r="D282" t="s">
        <v>1044</v>
      </c>
      <c r="E282" t="s">
        <v>1657</v>
      </c>
      <c r="F282" t="s">
        <v>2184</v>
      </c>
      <c r="G282" t="s">
        <v>2395</v>
      </c>
      <c r="H282" t="s">
        <v>2548</v>
      </c>
      <c r="I282" t="s">
        <v>2556</v>
      </c>
      <c r="J282" s="1">
        <f>HYPERLINK("https://ec.europa.eu/info/funding-tenders/opportunities/portal/screen/how-to-participate/org-details/917296506", "917296506")</f>
        <v>0</v>
      </c>
      <c r="K282" t="s">
        <v>2691</v>
      </c>
      <c r="M282" t="s">
        <v>2967</v>
      </c>
      <c r="N282" t="b">
        <v>0</v>
      </c>
      <c r="O282" t="s">
        <v>2994</v>
      </c>
      <c r="P282" t="s">
        <v>3146</v>
      </c>
      <c r="Q282">
        <v>2</v>
      </c>
      <c r="R282" t="s">
        <v>3342</v>
      </c>
      <c r="S282" s="2">
        <v>0</v>
      </c>
      <c r="T282" s="2">
        <v>0</v>
      </c>
      <c r="U282" s="2">
        <v>611250</v>
      </c>
    </row>
    <row r="283" spans="1:21">
      <c r="A283" t="s">
        <v>22</v>
      </c>
      <c r="B283" s="1">
        <f>HYPERLINK("https://cordis.europa.eu/project/id/643578", "643578")</f>
        <v>0</v>
      </c>
      <c r="C283" t="s">
        <v>234</v>
      </c>
      <c r="D283" t="s">
        <v>1045</v>
      </c>
      <c r="E283" t="s">
        <v>1658</v>
      </c>
      <c r="F283" t="s">
        <v>1658</v>
      </c>
      <c r="G283" t="s">
        <v>1916</v>
      </c>
      <c r="H283" t="s">
        <v>2548</v>
      </c>
      <c r="I283" t="s">
        <v>2556</v>
      </c>
      <c r="J283" s="1">
        <f>HYPERLINK("https://ec.europa.eu/info/funding-tenders/opportunities/portal/screen/how-to-participate/org-details/960368386", "960368386")</f>
        <v>0</v>
      </c>
      <c r="K283" t="s">
        <v>2622</v>
      </c>
      <c r="L283" t="s">
        <v>2853</v>
      </c>
      <c r="M283" t="s">
        <v>2969</v>
      </c>
      <c r="N283" t="b">
        <v>0</v>
      </c>
      <c r="O283" t="s">
        <v>2992</v>
      </c>
      <c r="P283" t="s">
        <v>3147</v>
      </c>
      <c r="Q283">
        <v>21</v>
      </c>
      <c r="R283" t="s">
        <v>3342</v>
      </c>
      <c r="S283" s="2">
        <v>0</v>
      </c>
      <c r="T283" s="2">
        <v>0</v>
      </c>
      <c r="U283" s="2">
        <v>990000</v>
      </c>
    </row>
    <row r="284" spans="1:21">
      <c r="A284" t="s">
        <v>22</v>
      </c>
      <c r="B284" s="1">
        <f>HYPERLINK("https://cordis.europa.eu/project/id/643578", "643578")</f>
        <v>0</v>
      </c>
      <c r="C284" t="s">
        <v>234</v>
      </c>
      <c r="D284" t="s">
        <v>1045</v>
      </c>
      <c r="E284" t="s">
        <v>1658</v>
      </c>
      <c r="F284" t="s">
        <v>1658</v>
      </c>
      <c r="G284" t="s">
        <v>1916</v>
      </c>
      <c r="H284" t="s">
        <v>2548</v>
      </c>
      <c r="I284" t="s">
        <v>2556</v>
      </c>
      <c r="J284" s="1">
        <f>HYPERLINK("https://ec.europa.eu/info/funding-tenders/opportunities/portal/screen/how-to-participate/org-details/963122410", "963122410")</f>
        <v>0</v>
      </c>
      <c r="K284" t="s">
        <v>2629</v>
      </c>
      <c r="L284" t="s">
        <v>2859</v>
      </c>
      <c r="M284" t="s">
        <v>2968</v>
      </c>
      <c r="N284" t="b">
        <v>0</v>
      </c>
      <c r="O284" t="s">
        <v>2992</v>
      </c>
      <c r="P284" t="s">
        <v>3147</v>
      </c>
      <c r="Q284">
        <v>22</v>
      </c>
      <c r="R284" t="s">
        <v>3342</v>
      </c>
      <c r="S284" s="2">
        <v>0</v>
      </c>
      <c r="T284" s="2">
        <v>0</v>
      </c>
      <c r="U284" s="2">
        <v>330000</v>
      </c>
    </row>
    <row r="285" spans="1:21">
      <c r="A285" t="s">
        <v>22</v>
      </c>
      <c r="B285" s="1">
        <f>HYPERLINK("https://cordis.europa.eu/project/id/643578", "643578")</f>
        <v>0</v>
      </c>
      <c r="C285" t="s">
        <v>234</v>
      </c>
      <c r="D285" t="s">
        <v>1045</v>
      </c>
      <c r="E285" t="s">
        <v>1658</v>
      </c>
      <c r="F285" t="s">
        <v>1658</v>
      </c>
      <c r="G285" t="s">
        <v>1916</v>
      </c>
      <c r="H285" t="s">
        <v>2548</v>
      </c>
      <c r="I285" t="s">
        <v>2556</v>
      </c>
      <c r="J285" s="1">
        <f>HYPERLINK("https://ec.europa.eu/info/funding-tenders/opportunities/portal/screen/how-to-participate/org-details/940997971", "940997971")</f>
        <v>0</v>
      </c>
      <c r="K285" t="s">
        <v>2692</v>
      </c>
      <c r="L285" t="s">
        <v>2910</v>
      </c>
      <c r="M285" t="s">
        <v>2968</v>
      </c>
      <c r="N285" t="b">
        <v>0</v>
      </c>
      <c r="O285" t="s">
        <v>2992</v>
      </c>
      <c r="P285" t="s">
        <v>3147</v>
      </c>
      <c r="Q285">
        <v>23</v>
      </c>
      <c r="R285" t="s">
        <v>3342</v>
      </c>
      <c r="S285" s="2">
        <v>0</v>
      </c>
      <c r="T285" s="2">
        <v>0</v>
      </c>
      <c r="U285" s="2">
        <v>660000</v>
      </c>
    </row>
    <row r="286" spans="1:21">
      <c r="A286" t="s">
        <v>22</v>
      </c>
      <c r="B286" s="1">
        <f>HYPERLINK("https://cordis.europa.eu/project/id/643850", "643850")</f>
        <v>0</v>
      </c>
      <c r="C286" t="s">
        <v>235</v>
      </c>
      <c r="D286" t="s">
        <v>1046</v>
      </c>
      <c r="E286" t="s">
        <v>1659</v>
      </c>
      <c r="F286" t="s">
        <v>2179</v>
      </c>
      <c r="G286" t="s">
        <v>2396</v>
      </c>
      <c r="H286" t="s">
        <v>2548</v>
      </c>
      <c r="I286" t="s">
        <v>2556</v>
      </c>
      <c r="J286" s="1">
        <f>HYPERLINK("https://ec.europa.eu/info/funding-tenders/opportunities/portal/screen/how-to-participate/org-details/960368386", "960368386")</f>
        <v>0</v>
      </c>
      <c r="K286" t="s">
        <v>2622</v>
      </c>
      <c r="L286" t="s">
        <v>2853</v>
      </c>
      <c r="M286" t="s">
        <v>2969</v>
      </c>
      <c r="N286" t="b">
        <v>0</v>
      </c>
      <c r="O286" t="s">
        <v>2985</v>
      </c>
      <c r="P286" t="s">
        <v>3147</v>
      </c>
      <c r="Q286">
        <v>4</v>
      </c>
      <c r="R286" t="s">
        <v>3342</v>
      </c>
      <c r="S286" s="2">
        <v>135000</v>
      </c>
      <c r="T286" s="2">
        <v>135000</v>
      </c>
      <c r="U286" s="2">
        <v>135000</v>
      </c>
    </row>
    <row r="287" spans="1:21">
      <c r="A287" t="s">
        <v>22</v>
      </c>
      <c r="B287" s="1">
        <f>HYPERLINK("https://cordis.europa.eu/project/id/696300", "696300")</f>
        <v>0</v>
      </c>
      <c r="C287" t="s">
        <v>236</v>
      </c>
      <c r="D287" t="s">
        <v>1047</v>
      </c>
      <c r="E287" t="s">
        <v>1660</v>
      </c>
      <c r="F287" t="s">
        <v>2185</v>
      </c>
      <c r="G287" t="s">
        <v>2391</v>
      </c>
      <c r="H287" t="s">
        <v>2549</v>
      </c>
      <c r="I287" t="s">
        <v>2557</v>
      </c>
      <c r="J287" s="1">
        <f>HYPERLINK("https://ec.europa.eu/info/funding-tenders/opportunities/portal/screen/how-to-participate/org-details/927688504", "927688504")</f>
        <v>0</v>
      </c>
      <c r="K287" t="s">
        <v>2693</v>
      </c>
      <c r="L287" t="s">
        <v>2911</v>
      </c>
      <c r="M287" t="s">
        <v>2969</v>
      </c>
      <c r="N287" t="b">
        <v>0</v>
      </c>
      <c r="O287" t="s">
        <v>2985</v>
      </c>
      <c r="P287" t="s">
        <v>3148</v>
      </c>
      <c r="Q287">
        <v>10</v>
      </c>
      <c r="R287" t="s">
        <v>3342</v>
      </c>
      <c r="S287" s="2">
        <v>89880</v>
      </c>
      <c r="T287" s="2">
        <v>89880</v>
      </c>
      <c r="U287" s="2">
        <v>112350</v>
      </c>
    </row>
    <row r="288" spans="1:21">
      <c r="A288" t="s">
        <v>22</v>
      </c>
      <c r="B288" s="1">
        <f>HYPERLINK("https://cordis.europa.eu/project/id/814801", "814801")</f>
        <v>0</v>
      </c>
      <c r="C288" t="s">
        <v>237</v>
      </c>
      <c r="D288" t="s">
        <v>1048</v>
      </c>
      <c r="E288" t="s">
        <v>1661</v>
      </c>
      <c r="F288" t="s">
        <v>2186</v>
      </c>
      <c r="G288" t="s">
        <v>2397</v>
      </c>
      <c r="H288" t="s">
        <v>2548</v>
      </c>
      <c r="I288" t="s">
        <v>2556</v>
      </c>
      <c r="J288" s="1">
        <f>HYPERLINK("https://ec.europa.eu/info/funding-tenders/opportunities/portal/screen/how-to-participate/org-details/999561042", "999561042")</f>
        <v>0</v>
      </c>
      <c r="K288" t="s">
        <v>2566</v>
      </c>
      <c r="L288" t="s">
        <v>2810</v>
      </c>
      <c r="M288" t="s">
        <v>2966</v>
      </c>
      <c r="N288" t="b">
        <v>0</v>
      </c>
      <c r="O288" t="s">
        <v>2993</v>
      </c>
      <c r="P288" t="s">
        <v>3149</v>
      </c>
      <c r="Q288">
        <v>1</v>
      </c>
      <c r="R288" t="s">
        <v>3344</v>
      </c>
      <c r="S288" s="2">
        <v>0</v>
      </c>
      <c r="T288" s="2">
        <v>0</v>
      </c>
      <c r="U288" s="2">
        <v>0</v>
      </c>
    </row>
    <row r="289" spans="1:21">
      <c r="A289" t="s">
        <v>22</v>
      </c>
      <c r="B289" s="1">
        <f>HYPERLINK("https://cordis.europa.eu/project/id/814801", "814801")</f>
        <v>0</v>
      </c>
      <c r="C289" t="s">
        <v>237</v>
      </c>
      <c r="D289" t="s">
        <v>1048</v>
      </c>
      <c r="E289" t="s">
        <v>1661</v>
      </c>
      <c r="F289" t="s">
        <v>2186</v>
      </c>
      <c r="G289" t="s">
        <v>2397</v>
      </c>
      <c r="H289" t="s">
        <v>2548</v>
      </c>
      <c r="I289" t="s">
        <v>2556</v>
      </c>
      <c r="J289" s="1">
        <f>HYPERLINK("https://ec.europa.eu/info/funding-tenders/opportunities/portal/screen/how-to-participate/org-details/968750253", "968750253")</f>
        <v>0</v>
      </c>
      <c r="K289" t="s">
        <v>2656</v>
      </c>
      <c r="L289" t="s">
        <v>2882</v>
      </c>
      <c r="M289" t="s">
        <v>2965</v>
      </c>
      <c r="N289" t="b">
        <v>0</v>
      </c>
      <c r="O289" t="s">
        <v>2993</v>
      </c>
      <c r="P289" t="s">
        <v>3149</v>
      </c>
      <c r="Q289">
        <v>6</v>
      </c>
      <c r="R289" t="s">
        <v>3344</v>
      </c>
      <c r="S289" s="2">
        <v>0</v>
      </c>
      <c r="T289" s="2">
        <v>0</v>
      </c>
      <c r="U289" s="2">
        <v>0</v>
      </c>
    </row>
    <row r="290" spans="1:21">
      <c r="A290" t="s">
        <v>22</v>
      </c>
      <c r="B290" s="1">
        <f>HYPERLINK("https://cordis.europa.eu/project/id/101020088", "101020088")</f>
        <v>0</v>
      </c>
      <c r="C290" t="s">
        <v>238</v>
      </c>
      <c r="D290" t="s">
        <v>1049</v>
      </c>
      <c r="E290" t="s">
        <v>1662</v>
      </c>
      <c r="F290" t="s">
        <v>2187</v>
      </c>
      <c r="G290" t="s">
        <v>2398</v>
      </c>
      <c r="H290" t="s">
        <v>2549</v>
      </c>
      <c r="I290" t="s">
        <v>2557</v>
      </c>
      <c r="J290" s="1">
        <f>HYPERLINK("https://ec.europa.eu/info/funding-tenders/opportunities/portal/screen/how-to-participate/org-details/992582086", "992582086")</f>
        <v>0</v>
      </c>
      <c r="K290" t="s">
        <v>2678</v>
      </c>
      <c r="L290" t="s">
        <v>2900</v>
      </c>
      <c r="M290" t="s">
        <v>2965</v>
      </c>
      <c r="N290" t="b">
        <v>0</v>
      </c>
      <c r="O290" t="s">
        <v>2995</v>
      </c>
      <c r="P290" t="s">
        <v>3150</v>
      </c>
      <c r="Q290">
        <v>2</v>
      </c>
      <c r="R290" t="s">
        <v>3342</v>
      </c>
      <c r="S290" s="2">
        <v>325000</v>
      </c>
      <c r="T290" s="2">
        <v>325000</v>
      </c>
      <c r="U290" s="2">
        <v>325000</v>
      </c>
    </row>
    <row r="291" spans="1:21">
      <c r="A291" t="s">
        <v>22</v>
      </c>
      <c r="B291" s="1">
        <f>HYPERLINK("https://cordis.europa.eu/project/id/668954", "668954")</f>
        <v>0</v>
      </c>
      <c r="C291" t="s">
        <v>239</v>
      </c>
      <c r="D291" t="s">
        <v>1050</v>
      </c>
      <c r="E291" t="s">
        <v>1663</v>
      </c>
      <c r="F291" t="s">
        <v>2188</v>
      </c>
      <c r="G291" t="s">
        <v>2399</v>
      </c>
      <c r="H291" t="s">
        <v>2549</v>
      </c>
      <c r="I291" t="s">
        <v>2557</v>
      </c>
      <c r="J291" s="1">
        <f>HYPERLINK("https://ec.europa.eu/info/funding-tenders/opportunities/portal/screen/how-to-participate/org-details/992582086", "992582086")</f>
        <v>0</v>
      </c>
      <c r="K291" t="s">
        <v>2678</v>
      </c>
      <c r="L291" t="s">
        <v>2900</v>
      </c>
      <c r="M291" t="s">
        <v>2965</v>
      </c>
      <c r="N291" t="b">
        <v>0</v>
      </c>
      <c r="O291" t="s">
        <v>2995</v>
      </c>
      <c r="P291" t="s">
        <v>3151</v>
      </c>
      <c r="Q291">
        <v>6</v>
      </c>
      <c r="R291" t="s">
        <v>3342</v>
      </c>
      <c r="S291" s="2">
        <v>469975</v>
      </c>
      <c r="T291" s="2">
        <v>469975</v>
      </c>
      <c r="U291" s="2">
        <v>469975</v>
      </c>
    </row>
    <row r="292" spans="1:21">
      <c r="A292" t="s">
        <v>22</v>
      </c>
      <c r="B292" s="1">
        <f>HYPERLINK("https://cordis.europa.eu/project/id/825664", "825664")</f>
        <v>0</v>
      </c>
      <c r="C292" t="s">
        <v>240</v>
      </c>
      <c r="D292" t="s">
        <v>1051</v>
      </c>
      <c r="E292" t="s">
        <v>1664</v>
      </c>
      <c r="F292" t="s">
        <v>2189</v>
      </c>
      <c r="G292" t="s">
        <v>2400</v>
      </c>
      <c r="H292" t="s">
        <v>2548</v>
      </c>
      <c r="I292" t="s">
        <v>2556</v>
      </c>
      <c r="J292" s="1">
        <f>HYPERLINK("https://ec.europa.eu/info/funding-tenders/opportunities/portal/screen/how-to-participate/org-details/960368386", "960368386")</f>
        <v>0</v>
      </c>
      <c r="K292" t="s">
        <v>2622</v>
      </c>
      <c r="L292" t="s">
        <v>2853</v>
      </c>
      <c r="M292" t="s">
        <v>2969</v>
      </c>
      <c r="N292" t="b">
        <v>0</v>
      </c>
      <c r="O292" t="s">
        <v>2992</v>
      </c>
      <c r="P292" t="s">
        <v>3152</v>
      </c>
      <c r="Q292">
        <v>4</v>
      </c>
      <c r="R292" t="s">
        <v>3342</v>
      </c>
      <c r="S292" s="2">
        <v>0</v>
      </c>
      <c r="T292" s="2">
        <v>0</v>
      </c>
      <c r="U292" s="2">
        <v>72500</v>
      </c>
    </row>
    <row r="293" spans="1:21">
      <c r="A293" t="s">
        <v>22</v>
      </c>
      <c r="B293" s="1">
        <f>HYPERLINK("https://cordis.europa.eu/project/id/779282", "779282")</f>
        <v>0</v>
      </c>
      <c r="C293" t="s">
        <v>241</v>
      </c>
      <c r="D293" t="s">
        <v>1052</v>
      </c>
      <c r="E293" t="s">
        <v>1665</v>
      </c>
      <c r="F293" t="s">
        <v>2190</v>
      </c>
      <c r="G293" t="s">
        <v>2401</v>
      </c>
      <c r="H293" t="s">
        <v>2548</v>
      </c>
      <c r="I293" t="s">
        <v>2556</v>
      </c>
      <c r="J293" s="1">
        <f>HYPERLINK("https://ec.europa.eu/info/funding-tenders/opportunities/portal/screen/how-to-participate/org-details/960368386", "960368386")</f>
        <v>0</v>
      </c>
      <c r="K293" t="s">
        <v>2622</v>
      </c>
      <c r="L293" t="s">
        <v>2853</v>
      </c>
      <c r="M293" t="s">
        <v>2969</v>
      </c>
      <c r="N293" t="b">
        <v>0</v>
      </c>
      <c r="O293" t="s">
        <v>2992</v>
      </c>
      <c r="P293" t="s">
        <v>3153</v>
      </c>
      <c r="Q293">
        <v>3</v>
      </c>
      <c r="R293" t="s">
        <v>3342</v>
      </c>
      <c r="S293" s="2">
        <v>0</v>
      </c>
      <c r="T293" s="2">
        <v>0</v>
      </c>
      <c r="U293" s="2">
        <v>2800000</v>
      </c>
    </row>
    <row r="294" spans="1:21">
      <c r="A294" t="s">
        <v>22</v>
      </c>
      <c r="B294" s="1">
        <f>HYPERLINK("https://cordis.europa.eu/project/id/779282", "779282")</f>
        <v>0</v>
      </c>
      <c r="C294" t="s">
        <v>241</v>
      </c>
      <c r="D294" t="s">
        <v>1052</v>
      </c>
      <c r="E294" t="s">
        <v>1665</v>
      </c>
      <c r="F294" t="s">
        <v>2190</v>
      </c>
      <c r="G294" t="s">
        <v>2401</v>
      </c>
      <c r="H294" t="s">
        <v>2548</v>
      </c>
      <c r="I294" t="s">
        <v>2556</v>
      </c>
      <c r="J294" s="1">
        <f>HYPERLINK("https://ec.europa.eu/info/funding-tenders/opportunities/portal/screen/how-to-participate/org-details/963122410", "963122410")</f>
        <v>0</v>
      </c>
      <c r="K294" t="s">
        <v>2629</v>
      </c>
      <c r="L294" t="s">
        <v>2859</v>
      </c>
      <c r="M294" t="s">
        <v>2968</v>
      </c>
      <c r="N294" t="b">
        <v>0</v>
      </c>
      <c r="O294" t="s">
        <v>2992</v>
      </c>
      <c r="P294" t="s">
        <v>3153</v>
      </c>
      <c r="Q294">
        <v>4</v>
      </c>
      <c r="R294" t="s">
        <v>3342</v>
      </c>
      <c r="S294" s="2">
        <v>0</v>
      </c>
      <c r="T294" s="2">
        <v>0</v>
      </c>
      <c r="U294" s="2">
        <v>320000</v>
      </c>
    </row>
    <row r="295" spans="1:21">
      <c r="A295" t="s">
        <v>22</v>
      </c>
      <c r="B295" s="1">
        <f>HYPERLINK("https://cordis.europa.eu/project/id/862032", "862032")</f>
        <v>0</v>
      </c>
      <c r="C295" t="s">
        <v>242</v>
      </c>
      <c r="D295" t="s">
        <v>1053</v>
      </c>
      <c r="E295" t="s">
        <v>1666</v>
      </c>
      <c r="F295" t="s">
        <v>2191</v>
      </c>
      <c r="G295" t="s">
        <v>2402</v>
      </c>
      <c r="H295" t="s">
        <v>2548</v>
      </c>
      <c r="I295" t="s">
        <v>2556</v>
      </c>
      <c r="J295" s="1">
        <f>HYPERLINK("https://ec.europa.eu/info/funding-tenders/opportunities/portal/screen/how-to-participate/org-details/999894043", "999894043")</f>
        <v>0</v>
      </c>
      <c r="K295" t="s">
        <v>2568</v>
      </c>
      <c r="L295" t="s">
        <v>2812</v>
      </c>
      <c r="M295" t="s">
        <v>2965</v>
      </c>
      <c r="N295" t="b">
        <v>0</v>
      </c>
      <c r="O295" t="s">
        <v>2996</v>
      </c>
      <c r="P295" t="s">
        <v>3154</v>
      </c>
      <c r="Q295">
        <v>2</v>
      </c>
      <c r="R295" t="s">
        <v>3342</v>
      </c>
      <c r="S295" s="2">
        <v>90000</v>
      </c>
      <c r="T295" s="2">
        <v>90000</v>
      </c>
      <c r="U295" s="2">
        <v>0</v>
      </c>
    </row>
    <row r="296" spans="1:21">
      <c r="A296" t="s">
        <v>22</v>
      </c>
      <c r="B296" s="1">
        <f>HYPERLINK("https://cordis.europa.eu/project/id/788812", "788812")</f>
        <v>0</v>
      </c>
      <c r="C296" t="s">
        <v>243</v>
      </c>
      <c r="D296" t="s">
        <v>1054</v>
      </c>
      <c r="E296" t="s">
        <v>1667</v>
      </c>
      <c r="F296" t="s">
        <v>2189</v>
      </c>
      <c r="G296" t="s">
        <v>2403</v>
      </c>
      <c r="H296" t="s">
        <v>2549</v>
      </c>
      <c r="I296" t="s">
        <v>2557</v>
      </c>
      <c r="J296" s="1">
        <f>HYPERLINK("https://ec.europa.eu/info/funding-tenders/opportunities/portal/screen/how-to-participate/org-details/999613131", "999613131")</f>
        <v>0</v>
      </c>
      <c r="K296" t="s">
        <v>2591</v>
      </c>
      <c r="L296" t="s">
        <v>2831</v>
      </c>
      <c r="M296" t="s">
        <v>2965</v>
      </c>
      <c r="N296" t="b">
        <v>0</v>
      </c>
      <c r="O296" t="s">
        <v>2995</v>
      </c>
      <c r="P296" t="s">
        <v>3155</v>
      </c>
      <c r="Q296">
        <v>2</v>
      </c>
      <c r="R296" t="s">
        <v>3342</v>
      </c>
      <c r="S296" s="2">
        <v>365000</v>
      </c>
      <c r="T296" s="2">
        <v>365000</v>
      </c>
      <c r="U296" s="2">
        <v>365000</v>
      </c>
    </row>
    <row r="297" spans="1:21">
      <c r="A297" t="s">
        <v>22</v>
      </c>
      <c r="B297" s="1">
        <f>HYPERLINK("https://cordis.europa.eu/project/id/786571", "786571")</f>
        <v>0</v>
      </c>
      <c r="C297" t="s">
        <v>244</v>
      </c>
      <c r="D297" t="s">
        <v>1055</v>
      </c>
      <c r="E297" t="s">
        <v>1668</v>
      </c>
      <c r="F297" t="s">
        <v>2192</v>
      </c>
      <c r="G297" t="s">
        <v>2404</v>
      </c>
      <c r="H297" t="s">
        <v>2548</v>
      </c>
      <c r="I297" t="s">
        <v>2556</v>
      </c>
      <c r="J297" s="1">
        <f>HYPERLINK("https://ec.europa.eu/info/funding-tenders/opportunities/portal/screen/how-to-participate/org-details/998908426", "998908426")</f>
        <v>0</v>
      </c>
      <c r="K297" t="s">
        <v>2569</v>
      </c>
      <c r="M297" t="s">
        <v>2965</v>
      </c>
      <c r="N297" t="b">
        <v>0</v>
      </c>
      <c r="O297" t="s">
        <v>2985</v>
      </c>
      <c r="P297" t="s">
        <v>3156</v>
      </c>
      <c r="Q297">
        <v>20</v>
      </c>
      <c r="R297" t="s">
        <v>3342</v>
      </c>
      <c r="S297" s="2">
        <v>25000</v>
      </c>
      <c r="T297" s="2">
        <v>25000</v>
      </c>
      <c r="U297" s="2">
        <v>98500</v>
      </c>
    </row>
    <row r="298" spans="1:21">
      <c r="A298" t="s">
        <v>22</v>
      </c>
      <c r="B298" s="1">
        <f>HYPERLINK("https://cordis.europa.eu/project/id/786571", "786571")</f>
        <v>0</v>
      </c>
      <c r="C298" t="s">
        <v>244</v>
      </c>
      <c r="D298" t="s">
        <v>1055</v>
      </c>
      <c r="E298" t="s">
        <v>1668</v>
      </c>
      <c r="F298" t="s">
        <v>2192</v>
      </c>
      <c r="G298" t="s">
        <v>2404</v>
      </c>
      <c r="H298" t="s">
        <v>2549</v>
      </c>
      <c r="I298" t="s">
        <v>2557</v>
      </c>
      <c r="J298" s="1">
        <f>HYPERLINK("https://ec.europa.eu/info/funding-tenders/opportunities/portal/screen/how-to-participate/org-details/905831106", "905831106")</f>
        <v>0</v>
      </c>
      <c r="K298" t="s">
        <v>2694</v>
      </c>
      <c r="M298" t="s">
        <v>2969</v>
      </c>
      <c r="N298" t="b">
        <v>0</v>
      </c>
      <c r="O298" t="s">
        <v>2985</v>
      </c>
      <c r="P298" t="s">
        <v>3156</v>
      </c>
      <c r="Q298">
        <v>7</v>
      </c>
      <c r="R298" t="s">
        <v>3342</v>
      </c>
      <c r="S298" s="2">
        <v>25000</v>
      </c>
      <c r="T298" s="2">
        <v>25000</v>
      </c>
      <c r="U298" s="2">
        <v>90500</v>
      </c>
    </row>
    <row r="299" spans="1:21">
      <c r="A299" t="s">
        <v>22</v>
      </c>
      <c r="B299" s="1">
        <f>HYPERLINK("https://cordis.europa.eu/project/id/963864", "963864")</f>
        <v>0</v>
      </c>
      <c r="C299" t="s">
        <v>245</v>
      </c>
      <c r="D299" t="s">
        <v>1056</v>
      </c>
      <c r="E299" t="s">
        <v>1669</v>
      </c>
      <c r="F299" t="s">
        <v>2193</v>
      </c>
      <c r="G299" t="s">
        <v>2405</v>
      </c>
      <c r="H299" t="s">
        <v>2548</v>
      </c>
      <c r="I299" t="s">
        <v>2556</v>
      </c>
      <c r="J299" s="1">
        <f>HYPERLINK("https://ec.europa.eu/info/funding-tenders/opportunities/portal/screen/how-to-participate/org-details/960368386", "960368386")</f>
        <v>0</v>
      </c>
      <c r="K299" t="s">
        <v>2622</v>
      </c>
      <c r="L299" t="s">
        <v>2853</v>
      </c>
      <c r="M299" t="s">
        <v>2969</v>
      </c>
      <c r="N299" t="b">
        <v>0</v>
      </c>
      <c r="O299" t="s">
        <v>2992</v>
      </c>
      <c r="P299" t="s">
        <v>3143</v>
      </c>
      <c r="Q299">
        <v>6</v>
      </c>
      <c r="R299" t="s">
        <v>3342</v>
      </c>
      <c r="S299" s="2">
        <v>0</v>
      </c>
      <c r="T299" s="2">
        <v>0</v>
      </c>
      <c r="U299" s="2">
        <v>1510000</v>
      </c>
    </row>
    <row r="300" spans="1:21">
      <c r="A300" t="s">
        <v>22</v>
      </c>
      <c r="B300" s="1">
        <f>HYPERLINK("https://cordis.europa.eu/project/id/723770", "723770")</f>
        <v>0</v>
      </c>
      <c r="C300" t="s">
        <v>246</v>
      </c>
      <c r="D300" t="s">
        <v>1057</v>
      </c>
      <c r="E300" t="s">
        <v>1670</v>
      </c>
      <c r="F300" t="s">
        <v>2194</v>
      </c>
      <c r="G300" t="s">
        <v>2406</v>
      </c>
      <c r="H300" t="s">
        <v>2548</v>
      </c>
      <c r="I300" t="s">
        <v>2556</v>
      </c>
      <c r="J300" s="1">
        <f>HYPERLINK("https://ec.europa.eu/info/funding-tenders/opportunities/portal/screen/how-to-participate/org-details/963122410", "963122410")</f>
        <v>0</v>
      </c>
      <c r="K300" t="s">
        <v>2629</v>
      </c>
      <c r="L300" t="s">
        <v>2859</v>
      </c>
      <c r="M300" t="s">
        <v>2968</v>
      </c>
      <c r="N300" t="b">
        <v>0</v>
      </c>
      <c r="O300" t="s">
        <v>2992</v>
      </c>
      <c r="P300" t="s">
        <v>3157</v>
      </c>
      <c r="Q300">
        <v>24</v>
      </c>
      <c r="R300" t="s">
        <v>3342</v>
      </c>
      <c r="S300" s="2">
        <v>0</v>
      </c>
      <c r="T300" s="2">
        <v>0</v>
      </c>
      <c r="U300" s="2">
        <v>0</v>
      </c>
    </row>
    <row r="301" spans="1:21">
      <c r="A301" t="s">
        <v>22</v>
      </c>
      <c r="B301" s="1">
        <f>HYPERLINK("https://cordis.europa.eu/project/id/843298", "843298")</f>
        <v>0</v>
      </c>
      <c r="C301" t="s">
        <v>247</v>
      </c>
      <c r="D301" t="s">
        <v>1058</v>
      </c>
      <c r="E301" t="s">
        <v>1671</v>
      </c>
      <c r="F301" t="s">
        <v>2195</v>
      </c>
      <c r="G301" t="s">
        <v>2407</v>
      </c>
      <c r="H301" t="s">
        <v>2548</v>
      </c>
      <c r="I301" t="s">
        <v>2556</v>
      </c>
      <c r="J301" s="1">
        <f>HYPERLINK("https://ec.europa.eu/info/funding-tenders/opportunities/portal/screen/how-to-participate/org-details/999845252", "999845252")</f>
        <v>0</v>
      </c>
      <c r="K301" t="s">
        <v>2687</v>
      </c>
      <c r="L301" t="s">
        <v>2908</v>
      </c>
      <c r="M301" t="s">
        <v>2965</v>
      </c>
      <c r="N301" t="b">
        <v>0</v>
      </c>
      <c r="O301" t="s">
        <v>2997</v>
      </c>
      <c r="P301" t="s">
        <v>3158</v>
      </c>
      <c r="Q301">
        <v>2</v>
      </c>
      <c r="R301" t="s">
        <v>3345</v>
      </c>
      <c r="T301" s="2">
        <v>0</v>
      </c>
    </row>
    <row r="302" spans="1:21">
      <c r="A302" t="s">
        <v>22</v>
      </c>
      <c r="B302" s="1">
        <f>HYPERLINK("https://cordis.europa.eu/project/id/843753", "843753")</f>
        <v>0</v>
      </c>
      <c r="C302" t="s">
        <v>248</v>
      </c>
      <c r="D302" t="s">
        <v>1059</v>
      </c>
      <c r="E302" t="s">
        <v>1672</v>
      </c>
      <c r="F302" t="s">
        <v>2196</v>
      </c>
      <c r="G302" t="s">
        <v>2408</v>
      </c>
      <c r="H302" t="s">
        <v>2548</v>
      </c>
      <c r="I302" t="s">
        <v>2556</v>
      </c>
      <c r="J302" s="1">
        <f>HYPERLINK("https://ec.europa.eu/info/funding-tenders/opportunities/portal/screen/how-to-participate/org-details/999894043", "999894043")</f>
        <v>0</v>
      </c>
      <c r="K302" t="s">
        <v>2568</v>
      </c>
      <c r="L302" t="s">
        <v>2812</v>
      </c>
      <c r="M302" t="s">
        <v>2965</v>
      </c>
      <c r="N302" t="b">
        <v>0</v>
      </c>
      <c r="O302" t="s">
        <v>2997</v>
      </c>
      <c r="P302" t="s">
        <v>3158</v>
      </c>
      <c r="Q302">
        <v>2</v>
      </c>
      <c r="R302" t="s">
        <v>3345</v>
      </c>
      <c r="T302" s="2">
        <v>0</v>
      </c>
    </row>
    <row r="303" spans="1:21">
      <c r="A303" t="s">
        <v>22</v>
      </c>
      <c r="B303" s="1">
        <f>HYPERLINK("https://cordis.europa.eu/project/id/746155", "746155")</f>
        <v>0</v>
      </c>
      <c r="C303" t="s">
        <v>249</v>
      </c>
      <c r="D303" t="s">
        <v>1060</v>
      </c>
      <c r="E303" t="s">
        <v>1673</v>
      </c>
      <c r="F303" t="s">
        <v>2197</v>
      </c>
      <c r="G303" t="s">
        <v>2394</v>
      </c>
      <c r="H303" t="s">
        <v>2548</v>
      </c>
      <c r="I303" t="s">
        <v>2556</v>
      </c>
      <c r="J303" s="1">
        <f>HYPERLINK("https://ec.europa.eu/info/funding-tenders/opportunities/portal/screen/how-to-participate/org-details/998804636", "998804636")</f>
        <v>0</v>
      </c>
      <c r="K303" t="s">
        <v>2612</v>
      </c>
      <c r="L303" t="s">
        <v>2845</v>
      </c>
      <c r="M303" t="s">
        <v>2965</v>
      </c>
      <c r="N303" t="b">
        <v>0</v>
      </c>
      <c r="O303" t="s">
        <v>2998</v>
      </c>
      <c r="P303" t="s">
        <v>3159</v>
      </c>
      <c r="Q303">
        <v>2</v>
      </c>
      <c r="R303" t="s">
        <v>3345</v>
      </c>
      <c r="T303" s="2">
        <v>0</v>
      </c>
    </row>
    <row r="304" spans="1:21">
      <c r="A304" t="s">
        <v>22</v>
      </c>
      <c r="B304" s="1">
        <f>HYPERLINK("https://cordis.europa.eu/project/id/792773", "792773")</f>
        <v>0</v>
      </c>
      <c r="C304" t="s">
        <v>250</v>
      </c>
      <c r="D304" t="s">
        <v>1061</v>
      </c>
      <c r="E304" t="s">
        <v>1674</v>
      </c>
      <c r="F304" t="s">
        <v>2198</v>
      </c>
      <c r="G304" t="s">
        <v>2409</v>
      </c>
      <c r="H304" t="s">
        <v>2549</v>
      </c>
      <c r="I304" t="s">
        <v>2557</v>
      </c>
      <c r="J304" s="1">
        <f>HYPERLINK("https://ec.europa.eu/info/funding-tenders/opportunities/portal/screen/how-to-participate/org-details/998295580", "998295580")</f>
        <v>0</v>
      </c>
      <c r="K304" t="s">
        <v>2686</v>
      </c>
      <c r="L304" t="s">
        <v>2907</v>
      </c>
      <c r="M304" t="s">
        <v>2966</v>
      </c>
      <c r="N304" t="b">
        <v>0</v>
      </c>
      <c r="O304" t="s">
        <v>2997</v>
      </c>
      <c r="P304" t="s">
        <v>3160</v>
      </c>
      <c r="Q304">
        <v>2</v>
      </c>
      <c r="R304" t="s">
        <v>3345</v>
      </c>
      <c r="T304" s="2">
        <v>0</v>
      </c>
    </row>
    <row r="305" spans="1:21">
      <c r="A305" t="s">
        <v>22</v>
      </c>
      <c r="B305" s="1">
        <f>HYPERLINK("https://cordis.europa.eu/project/id/748625", "748625")</f>
        <v>0</v>
      </c>
      <c r="C305" t="s">
        <v>251</v>
      </c>
      <c r="D305" t="s">
        <v>1062</v>
      </c>
      <c r="E305" t="s">
        <v>1675</v>
      </c>
      <c r="F305" t="s">
        <v>2199</v>
      </c>
      <c r="G305" t="s">
        <v>2410</v>
      </c>
      <c r="H305" t="s">
        <v>2549</v>
      </c>
      <c r="I305" t="s">
        <v>2557</v>
      </c>
      <c r="J305" s="1">
        <f>HYPERLINK("https://ec.europa.eu/info/funding-tenders/opportunities/portal/screen/how-to-participate/org-details/998331567", "998331567")</f>
        <v>0</v>
      </c>
      <c r="K305" t="s">
        <v>2573</v>
      </c>
      <c r="M305" t="s">
        <v>2965</v>
      </c>
      <c r="N305" t="b">
        <v>0</v>
      </c>
      <c r="O305" t="s">
        <v>2998</v>
      </c>
      <c r="P305" t="s">
        <v>3159</v>
      </c>
      <c r="Q305">
        <v>2</v>
      </c>
      <c r="R305" t="s">
        <v>3345</v>
      </c>
      <c r="T305" s="2">
        <v>0</v>
      </c>
    </row>
    <row r="306" spans="1:21">
      <c r="A306" t="s">
        <v>22</v>
      </c>
      <c r="B306" s="1">
        <f>HYPERLINK("https://cordis.europa.eu/project/id/754550", "754550")</f>
        <v>0</v>
      </c>
      <c r="C306" t="s">
        <v>252</v>
      </c>
      <c r="D306" t="s">
        <v>1063</v>
      </c>
      <c r="E306" t="s">
        <v>1676</v>
      </c>
      <c r="F306" t="s">
        <v>2200</v>
      </c>
      <c r="G306" t="s">
        <v>2411</v>
      </c>
      <c r="H306" t="s">
        <v>2548</v>
      </c>
      <c r="I306" t="s">
        <v>2556</v>
      </c>
      <c r="J306" s="1">
        <f>HYPERLINK("https://ec.europa.eu/info/funding-tenders/opportunities/portal/screen/how-to-participate/org-details/998757203", "998757203")</f>
        <v>0</v>
      </c>
      <c r="K306" t="s">
        <v>2575</v>
      </c>
      <c r="L306" t="s">
        <v>2817</v>
      </c>
      <c r="M306" t="s">
        <v>2965</v>
      </c>
      <c r="N306" t="b">
        <v>0</v>
      </c>
      <c r="O306" t="s">
        <v>2999</v>
      </c>
      <c r="P306" t="s">
        <v>3161</v>
      </c>
      <c r="Q306">
        <v>8</v>
      </c>
      <c r="R306" t="s">
        <v>3345</v>
      </c>
      <c r="T306" s="2">
        <v>0</v>
      </c>
      <c r="U306" s="2">
        <v>0</v>
      </c>
    </row>
    <row r="307" spans="1:21">
      <c r="A307" t="s">
        <v>22</v>
      </c>
      <c r="B307" s="1">
        <f>HYPERLINK("https://cordis.europa.eu/project/id/838444", "838444")</f>
        <v>0</v>
      </c>
      <c r="C307" t="s">
        <v>253</v>
      </c>
      <c r="D307" t="s">
        <v>1064</v>
      </c>
      <c r="E307" t="s">
        <v>1677</v>
      </c>
      <c r="F307" t="s">
        <v>2201</v>
      </c>
      <c r="G307" t="s">
        <v>2412</v>
      </c>
      <c r="H307" t="s">
        <v>2548</v>
      </c>
      <c r="I307" t="s">
        <v>2556</v>
      </c>
      <c r="J307" s="1">
        <f>HYPERLINK("https://ec.europa.eu/info/funding-tenders/opportunities/portal/screen/how-to-participate/org-details/986276989", "986276989")</f>
        <v>0</v>
      </c>
      <c r="K307" t="s">
        <v>2666</v>
      </c>
      <c r="L307" t="s">
        <v>2891</v>
      </c>
      <c r="M307" t="s">
        <v>2965</v>
      </c>
      <c r="N307" t="b">
        <v>0</v>
      </c>
      <c r="O307" t="s">
        <v>2997</v>
      </c>
      <c r="P307" t="s">
        <v>3158</v>
      </c>
      <c r="Q307">
        <v>2</v>
      </c>
      <c r="R307" t="s">
        <v>3345</v>
      </c>
      <c r="T307" s="2">
        <v>0</v>
      </c>
    </row>
    <row r="308" spans="1:21">
      <c r="A308" t="s">
        <v>22</v>
      </c>
      <c r="B308" s="1">
        <f>HYPERLINK("https://cordis.europa.eu/project/id/837190", "837190")</f>
        <v>0</v>
      </c>
      <c r="C308" t="s">
        <v>254</v>
      </c>
      <c r="D308" t="s">
        <v>1065</v>
      </c>
      <c r="E308" t="s">
        <v>1678</v>
      </c>
      <c r="F308" t="s">
        <v>2202</v>
      </c>
      <c r="G308" t="s">
        <v>2068</v>
      </c>
      <c r="H308" t="s">
        <v>2548</v>
      </c>
      <c r="I308" t="s">
        <v>2556</v>
      </c>
      <c r="J308" s="1">
        <f>HYPERLINK("https://ec.europa.eu/info/funding-tenders/opportunities/portal/screen/how-to-participate/org-details/998804636", "998804636")</f>
        <v>0</v>
      </c>
      <c r="K308" t="s">
        <v>2612</v>
      </c>
      <c r="L308" t="s">
        <v>2845</v>
      </c>
      <c r="M308" t="s">
        <v>2965</v>
      </c>
      <c r="N308" t="b">
        <v>0</v>
      </c>
      <c r="O308" t="s">
        <v>2998</v>
      </c>
      <c r="P308" t="s">
        <v>3158</v>
      </c>
      <c r="Q308">
        <v>2</v>
      </c>
      <c r="R308" t="s">
        <v>3345</v>
      </c>
      <c r="T308" s="2">
        <v>0</v>
      </c>
    </row>
    <row r="309" spans="1:21">
      <c r="A309" t="s">
        <v>22</v>
      </c>
      <c r="B309" s="1">
        <f>HYPERLINK("https://cordis.europa.eu/project/id/881822", "881822")</f>
        <v>0</v>
      </c>
      <c r="C309" t="s">
        <v>255</v>
      </c>
      <c r="D309" t="s">
        <v>1066</v>
      </c>
      <c r="E309" t="s">
        <v>1679</v>
      </c>
      <c r="F309" t="s">
        <v>2182</v>
      </c>
      <c r="G309" t="s">
        <v>2404</v>
      </c>
      <c r="H309" t="s">
        <v>2548</v>
      </c>
      <c r="I309" t="s">
        <v>2556</v>
      </c>
      <c r="J309" s="1">
        <f>HYPERLINK("https://ec.europa.eu/info/funding-tenders/opportunities/portal/screen/how-to-participate/org-details/998826946", "998826946")</f>
        <v>0</v>
      </c>
      <c r="K309" t="s">
        <v>2617</v>
      </c>
      <c r="L309" t="s">
        <v>2848</v>
      </c>
      <c r="M309" t="s">
        <v>2965</v>
      </c>
      <c r="N309" t="b">
        <v>0</v>
      </c>
      <c r="O309" t="s">
        <v>2997</v>
      </c>
      <c r="P309" t="s">
        <v>3162</v>
      </c>
      <c r="Q309">
        <v>2</v>
      </c>
      <c r="R309" t="s">
        <v>3345</v>
      </c>
      <c r="T309" s="2">
        <v>0</v>
      </c>
    </row>
    <row r="310" spans="1:21">
      <c r="A310" t="s">
        <v>22</v>
      </c>
      <c r="B310" s="1">
        <f>HYPERLINK("https://cordis.europa.eu/project/id/897218", "897218")</f>
        <v>0</v>
      </c>
      <c r="C310" t="s">
        <v>256</v>
      </c>
      <c r="D310" t="s">
        <v>1067</v>
      </c>
      <c r="E310" t="s">
        <v>1680</v>
      </c>
      <c r="F310" t="s">
        <v>2203</v>
      </c>
      <c r="G310" t="s">
        <v>2413</v>
      </c>
      <c r="H310" t="s">
        <v>2549</v>
      </c>
      <c r="I310" t="s">
        <v>2557</v>
      </c>
      <c r="J310" s="1">
        <f>HYPERLINK("https://ec.europa.eu/info/funding-tenders/opportunities/portal/screen/how-to-participate/org-details/999613131", "999613131")</f>
        <v>0</v>
      </c>
      <c r="K310" t="s">
        <v>2591</v>
      </c>
      <c r="L310" t="s">
        <v>2831</v>
      </c>
      <c r="M310" t="s">
        <v>2965</v>
      </c>
      <c r="N310" t="b">
        <v>0</v>
      </c>
      <c r="O310" t="s">
        <v>2997</v>
      </c>
      <c r="P310" t="s">
        <v>3162</v>
      </c>
      <c r="Q310">
        <v>2</v>
      </c>
      <c r="R310" t="s">
        <v>3345</v>
      </c>
      <c r="T310" s="2">
        <v>0</v>
      </c>
    </row>
    <row r="311" spans="1:21">
      <c r="A311" t="s">
        <v>22</v>
      </c>
      <c r="B311" s="1">
        <f>HYPERLINK("https://cordis.europa.eu/project/id/893040", "893040")</f>
        <v>0</v>
      </c>
      <c r="C311" t="s">
        <v>257</v>
      </c>
      <c r="D311" t="s">
        <v>1068</v>
      </c>
      <c r="E311" t="s">
        <v>1681</v>
      </c>
      <c r="F311" t="s">
        <v>2204</v>
      </c>
      <c r="G311" t="s">
        <v>2414</v>
      </c>
      <c r="H311" t="s">
        <v>2549</v>
      </c>
      <c r="I311" t="s">
        <v>2557</v>
      </c>
      <c r="J311" s="1">
        <f>HYPERLINK("https://ec.europa.eu/info/funding-tenders/opportunities/portal/screen/how-to-participate/org-details/991108074", "991108074")</f>
        <v>0</v>
      </c>
      <c r="K311" t="s">
        <v>2695</v>
      </c>
      <c r="L311" t="s">
        <v>2912</v>
      </c>
      <c r="M311" t="s">
        <v>2967</v>
      </c>
      <c r="N311" t="b">
        <v>0</v>
      </c>
      <c r="O311" t="s">
        <v>2997</v>
      </c>
      <c r="P311" t="s">
        <v>3162</v>
      </c>
      <c r="Q311">
        <v>2</v>
      </c>
      <c r="R311" t="s">
        <v>3345</v>
      </c>
      <c r="T311" s="2">
        <v>0</v>
      </c>
    </row>
    <row r="312" spans="1:21">
      <c r="A312" t="s">
        <v>22</v>
      </c>
      <c r="B312" s="1">
        <f>HYPERLINK("https://cordis.europa.eu/project/id/838675", "838675")</f>
        <v>0</v>
      </c>
      <c r="C312" t="s">
        <v>258</v>
      </c>
      <c r="D312" t="s">
        <v>1069</v>
      </c>
      <c r="E312" t="s">
        <v>1653</v>
      </c>
      <c r="F312" t="s">
        <v>2205</v>
      </c>
      <c r="G312" t="s">
        <v>2415</v>
      </c>
      <c r="H312" t="s">
        <v>2548</v>
      </c>
      <c r="I312" t="s">
        <v>2556</v>
      </c>
      <c r="J312" s="1">
        <f>HYPERLINK("https://ec.europa.eu/info/funding-tenders/opportunities/portal/screen/how-to-participate/org-details/999845252", "999845252")</f>
        <v>0</v>
      </c>
      <c r="K312" t="s">
        <v>2687</v>
      </c>
      <c r="L312" t="s">
        <v>2908</v>
      </c>
      <c r="M312" t="s">
        <v>2965</v>
      </c>
      <c r="N312" t="b">
        <v>0</v>
      </c>
      <c r="O312" t="s">
        <v>2997</v>
      </c>
      <c r="P312" t="s">
        <v>3158</v>
      </c>
      <c r="Q312">
        <v>2</v>
      </c>
      <c r="R312" t="s">
        <v>3345</v>
      </c>
      <c r="T312" s="2">
        <v>0</v>
      </c>
      <c r="U312" s="2">
        <v>0</v>
      </c>
    </row>
    <row r="313" spans="1:21">
      <c r="A313" t="s">
        <v>22</v>
      </c>
      <c r="B313" s="1">
        <f>HYPERLINK("https://cordis.europa.eu/project/id/894637", "894637")</f>
        <v>0</v>
      </c>
      <c r="C313" t="s">
        <v>259</v>
      </c>
      <c r="D313" t="s">
        <v>1070</v>
      </c>
      <c r="E313" t="s">
        <v>1682</v>
      </c>
      <c r="F313" t="s">
        <v>2206</v>
      </c>
      <c r="G313" t="s">
        <v>2400</v>
      </c>
      <c r="H313" t="s">
        <v>2548</v>
      </c>
      <c r="I313" t="s">
        <v>2556</v>
      </c>
      <c r="J313" s="1">
        <f>HYPERLINK("https://ec.europa.eu/info/funding-tenders/opportunities/portal/screen/how-to-participate/org-details/889838037", "889838037")</f>
        <v>0</v>
      </c>
      <c r="K313" t="s">
        <v>2696</v>
      </c>
      <c r="L313" t="s">
        <v>2913</v>
      </c>
      <c r="M313" t="s">
        <v>2966</v>
      </c>
      <c r="N313" t="b">
        <v>0</v>
      </c>
      <c r="O313" t="s">
        <v>2997</v>
      </c>
      <c r="P313" t="s">
        <v>3162</v>
      </c>
      <c r="Q313">
        <v>3</v>
      </c>
      <c r="R313" t="s">
        <v>3345</v>
      </c>
      <c r="T313" s="2">
        <v>0</v>
      </c>
    </row>
    <row r="314" spans="1:21">
      <c r="A314" t="s">
        <v>22</v>
      </c>
      <c r="B314" s="1">
        <f>HYPERLINK("https://cordis.europa.eu/project/id/765472", "765472")</f>
        <v>0</v>
      </c>
      <c r="C314" t="s">
        <v>260</v>
      </c>
      <c r="D314" t="s">
        <v>1071</v>
      </c>
      <c r="E314" t="s">
        <v>1683</v>
      </c>
      <c r="F314" t="s">
        <v>2207</v>
      </c>
      <c r="G314" t="s">
        <v>2416</v>
      </c>
      <c r="H314" t="s">
        <v>2548</v>
      </c>
      <c r="I314" t="s">
        <v>2556</v>
      </c>
      <c r="J314" s="1">
        <f>HYPERLINK("https://ec.europa.eu/info/funding-tenders/opportunities/portal/screen/how-to-participate/org-details/998083247", "998083247")</f>
        <v>0</v>
      </c>
      <c r="K314" t="s">
        <v>2605</v>
      </c>
      <c r="M314" t="s">
        <v>2965</v>
      </c>
      <c r="N314" t="b">
        <v>0</v>
      </c>
      <c r="O314" t="s">
        <v>3000</v>
      </c>
      <c r="P314" t="s">
        <v>3163</v>
      </c>
      <c r="Q314">
        <v>6</v>
      </c>
      <c r="R314" t="s">
        <v>3345</v>
      </c>
      <c r="T314" s="2">
        <v>0</v>
      </c>
      <c r="U314" s="2">
        <v>0</v>
      </c>
    </row>
    <row r="315" spans="1:21">
      <c r="A315" t="s">
        <v>22</v>
      </c>
      <c r="B315" s="1">
        <f>HYPERLINK("https://cordis.europa.eu/project/id/895895", "895895")</f>
        <v>0</v>
      </c>
      <c r="C315" t="s">
        <v>261</v>
      </c>
      <c r="D315" t="s">
        <v>1072</v>
      </c>
      <c r="E315" t="s">
        <v>1680</v>
      </c>
      <c r="F315" t="s">
        <v>2206</v>
      </c>
      <c r="G315" t="s">
        <v>2400</v>
      </c>
      <c r="H315" t="s">
        <v>2548</v>
      </c>
      <c r="I315" t="s">
        <v>2556</v>
      </c>
      <c r="J315" s="1">
        <f>HYPERLINK("https://ec.europa.eu/info/funding-tenders/opportunities/portal/screen/how-to-participate/org-details/998908426", "998908426")</f>
        <v>0</v>
      </c>
      <c r="K315" t="s">
        <v>2569</v>
      </c>
      <c r="M315" t="s">
        <v>2965</v>
      </c>
      <c r="N315" t="b">
        <v>0</v>
      </c>
      <c r="O315" t="s">
        <v>2997</v>
      </c>
      <c r="P315" t="s">
        <v>3162</v>
      </c>
      <c r="Q315">
        <v>2</v>
      </c>
      <c r="R315" t="s">
        <v>3345</v>
      </c>
      <c r="T315" s="2">
        <v>0</v>
      </c>
    </row>
    <row r="316" spans="1:21">
      <c r="A316" t="s">
        <v>22</v>
      </c>
      <c r="B316" s="1">
        <f>HYPERLINK("https://cordis.europa.eu/project/id/890812", "890812")</f>
        <v>0</v>
      </c>
      <c r="C316" t="s">
        <v>262</v>
      </c>
      <c r="D316" t="s">
        <v>1073</v>
      </c>
      <c r="E316" t="s">
        <v>1684</v>
      </c>
      <c r="F316" t="s">
        <v>2193</v>
      </c>
      <c r="G316" t="s">
        <v>2417</v>
      </c>
      <c r="H316" t="s">
        <v>2548</v>
      </c>
      <c r="I316" t="s">
        <v>2556</v>
      </c>
      <c r="J316" s="1">
        <f>HYPERLINK("https://ec.europa.eu/info/funding-tenders/opportunities/portal/screen/how-to-participate/org-details/998225740", "998225740")</f>
        <v>0</v>
      </c>
      <c r="K316" t="s">
        <v>2637</v>
      </c>
      <c r="M316" t="s">
        <v>2965</v>
      </c>
      <c r="N316" t="b">
        <v>0</v>
      </c>
      <c r="O316" t="s">
        <v>2997</v>
      </c>
      <c r="P316" t="s">
        <v>3162</v>
      </c>
      <c r="Q316">
        <v>2</v>
      </c>
      <c r="R316" t="s">
        <v>3345</v>
      </c>
      <c r="T316" s="2">
        <v>0</v>
      </c>
    </row>
    <row r="317" spans="1:21">
      <c r="A317" t="s">
        <v>22</v>
      </c>
      <c r="B317" s="1">
        <f>HYPERLINK("https://cordis.europa.eu/project/id/742470", "742470")</f>
        <v>0</v>
      </c>
      <c r="C317" t="s">
        <v>263</v>
      </c>
      <c r="D317" t="s">
        <v>1074</v>
      </c>
      <c r="E317" t="s">
        <v>1685</v>
      </c>
      <c r="F317" t="s">
        <v>2197</v>
      </c>
      <c r="G317" t="s">
        <v>2418</v>
      </c>
      <c r="H317" t="s">
        <v>2548</v>
      </c>
      <c r="I317" t="s">
        <v>2556</v>
      </c>
      <c r="J317" s="1">
        <f>HYPERLINK("https://ec.europa.eu/info/funding-tenders/opportunities/portal/screen/how-to-participate/org-details/998826946", "998826946")</f>
        <v>0</v>
      </c>
      <c r="K317" t="s">
        <v>2617</v>
      </c>
      <c r="L317" t="s">
        <v>2848</v>
      </c>
      <c r="M317" t="s">
        <v>2965</v>
      </c>
      <c r="N317" t="b">
        <v>0</v>
      </c>
      <c r="O317" t="s">
        <v>2998</v>
      </c>
      <c r="P317" t="s">
        <v>3159</v>
      </c>
      <c r="Q317">
        <v>2</v>
      </c>
      <c r="R317" t="s">
        <v>3345</v>
      </c>
      <c r="T317" s="2">
        <v>0</v>
      </c>
    </row>
    <row r="318" spans="1:21">
      <c r="A318" t="s">
        <v>22</v>
      </c>
      <c r="B318" s="1">
        <f>HYPERLINK("https://cordis.europa.eu/project/id/887530", "887530")</f>
        <v>0</v>
      </c>
      <c r="C318" t="s">
        <v>264</v>
      </c>
      <c r="D318" t="s">
        <v>1075</v>
      </c>
      <c r="E318" t="s">
        <v>1686</v>
      </c>
      <c r="F318" t="s">
        <v>2208</v>
      </c>
      <c r="G318" t="s">
        <v>2419</v>
      </c>
      <c r="H318" t="s">
        <v>2548</v>
      </c>
      <c r="I318" t="s">
        <v>2556</v>
      </c>
      <c r="J318" s="1">
        <f>HYPERLINK("https://ec.europa.eu/info/funding-tenders/opportunities/portal/screen/how-to-participate/org-details/998826946", "998826946")</f>
        <v>0</v>
      </c>
      <c r="K318" t="s">
        <v>2617</v>
      </c>
      <c r="L318" t="s">
        <v>2848</v>
      </c>
      <c r="M318" t="s">
        <v>2965</v>
      </c>
      <c r="N318" t="b">
        <v>0</v>
      </c>
      <c r="O318" t="s">
        <v>2997</v>
      </c>
      <c r="P318" t="s">
        <v>3162</v>
      </c>
      <c r="Q318">
        <v>2</v>
      </c>
      <c r="R318" t="s">
        <v>3345</v>
      </c>
      <c r="T318" s="2">
        <v>0</v>
      </c>
    </row>
    <row r="319" spans="1:21">
      <c r="A319" t="s">
        <v>22</v>
      </c>
      <c r="B319" s="1">
        <f>HYPERLINK("https://cordis.europa.eu/project/id/841923", "841923")</f>
        <v>0</v>
      </c>
      <c r="C319" t="s">
        <v>265</v>
      </c>
      <c r="D319" t="s">
        <v>1076</v>
      </c>
      <c r="E319" t="s">
        <v>1687</v>
      </c>
      <c r="F319" t="s">
        <v>2201</v>
      </c>
      <c r="G319" t="s">
        <v>2412</v>
      </c>
      <c r="H319" t="s">
        <v>2548</v>
      </c>
      <c r="I319" t="s">
        <v>2556</v>
      </c>
      <c r="J319" s="1">
        <f>HYPERLINK("https://ec.europa.eu/info/funding-tenders/opportunities/portal/screen/how-to-participate/org-details/973812489", "973812489")</f>
        <v>0</v>
      </c>
      <c r="K319" t="s">
        <v>2697</v>
      </c>
      <c r="L319" t="s">
        <v>2914</v>
      </c>
      <c r="M319" t="s">
        <v>2966</v>
      </c>
      <c r="N319" t="b">
        <v>0</v>
      </c>
      <c r="O319" t="s">
        <v>2997</v>
      </c>
      <c r="P319" t="s">
        <v>3158</v>
      </c>
      <c r="Q319">
        <v>2</v>
      </c>
      <c r="R319" t="s">
        <v>3345</v>
      </c>
      <c r="T319" s="2">
        <v>0</v>
      </c>
    </row>
    <row r="320" spans="1:21">
      <c r="A320" t="s">
        <v>22</v>
      </c>
      <c r="B320" s="1">
        <f>HYPERLINK("https://cordis.europa.eu/project/id/893673", "893673")</f>
        <v>0</v>
      </c>
      <c r="C320" t="s">
        <v>266</v>
      </c>
      <c r="D320" t="s">
        <v>1077</v>
      </c>
      <c r="E320" t="s">
        <v>1680</v>
      </c>
      <c r="F320" t="s">
        <v>2201</v>
      </c>
      <c r="G320" t="s">
        <v>2420</v>
      </c>
      <c r="H320" t="s">
        <v>2548</v>
      </c>
      <c r="I320" t="s">
        <v>2556</v>
      </c>
      <c r="J320" s="1">
        <f>HYPERLINK("https://ec.europa.eu/info/funding-tenders/opportunities/portal/screen/how-to-participate/org-details/997151562", "997151562")</f>
        <v>0</v>
      </c>
      <c r="K320" t="s">
        <v>2604</v>
      </c>
      <c r="M320" t="s">
        <v>2965</v>
      </c>
      <c r="N320" t="b">
        <v>0</v>
      </c>
      <c r="O320" t="s">
        <v>2997</v>
      </c>
      <c r="P320" t="s">
        <v>3162</v>
      </c>
      <c r="Q320">
        <v>2</v>
      </c>
      <c r="R320" t="s">
        <v>3345</v>
      </c>
      <c r="T320" s="2">
        <v>0</v>
      </c>
    </row>
    <row r="321" spans="1:20">
      <c r="A321" t="s">
        <v>22</v>
      </c>
      <c r="B321" s="1">
        <f>HYPERLINK("https://cordis.europa.eu/project/id/752103", "752103")</f>
        <v>0</v>
      </c>
      <c r="C321" t="s">
        <v>267</v>
      </c>
      <c r="D321" t="s">
        <v>1078</v>
      </c>
      <c r="E321" t="s">
        <v>1688</v>
      </c>
      <c r="F321" t="s">
        <v>2209</v>
      </c>
      <c r="G321" t="s">
        <v>2421</v>
      </c>
      <c r="H321" t="s">
        <v>2548</v>
      </c>
      <c r="I321" t="s">
        <v>2556</v>
      </c>
      <c r="J321" s="1">
        <f>HYPERLINK("https://ec.europa.eu/info/funding-tenders/opportunities/portal/screen/how-to-participate/org-details/999845252", "999845252")</f>
        <v>0</v>
      </c>
      <c r="K321" t="s">
        <v>2687</v>
      </c>
      <c r="L321" t="s">
        <v>2908</v>
      </c>
      <c r="M321" t="s">
        <v>2965</v>
      </c>
      <c r="N321" t="b">
        <v>0</v>
      </c>
      <c r="O321" t="s">
        <v>2998</v>
      </c>
      <c r="P321" t="s">
        <v>3159</v>
      </c>
      <c r="Q321">
        <v>2</v>
      </c>
      <c r="R321" t="s">
        <v>3345</v>
      </c>
      <c r="T321" s="2">
        <v>0</v>
      </c>
    </row>
    <row r="322" spans="1:20">
      <c r="A322" t="s">
        <v>22</v>
      </c>
      <c r="B322" s="1">
        <f>HYPERLINK("https://cordis.europa.eu/project/id/705874", "705874")</f>
        <v>0</v>
      </c>
      <c r="C322" t="s">
        <v>268</v>
      </c>
      <c r="D322" t="s">
        <v>1079</v>
      </c>
      <c r="E322" t="s">
        <v>1689</v>
      </c>
      <c r="F322" t="s">
        <v>2210</v>
      </c>
      <c r="G322" t="s">
        <v>2276</v>
      </c>
      <c r="H322" t="s">
        <v>2548</v>
      </c>
      <c r="I322" t="s">
        <v>2556</v>
      </c>
      <c r="J322" s="1">
        <f>HYPERLINK("https://ec.europa.eu/info/funding-tenders/opportunities/portal/screen/how-to-participate/org-details/999902773", "999902773")</f>
        <v>0</v>
      </c>
      <c r="K322" t="s">
        <v>2571</v>
      </c>
      <c r="L322" t="s">
        <v>2814</v>
      </c>
      <c r="M322" t="s">
        <v>2965</v>
      </c>
      <c r="N322" t="b">
        <v>0</v>
      </c>
      <c r="O322" t="s">
        <v>2997</v>
      </c>
      <c r="P322" t="s">
        <v>3164</v>
      </c>
      <c r="Q322">
        <v>2</v>
      </c>
      <c r="R322" t="s">
        <v>3345</v>
      </c>
      <c r="T322" s="2">
        <v>0</v>
      </c>
    </row>
    <row r="323" spans="1:20">
      <c r="A323" t="s">
        <v>22</v>
      </c>
      <c r="B323" s="1">
        <f>HYPERLINK("https://cordis.europa.eu/project/id/660724", "660724")</f>
        <v>0</v>
      </c>
      <c r="C323" t="s">
        <v>269</v>
      </c>
      <c r="D323" t="s">
        <v>1080</v>
      </c>
      <c r="E323" t="s">
        <v>1690</v>
      </c>
      <c r="F323" t="s">
        <v>2211</v>
      </c>
      <c r="G323" t="s">
        <v>2422</v>
      </c>
      <c r="H323" t="s">
        <v>2548</v>
      </c>
      <c r="I323" t="s">
        <v>2556</v>
      </c>
      <c r="J323" s="1">
        <f>HYPERLINK("https://ec.europa.eu/info/funding-tenders/opportunities/portal/screen/how-to-participate/org-details/999845252", "999845252")</f>
        <v>0</v>
      </c>
      <c r="K323" t="s">
        <v>2687</v>
      </c>
      <c r="L323" t="s">
        <v>2908</v>
      </c>
      <c r="M323" t="s">
        <v>2965</v>
      </c>
      <c r="N323" t="b">
        <v>0</v>
      </c>
      <c r="O323" t="s">
        <v>2997</v>
      </c>
      <c r="P323" t="s">
        <v>3165</v>
      </c>
      <c r="Q323">
        <v>2</v>
      </c>
      <c r="R323" t="s">
        <v>3345</v>
      </c>
      <c r="T323" s="2">
        <v>0</v>
      </c>
    </row>
    <row r="324" spans="1:20">
      <c r="A324" t="s">
        <v>22</v>
      </c>
      <c r="B324" s="1">
        <f>HYPERLINK("https://cordis.europa.eu/project/id/894075", "894075")</f>
        <v>0</v>
      </c>
      <c r="C324" t="s">
        <v>270</v>
      </c>
      <c r="D324" t="s">
        <v>1081</v>
      </c>
      <c r="E324" t="s">
        <v>1680</v>
      </c>
      <c r="F324" t="s">
        <v>2212</v>
      </c>
      <c r="G324" t="s">
        <v>2423</v>
      </c>
      <c r="H324" t="s">
        <v>2548</v>
      </c>
      <c r="I324" t="s">
        <v>2556</v>
      </c>
      <c r="J324" s="1">
        <f>HYPERLINK("https://ec.europa.eu/info/funding-tenders/opportunities/portal/screen/how-to-participate/org-details/998826946", "998826946")</f>
        <v>0</v>
      </c>
      <c r="K324" t="s">
        <v>2617</v>
      </c>
      <c r="L324" t="s">
        <v>2848</v>
      </c>
      <c r="M324" t="s">
        <v>2965</v>
      </c>
      <c r="N324" t="b">
        <v>0</v>
      </c>
      <c r="O324" t="s">
        <v>2997</v>
      </c>
      <c r="P324" t="s">
        <v>3162</v>
      </c>
      <c r="Q324">
        <v>2</v>
      </c>
      <c r="R324" t="s">
        <v>3345</v>
      </c>
      <c r="T324" s="2">
        <v>0</v>
      </c>
    </row>
    <row r="325" spans="1:20">
      <c r="A325" t="s">
        <v>22</v>
      </c>
      <c r="B325" s="1">
        <f>HYPERLINK("https://cordis.europa.eu/project/id/101028279", "101028279")</f>
        <v>0</v>
      </c>
      <c r="C325" t="s">
        <v>271</v>
      </c>
      <c r="D325" t="s">
        <v>1082</v>
      </c>
      <c r="E325" t="s">
        <v>1691</v>
      </c>
      <c r="F325" t="s">
        <v>2213</v>
      </c>
      <c r="G325" t="s">
        <v>1994</v>
      </c>
      <c r="H325" t="s">
        <v>2548</v>
      </c>
      <c r="I325" t="s">
        <v>2556</v>
      </c>
      <c r="J325" s="1">
        <f>HYPERLINK("https://ec.europa.eu/info/funding-tenders/opportunities/portal/screen/how-to-participate/org-details/986119267", "986119267")</f>
        <v>0</v>
      </c>
      <c r="K325" t="s">
        <v>2572</v>
      </c>
      <c r="L325" t="s">
        <v>2815</v>
      </c>
      <c r="M325" t="s">
        <v>2965</v>
      </c>
      <c r="N325" t="b">
        <v>0</v>
      </c>
      <c r="O325" t="s">
        <v>2997</v>
      </c>
      <c r="P325" t="s">
        <v>3166</v>
      </c>
      <c r="Q325">
        <v>2</v>
      </c>
      <c r="R325" t="s">
        <v>3345</v>
      </c>
      <c r="T325" s="2">
        <v>0</v>
      </c>
    </row>
    <row r="326" spans="1:20">
      <c r="A326" t="s">
        <v>22</v>
      </c>
      <c r="B326" s="1">
        <f>HYPERLINK("https://cordis.europa.eu/project/id/101028944", "101028944")</f>
        <v>0</v>
      </c>
      <c r="C326" t="s">
        <v>272</v>
      </c>
      <c r="D326" t="s">
        <v>1083</v>
      </c>
      <c r="E326" t="s">
        <v>1692</v>
      </c>
      <c r="F326" t="s">
        <v>2214</v>
      </c>
      <c r="G326" t="s">
        <v>2424</v>
      </c>
      <c r="H326" t="s">
        <v>2548</v>
      </c>
      <c r="I326" t="s">
        <v>2556</v>
      </c>
      <c r="J326" s="1">
        <f>HYPERLINK("https://ec.europa.eu/info/funding-tenders/opportunities/portal/screen/how-to-participate/org-details/999845252", "999845252")</f>
        <v>0</v>
      </c>
      <c r="K326" t="s">
        <v>2687</v>
      </c>
      <c r="L326" t="s">
        <v>2908</v>
      </c>
      <c r="M326" t="s">
        <v>2965</v>
      </c>
      <c r="N326" t="b">
        <v>0</v>
      </c>
      <c r="O326" t="s">
        <v>2998</v>
      </c>
      <c r="P326" t="s">
        <v>3166</v>
      </c>
      <c r="Q326">
        <v>2</v>
      </c>
      <c r="R326" t="s">
        <v>3345</v>
      </c>
      <c r="T326" s="2">
        <v>0</v>
      </c>
    </row>
    <row r="327" spans="1:20">
      <c r="A327" t="s">
        <v>22</v>
      </c>
      <c r="B327" s="1">
        <f>HYPERLINK("https://cordis.europa.eu/project/id/101027076", "101027076")</f>
        <v>0</v>
      </c>
      <c r="C327" t="s">
        <v>273</v>
      </c>
      <c r="D327" t="s">
        <v>1084</v>
      </c>
      <c r="E327" t="s">
        <v>1693</v>
      </c>
      <c r="F327" t="s">
        <v>2187</v>
      </c>
      <c r="G327" t="s">
        <v>2425</v>
      </c>
      <c r="H327" t="s">
        <v>2548</v>
      </c>
      <c r="I327" t="s">
        <v>2556</v>
      </c>
      <c r="J327" s="1">
        <f>HYPERLINK("https://ec.europa.eu/info/funding-tenders/opportunities/portal/screen/how-to-participate/org-details/998082180", "998082180")</f>
        <v>0</v>
      </c>
      <c r="K327" t="s">
        <v>2565</v>
      </c>
      <c r="M327" t="s">
        <v>2965</v>
      </c>
      <c r="N327" t="b">
        <v>0</v>
      </c>
      <c r="O327" t="s">
        <v>2997</v>
      </c>
      <c r="P327" t="s">
        <v>3166</v>
      </c>
      <c r="Q327">
        <v>2</v>
      </c>
      <c r="R327" t="s">
        <v>3345</v>
      </c>
      <c r="T327" s="2">
        <v>0</v>
      </c>
    </row>
    <row r="328" spans="1:20">
      <c r="A328" t="s">
        <v>22</v>
      </c>
      <c r="B328" s="1">
        <f>HYPERLINK("https://cordis.europa.eu/project/id/101028938", "101028938")</f>
        <v>0</v>
      </c>
      <c r="C328" t="s">
        <v>274</v>
      </c>
      <c r="D328" t="s">
        <v>1085</v>
      </c>
      <c r="E328" t="s">
        <v>1692</v>
      </c>
      <c r="F328" t="s">
        <v>2215</v>
      </c>
      <c r="G328" t="s">
        <v>2426</v>
      </c>
      <c r="H328" t="s">
        <v>2548</v>
      </c>
      <c r="I328" t="s">
        <v>2556</v>
      </c>
      <c r="J328" s="1">
        <f>HYPERLINK("https://ec.europa.eu/info/funding-tenders/opportunities/portal/screen/how-to-participate/org-details/999561042", "999561042")</f>
        <v>0</v>
      </c>
      <c r="K328" t="s">
        <v>2566</v>
      </c>
      <c r="L328" t="s">
        <v>2810</v>
      </c>
      <c r="M328" t="s">
        <v>2966</v>
      </c>
      <c r="N328" t="b">
        <v>0</v>
      </c>
      <c r="O328" t="s">
        <v>2997</v>
      </c>
      <c r="P328" t="s">
        <v>3166</v>
      </c>
      <c r="Q328">
        <v>2</v>
      </c>
      <c r="R328" t="s">
        <v>3345</v>
      </c>
      <c r="T328" s="2">
        <v>0</v>
      </c>
    </row>
    <row r="329" spans="1:20">
      <c r="A329" t="s">
        <v>22</v>
      </c>
      <c r="B329" s="1">
        <f>HYPERLINK("https://cordis.europa.eu/project/id/101023439", "101023439")</f>
        <v>0</v>
      </c>
      <c r="C329" t="s">
        <v>275</v>
      </c>
      <c r="D329" t="s">
        <v>1086</v>
      </c>
      <c r="E329" t="s">
        <v>1694</v>
      </c>
      <c r="F329" t="s">
        <v>2214</v>
      </c>
      <c r="G329" t="s">
        <v>2427</v>
      </c>
      <c r="H329" t="s">
        <v>2548</v>
      </c>
      <c r="I329" t="s">
        <v>2556</v>
      </c>
      <c r="J329" s="1">
        <f>HYPERLINK("https://ec.europa.eu/info/funding-tenders/opportunities/portal/screen/how-to-participate/org-details/998826946", "998826946")</f>
        <v>0</v>
      </c>
      <c r="K329" t="s">
        <v>2617</v>
      </c>
      <c r="L329" t="s">
        <v>2848</v>
      </c>
      <c r="M329" t="s">
        <v>2965</v>
      </c>
      <c r="N329" t="b">
        <v>0</v>
      </c>
      <c r="O329" t="s">
        <v>2997</v>
      </c>
      <c r="P329" t="s">
        <v>3166</v>
      </c>
      <c r="Q329">
        <v>2</v>
      </c>
      <c r="R329" t="s">
        <v>3345</v>
      </c>
      <c r="T329" s="2">
        <v>0</v>
      </c>
    </row>
    <row r="330" spans="1:20">
      <c r="A330" t="s">
        <v>22</v>
      </c>
      <c r="B330" s="1">
        <f>HYPERLINK("https://cordis.europa.eu/project/id/101029822", "101029822")</f>
        <v>0</v>
      </c>
      <c r="C330" t="s">
        <v>276</v>
      </c>
      <c r="D330" t="s">
        <v>1087</v>
      </c>
      <c r="E330" t="s">
        <v>1695</v>
      </c>
      <c r="F330" t="s">
        <v>2216</v>
      </c>
      <c r="G330" t="s">
        <v>2404</v>
      </c>
      <c r="H330" t="s">
        <v>2548</v>
      </c>
      <c r="I330" t="s">
        <v>2556</v>
      </c>
      <c r="J330" s="1">
        <f>HYPERLINK("https://ec.europa.eu/info/funding-tenders/opportunities/portal/screen/how-to-participate/org-details/950071060", "950071060")</f>
        <v>0</v>
      </c>
      <c r="K330" t="s">
        <v>2698</v>
      </c>
      <c r="M330" t="s">
        <v>2966</v>
      </c>
      <c r="N330" t="b">
        <v>0</v>
      </c>
      <c r="O330" t="s">
        <v>2997</v>
      </c>
      <c r="P330" t="s">
        <v>3166</v>
      </c>
      <c r="Q330">
        <v>2</v>
      </c>
      <c r="R330" t="s">
        <v>3345</v>
      </c>
      <c r="T330" s="2">
        <v>0</v>
      </c>
    </row>
    <row r="331" spans="1:20">
      <c r="A331" t="s">
        <v>22</v>
      </c>
      <c r="B331" s="1">
        <f>HYPERLINK("https://cordis.europa.eu/project/id/101033214", "101033214")</f>
        <v>0</v>
      </c>
      <c r="C331" t="s">
        <v>277</v>
      </c>
      <c r="D331" t="s">
        <v>1088</v>
      </c>
      <c r="E331" t="s">
        <v>1696</v>
      </c>
      <c r="F331" t="s">
        <v>2216</v>
      </c>
      <c r="G331" t="s">
        <v>2428</v>
      </c>
      <c r="H331" t="s">
        <v>2548</v>
      </c>
      <c r="I331" t="s">
        <v>2556</v>
      </c>
      <c r="J331" s="1">
        <f>HYPERLINK("https://ec.europa.eu/info/funding-tenders/opportunities/portal/screen/how-to-participate/org-details/951840146", "951840146")</f>
        <v>0</v>
      </c>
      <c r="K331" t="s">
        <v>2699</v>
      </c>
      <c r="L331" t="s">
        <v>2915</v>
      </c>
      <c r="M331" t="s">
        <v>2965</v>
      </c>
      <c r="N331" t="b">
        <v>0</v>
      </c>
      <c r="O331" t="s">
        <v>2997</v>
      </c>
      <c r="P331" t="s">
        <v>3166</v>
      </c>
      <c r="Q331">
        <v>2</v>
      </c>
      <c r="R331" t="s">
        <v>3345</v>
      </c>
      <c r="T331" s="2">
        <v>0</v>
      </c>
    </row>
    <row r="332" spans="1:20">
      <c r="A332" t="s">
        <v>22</v>
      </c>
      <c r="B332" s="1">
        <f>HYPERLINK("https://cordis.europa.eu/project/id/101021848", "101021848")</f>
        <v>0</v>
      </c>
      <c r="C332" t="s">
        <v>278</v>
      </c>
      <c r="D332" t="s">
        <v>1089</v>
      </c>
      <c r="E332" t="s">
        <v>1693</v>
      </c>
      <c r="F332" t="s">
        <v>2217</v>
      </c>
      <c r="G332" t="s">
        <v>2429</v>
      </c>
      <c r="H332" t="s">
        <v>2549</v>
      </c>
      <c r="I332" t="s">
        <v>2557</v>
      </c>
      <c r="J332" s="1">
        <f>HYPERLINK("https://ec.europa.eu/info/funding-tenders/opportunities/portal/screen/how-to-participate/org-details/999613131", "999613131")</f>
        <v>0</v>
      </c>
      <c r="K332" t="s">
        <v>2591</v>
      </c>
      <c r="L332" t="s">
        <v>2831</v>
      </c>
      <c r="M332" t="s">
        <v>2965</v>
      </c>
      <c r="N332" t="b">
        <v>0</v>
      </c>
      <c r="O332" t="s">
        <v>2997</v>
      </c>
      <c r="P332" t="s">
        <v>3166</v>
      </c>
      <c r="Q332">
        <v>2</v>
      </c>
      <c r="R332" t="s">
        <v>3345</v>
      </c>
      <c r="T332" s="2">
        <v>0</v>
      </c>
    </row>
    <row r="333" spans="1:20">
      <c r="A333" t="s">
        <v>22</v>
      </c>
      <c r="B333" s="1">
        <f>HYPERLINK("https://cordis.europa.eu/project/id/101018413", "101018413")</f>
        <v>0</v>
      </c>
      <c r="C333" t="s">
        <v>279</v>
      </c>
      <c r="D333" t="s">
        <v>1090</v>
      </c>
      <c r="E333" t="s">
        <v>1697</v>
      </c>
      <c r="F333" t="s">
        <v>2216</v>
      </c>
      <c r="G333" t="s">
        <v>2428</v>
      </c>
      <c r="H333" t="s">
        <v>2548</v>
      </c>
      <c r="I333" t="s">
        <v>2556</v>
      </c>
      <c r="J333" s="1">
        <f>HYPERLINK("https://ec.europa.eu/info/funding-tenders/opportunities/portal/screen/how-to-participate/org-details/999845252", "999845252")</f>
        <v>0</v>
      </c>
      <c r="K333" t="s">
        <v>2687</v>
      </c>
      <c r="L333" t="s">
        <v>2908</v>
      </c>
      <c r="M333" t="s">
        <v>2965</v>
      </c>
      <c r="N333" t="b">
        <v>0</v>
      </c>
      <c r="O333" t="s">
        <v>2997</v>
      </c>
      <c r="P333" t="s">
        <v>3166</v>
      </c>
      <c r="Q333">
        <v>2</v>
      </c>
      <c r="R333" t="s">
        <v>3345</v>
      </c>
      <c r="T333" s="2">
        <v>0</v>
      </c>
    </row>
    <row r="334" spans="1:20">
      <c r="A334" t="s">
        <v>22</v>
      </c>
      <c r="B334" s="1">
        <f>HYPERLINK("https://cordis.europa.eu/project/id/893533", "893533")</f>
        <v>0</v>
      </c>
      <c r="C334" t="s">
        <v>280</v>
      </c>
      <c r="D334" t="s">
        <v>1091</v>
      </c>
      <c r="E334" t="s">
        <v>1698</v>
      </c>
      <c r="F334" t="s">
        <v>1765</v>
      </c>
      <c r="G334" t="s">
        <v>2395</v>
      </c>
      <c r="H334" t="s">
        <v>2548</v>
      </c>
      <c r="I334" t="s">
        <v>2556</v>
      </c>
      <c r="J334" s="1">
        <f>HYPERLINK("https://ec.europa.eu/info/funding-tenders/opportunities/portal/screen/how-to-participate/org-details/986119267", "986119267")</f>
        <v>0</v>
      </c>
      <c r="K334" t="s">
        <v>2572</v>
      </c>
      <c r="L334" t="s">
        <v>2815</v>
      </c>
      <c r="M334" t="s">
        <v>2965</v>
      </c>
      <c r="N334" t="b">
        <v>0</v>
      </c>
      <c r="O334" t="s">
        <v>2997</v>
      </c>
      <c r="P334" t="s">
        <v>3162</v>
      </c>
      <c r="Q334">
        <v>2</v>
      </c>
      <c r="R334" t="s">
        <v>3345</v>
      </c>
      <c r="T334" s="2">
        <v>0</v>
      </c>
    </row>
    <row r="335" spans="1:20">
      <c r="A335" t="s">
        <v>22</v>
      </c>
      <c r="B335" s="1">
        <f>HYPERLINK("https://cordis.europa.eu/project/id/101022585", "101022585")</f>
        <v>0</v>
      </c>
      <c r="C335" t="s">
        <v>281</v>
      </c>
      <c r="D335" t="s">
        <v>1092</v>
      </c>
      <c r="E335" t="s">
        <v>1699</v>
      </c>
      <c r="F335" t="s">
        <v>2218</v>
      </c>
      <c r="G335" t="s">
        <v>2430</v>
      </c>
      <c r="H335" t="s">
        <v>2548</v>
      </c>
      <c r="I335" t="s">
        <v>2556</v>
      </c>
      <c r="J335" s="1">
        <f>HYPERLINK("https://ec.europa.eu/info/funding-tenders/opportunities/portal/screen/how-to-participate/org-details/986119267", "986119267")</f>
        <v>0</v>
      </c>
      <c r="K335" t="s">
        <v>2572</v>
      </c>
      <c r="L335" t="s">
        <v>2815</v>
      </c>
      <c r="M335" t="s">
        <v>2965</v>
      </c>
      <c r="N335" t="b">
        <v>0</v>
      </c>
      <c r="O335" t="s">
        <v>2993</v>
      </c>
      <c r="P335" t="s">
        <v>3167</v>
      </c>
      <c r="Q335">
        <v>12</v>
      </c>
      <c r="R335" t="s">
        <v>3342</v>
      </c>
      <c r="S335" s="2">
        <v>0</v>
      </c>
      <c r="T335" s="2">
        <v>0</v>
      </c>
    </row>
    <row r="336" spans="1:20">
      <c r="A336" t="s">
        <v>22</v>
      </c>
      <c r="B336" s="1">
        <f>HYPERLINK("https://cordis.europa.eu/project/id/799025", "799025")</f>
        <v>0</v>
      </c>
      <c r="C336" t="s">
        <v>282</v>
      </c>
      <c r="D336" t="s">
        <v>1093</v>
      </c>
      <c r="E336" t="s">
        <v>1700</v>
      </c>
      <c r="F336" t="s">
        <v>2219</v>
      </c>
      <c r="G336" t="s">
        <v>2431</v>
      </c>
      <c r="H336" t="s">
        <v>2548</v>
      </c>
      <c r="I336" t="s">
        <v>2556</v>
      </c>
      <c r="J336" s="1">
        <f>HYPERLINK("https://ec.europa.eu/info/funding-tenders/opportunities/portal/screen/how-to-participate/org-details/986276989", "986276989")</f>
        <v>0</v>
      </c>
      <c r="K336" t="s">
        <v>2666</v>
      </c>
      <c r="L336" t="s">
        <v>2891</v>
      </c>
      <c r="M336" t="s">
        <v>2965</v>
      </c>
      <c r="N336" t="b">
        <v>0</v>
      </c>
      <c r="O336" t="s">
        <v>2998</v>
      </c>
      <c r="P336" t="s">
        <v>3160</v>
      </c>
      <c r="Q336">
        <v>2</v>
      </c>
      <c r="R336" t="s">
        <v>3345</v>
      </c>
      <c r="T336" s="2">
        <v>0</v>
      </c>
    </row>
    <row r="337" spans="1:21">
      <c r="A337" t="s">
        <v>22</v>
      </c>
      <c r="B337" s="1">
        <f>HYPERLINK("https://cordis.europa.eu/project/id/750935", "750935")</f>
        <v>0</v>
      </c>
      <c r="C337" t="s">
        <v>283</v>
      </c>
      <c r="D337" t="s">
        <v>1094</v>
      </c>
      <c r="E337" t="s">
        <v>1701</v>
      </c>
      <c r="F337" t="s">
        <v>2220</v>
      </c>
      <c r="G337" t="s">
        <v>2432</v>
      </c>
      <c r="H337" t="s">
        <v>2548</v>
      </c>
      <c r="I337" t="s">
        <v>2556</v>
      </c>
      <c r="J337" s="1">
        <f>HYPERLINK("https://ec.europa.eu/info/funding-tenders/opportunities/portal/screen/how-to-participate/org-details/998225740", "998225740")</f>
        <v>0</v>
      </c>
      <c r="K337" t="s">
        <v>2637</v>
      </c>
      <c r="M337" t="s">
        <v>2965</v>
      </c>
      <c r="N337" t="b">
        <v>0</v>
      </c>
      <c r="O337" t="s">
        <v>2998</v>
      </c>
      <c r="P337" t="s">
        <v>3159</v>
      </c>
      <c r="Q337">
        <v>2</v>
      </c>
      <c r="R337" t="s">
        <v>3345</v>
      </c>
      <c r="T337" s="2">
        <v>0</v>
      </c>
    </row>
    <row r="338" spans="1:21">
      <c r="A338" t="s">
        <v>22</v>
      </c>
      <c r="B338" s="1">
        <f>HYPERLINK("https://cordis.europa.eu/project/id/817897", "817897")</f>
        <v>0</v>
      </c>
      <c r="C338" t="s">
        <v>284</v>
      </c>
      <c r="D338" t="s">
        <v>1095</v>
      </c>
      <c r="E338" t="s">
        <v>1702</v>
      </c>
      <c r="F338" t="s">
        <v>2205</v>
      </c>
      <c r="G338" t="s">
        <v>2429</v>
      </c>
      <c r="H338" t="s">
        <v>2548</v>
      </c>
      <c r="I338" t="s">
        <v>2556</v>
      </c>
      <c r="J338" s="1">
        <f>HYPERLINK("https://ec.europa.eu/info/funding-tenders/opportunities/portal/screen/how-to-participate/org-details/968922622", "968922622")</f>
        <v>0</v>
      </c>
      <c r="K338" t="s">
        <v>2700</v>
      </c>
      <c r="L338" t="s">
        <v>2700</v>
      </c>
      <c r="M338" t="s">
        <v>2965</v>
      </c>
      <c r="N338" t="b">
        <v>0</v>
      </c>
      <c r="O338" t="s">
        <v>3001</v>
      </c>
      <c r="P338" t="s">
        <v>3168</v>
      </c>
      <c r="Q338">
        <v>4</v>
      </c>
      <c r="R338" t="s">
        <v>3342</v>
      </c>
      <c r="S338" s="2">
        <v>74879.47</v>
      </c>
      <c r="T338" s="2">
        <v>74879.47</v>
      </c>
    </row>
    <row r="339" spans="1:21">
      <c r="A339" t="s">
        <v>22</v>
      </c>
      <c r="B339" s="1">
        <f>HYPERLINK("https://cordis.europa.eu/project/id/817897", "817897")</f>
        <v>0</v>
      </c>
      <c r="C339" t="s">
        <v>284</v>
      </c>
      <c r="D339" t="s">
        <v>1095</v>
      </c>
      <c r="E339" t="s">
        <v>1702</v>
      </c>
      <c r="F339" t="s">
        <v>2205</v>
      </c>
      <c r="G339" t="s">
        <v>2429</v>
      </c>
      <c r="H339" t="s">
        <v>2548</v>
      </c>
      <c r="I339" t="s">
        <v>2556</v>
      </c>
      <c r="J339" s="1">
        <f>HYPERLINK("https://ec.europa.eu/info/funding-tenders/opportunities/portal/screen/how-to-participate/org-details/922444781", "922444781")</f>
        <v>0</v>
      </c>
      <c r="K339" t="s">
        <v>2701</v>
      </c>
      <c r="M339" t="s">
        <v>2968</v>
      </c>
      <c r="N339" t="b">
        <v>0</v>
      </c>
      <c r="O339" t="s">
        <v>3001</v>
      </c>
      <c r="P339" t="s">
        <v>3168</v>
      </c>
      <c r="Q339">
        <v>2</v>
      </c>
      <c r="R339" t="s">
        <v>3342</v>
      </c>
      <c r="S339" s="2">
        <v>272811.53</v>
      </c>
      <c r="T339" s="2">
        <v>272811.53</v>
      </c>
    </row>
    <row r="340" spans="1:21">
      <c r="A340" t="s">
        <v>22</v>
      </c>
      <c r="B340" s="1">
        <f>HYPERLINK("https://cordis.europa.eu/project/id/635895", "635895")</f>
        <v>0</v>
      </c>
      <c r="C340" t="s">
        <v>285</v>
      </c>
      <c r="D340" t="s">
        <v>1096</v>
      </c>
      <c r="E340" t="s">
        <v>1703</v>
      </c>
      <c r="F340" t="s">
        <v>2221</v>
      </c>
      <c r="G340" t="s">
        <v>2198</v>
      </c>
      <c r="H340" t="s">
        <v>2548</v>
      </c>
      <c r="I340" t="s">
        <v>2556</v>
      </c>
      <c r="J340" s="1">
        <f>HYPERLINK("https://ec.europa.eu/info/funding-tenders/opportunities/portal/screen/how-to-participate/org-details/957524443", "957524443")</f>
        <v>0</v>
      </c>
      <c r="K340" t="s">
        <v>2702</v>
      </c>
      <c r="L340" t="s">
        <v>2916</v>
      </c>
      <c r="M340" t="s">
        <v>2965</v>
      </c>
      <c r="N340" t="b">
        <v>0</v>
      </c>
      <c r="O340" t="s">
        <v>2993</v>
      </c>
      <c r="P340" t="s">
        <v>3169</v>
      </c>
      <c r="Q340">
        <v>4</v>
      </c>
      <c r="R340" t="s">
        <v>3342</v>
      </c>
      <c r="S340" s="2">
        <v>0</v>
      </c>
      <c r="T340" s="2">
        <v>0</v>
      </c>
      <c r="U340" s="2">
        <v>60000</v>
      </c>
    </row>
    <row r="341" spans="1:21">
      <c r="A341" t="s">
        <v>22</v>
      </c>
      <c r="B341" s="1">
        <f>HYPERLINK("https://cordis.europa.eu/project/id/641526", "641526")</f>
        <v>0</v>
      </c>
      <c r="C341" t="s">
        <v>286</v>
      </c>
      <c r="D341" t="s">
        <v>1097</v>
      </c>
      <c r="E341" t="s">
        <v>1704</v>
      </c>
      <c r="F341" t="s">
        <v>2222</v>
      </c>
      <c r="G341" t="s">
        <v>2372</v>
      </c>
      <c r="H341" t="s">
        <v>2548</v>
      </c>
      <c r="I341" t="s">
        <v>2556</v>
      </c>
      <c r="J341" s="1">
        <f>HYPERLINK("https://ec.europa.eu/info/funding-tenders/opportunities/portal/screen/how-to-participate/org-details/944164342", "944164342")</f>
        <v>0</v>
      </c>
      <c r="K341" t="s">
        <v>2703</v>
      </c>
      <c r="L341" t="s">
        <v>2703</v>
      </c>
      <c r="M341" t="s">
        <v>2967</v>
      </c>
      <c r="N341" t="b">
        <v>1</v>
      </c>
      <c r="O341" t="s">
        <v>2994</v>
      </c>
      <c r="P341" t="s">
        <v>3170</v>
      </c>
      <c r="Q341">
        <v>4</v>
      </c>
      <c r="R341" t="s">
        <v>3342</v>
      </c>
      <c r="S341" s="2">
        <v>365750</v>
      </c>
      <c r="T341" s="2">
        <v>365750</v>
      </c>
      <c r="U341" s="2">
        <v>522500</v>
      </c>
    </row>
    <row r="342" spans="1:21">
      <c r="A342" t="s">
        <v>22</v>
      </c>
      <c r="B342" s="1">
        <f>HYPERLINK("https://cordis.europa.eu/project/id/722023", "722023")</f>
        <v>0</v>
      </c>
      <c r="C342" t="s">
        <v>287</v>
      </c>
      <c r="D342" t="s">
        <v>1098</v>
      </c>
      <c r="E342" t="s">
        <v>1705</v>
      </c>
      <c r="F342" t="s">
        <v>2223</v>
      </c>
      <c r="G342" t="s">
        <v>2410</v>
      </c>
      <c r="H342" t="s">
        <v>2548</v>
      </c>
      <c r="I342" t="s">
        <v>2556</v>
      </c>
      <c r="J342" s="1">
        <f>HYPERLINK("https://ec.europa.eu/info/funding-tenders/opportunities/portal/screen/how-to-participate/org-details/991708019", "991708019")</f>
        <v>0</v>
      </c>
      <c r="K342" t="s">
        <v>2704</v>
      </c>
      <c r="L342" t="s">
        <v>2917</v>
      </c>
      <c r="M342" t="s">
        <v>2965</v>
      </c>
      <c r="N342" t="b">
        <v>0</v>
      </c>
      <c r="O342" t="s">
        <v>3002</v>
      </c>
      <c r="P342" t="s">
        <v>3171</v>
      </c>
      <c r="Q342">
        <v>10</v>
      </c>
      <c r="R342" t="s">
        <v>3345</v>
      </c>
      <c r="T342" s="2">
        <v>0</v>
      </c>
      <c r="U342" s="2">
        <v>0</v>
      </c>
    </row>
    <row r="343" spans="1:21">
      <c r="A343" t="s">
        <v>22</v>
      </c>
      <c r="B343" s="1">
        <f>HYPERLINK("https://cordis.europa.eu/project/id/824160", "824160")</f>
        <v>0</v>
      </c>
      <c r="C343" t="s">
        <v>288</v>
      </c>
      <c r="D343" t="s">
        <v>1099</v>
      </c>
      <c r="E343" t="s">
        <v>1706</v>
      </c>
      <c r="F343" t="s">
        <v>2189</v>
      </c>
      <c r="G343" t="s">
        <v>2433</v>
      </c>
      <c r="H343" t="s">
        <v>2548</v>
      </c>
      <c r="I343" t="s">
        <v>2556</v>
      </c>
      <c r="J343" s="1">
        <f>HYPERLINK("https://ec.europa.eu/info/funding-tenders/opportunities/portal/screen/how-to-participate/org-details/996231614", "996231614")</f>
        <v>0</v>
      </c>
      <c r="K343" t="s">
        <v>2652</v>
      </c>
      <c r="L343" t="s">
        <v>2652</v>
      </c>
      <c r="M343" t="s">
        <v>2965</v>
      </c>
      <c r="N343" t="b">
        <v>0</v>
      </c>
      <c r="O343" t="s">
        <v>2993</v>
      </c>
      <c r="P343" t="s">
        <v>3172</v>
      </c>
      <c r="Q343">
        <v>10</v>
      </c>
      <c r="R343" t="s">
        <v>3342</v>
      </c>
      <c r="S343" s="2">
        <v>35000</v>
      </c>
      <c r="T343" s="2">
        <v>35000</v>
      </c>
      <c r="U343" s="2">
        <v>43750</v>
      </c>
    </row>
    <row r="344" spans="1:21">
      <c r="A344" t="s">
        <v>22</v>
      </c>
      <c r="B344" s="1">
        <f>HYPERLINK("https://cordis.europa.eu/project/id/706334", "706334")</f>
        <v>0</v>
      </c>
      <c r="C344" t="s">
        <v>289</v>
      </c>
      <c r="D344" t="s">
        <v>1100</v>
      </c>
      <c r="E344" t="s">
        <v>1707</v>
      </c>
      <c r="F344" t="s">
        <v>2224</v>
      </c>
      <c r="G344" t="s">
        <v>1858</v>
      </c>
      <c r="H344" t="s">
        <v>2548</v>
      </c>
      <c r="I344" t="s">
        <v>2556</v>
      </c>
      <c r="J344" s="1">
        <f>HYPERLINK("https://ec.europa.eu/info/funding-tenders/opportunities/portal/screen/how-to-participate/org-details/999845252", "999845252")</f>
        <v>0</v>
      </c>
      <c r="K344" t="s">
        <v>2687</v>
      </c>
      <c r="L344" t="s">
        <v>2908</v>
      </c>
      <c r="M344" t="s">
        <v>2965</v>
      </c>
      <c r="N344" t="b">
        <v>0</v>
      </c>
      <c r="O344" t="s">
        <v>2998</v>
      </c>
      <c r="P344" t="s">
        <v>3164</v>
      </c>
      <c r="Q344">
        <v>2</v>
      </c>
      <c r="R344" t="s">
        <v>3345</v>
      </c>
      <c r="T344" s="2">
        <v>0</v>
      </c>
    </row>
    <row r="345" spans="1:21">
      <c r="A345" t="s">
        <v>22</v>
      </c>
      <c r="B345" s="1">
        <f>HYPERLINK("https://cordis.europa.eu/project/id/687780", "687780")</f>
        <v>0</v>
      </c>
      <c r="C345" t="s">
        <v>290</v>
      </c>
      <c r="D345" t="s">
        <v>1101</v>
      </c>
      <c r="E345" t="s">
        <v>1708</v>
      </c>
      <c r="F345" t="s">
        <v>2188</v>
      </c>
      <c r="G345" t="s">
        <v>2339</v>
      </c>
      <c r="H345" t="s">
        <v>2548</v>
      </c>
      <c r="I345" t="s">
        <v>2556</v>
      </c>
      <c r="J345" s="1">
        <f>HYPERLINK("https://ec.europa.eu/info/funding-tenders/opportunities/portal/screen/how-to-participate/org-details/973066462", "973066462")</f>
        <v>0</v>
      </c>
      <c r="K345" t="s">
        <v>2654</v>
      </c>
      <c r="L345" t="s">
        <v>2880</v>
      </c>
      <c r="M345" t="s">
        <v>2965</v>
      </c>
      <c r="N345" t="b">
        <v>0</v>
      </c>
      <c r="O345" t="s">
        <v>2985</v>
      </c>
      <c r="P345" t="s">
        <v>3145</v>
      </c>
      <c r="Q345">
        <v>9</v>
      </c>
      <c r="R345" t="s">
        <v>3342</v>
      </c>
      <c r="S345" s="2">
        <v>31200</v>
      </c>
      <c r="T345" s="2">
        <v>31200</v>
      </c>
      <c r="U345" s="2">
        <v>183000</v>
      </c>
    </row>
    <row r="346" spans="1:21">
      <c r="A346" t="s">
        <v>22</v>
      </c>
      <c r="B346" s="1">
        <f>HYPERLINK("https://cordis.europa.eu/project/id/687780", "687780")</f>
        <v>0</v>
      </c>
      <c r="C346" t="s">
        <v>290</v>
      </c>
      <c r="D346" t="s">
        <v>1101</v>
      </c>
      <c r="E346" t="s">
        <v>1708</v>
      </c>
      <c r="F346" t="s">
        <v>2188</v>
      </c>
      <c r="G346" t="s">
        <v>2339</v>
      </c>
      <c r="H346" t="s">
        <v>2548</v>
      </c>
      <c r="I346" t="s">
        <v>2556</v>
      </c>
      <c r="J346" s="1">
        <f>HYPERLINK("https://ec.europa.eu/info/funding-tenders/opportunities/portal/screen/how-to-participate/org-details/999845252", "999845252")</f>
        <v>0</v>
      </c>
      <c r="K346" t="s">
        <v>2687</v>
      </c>
      <c r="L346" t="s">
        <v>2908</v>
      </c>
      <c r="M346" t="s">
        <v>2965</v>
      </c>
      <c r="N346" t="b">
        <v>0</v>
      </c>
      <c r="O346" t="s">
        <v>2985</v>
      </c>
      <c r="P346" t="s">
        <v>3145</v>
      </c>
      <c r="Q346">
        <v>10</v>
      </c>
      <c r="R346" t="s">
        <v>3342</v>
      </c>
      <c r="S346" s="2">
        <v>35200</v>
      </c>
      <c r="T346" s="2">
        <v>35200</v>
      </c>
      <c r="U346" s="2">
        <v>194500</v>
      </c>
    </row>
    <row r="347" spans="1:21">
      <c r="A347" t="s">
        <v>22</v>
      </c>
      <c r="B347" s="1">
        <f>HYPERLINK("https://cordis.europa.eu/project/id/778104", "778104")</f>
        <v>0</v>
      </c>
      <c r="C347" t="s">
        <v>291</v>
      </c>
      <c r="D347" t="s">
        <v>1102</v>
      </c>
      <c r="E347" t="s">
        <v>1709</v>
      </c>
      <c r="F347" t="s">
        <v>2190</v>
      </c>
      <c r="G347" t="s">
        <v>2434</v>
      </c>
      <c r="H347" t="s">
        <v>2548</v>
      </c>
      <c r="I347" t="s">
        <v>2556</v>
      </c>
      <c r="J347" s="1">
        <f>HYPERLINK("https://ec.europa.eu/info/funding-tenders/opportunities/portal/screen/how-to-participate/org-details/998385014", "998385014")</f>
        <v>0</v>
      </c>
      <c r="K347" t="s">
        <v>2618</v>
      </c>
      <c r="L347" t="s">
        <v>2849</v>
      </c>
      <c r="M347" t="s">
        <v>2965</v>
      </c>
      <c r="N347" t="b">
        <v>0</v>
      </c>
      <c r="O347" t="s">
        <v>3003</v>
      </c>
      <c r="P347" t="s">
        <v>3173</v>
      </c>
      <c r="Q347">
        <v>10</v>
      </c>
      <c r="R347" t="s">
        <v>3345</v>
      </c>
      <c r="T347" s="2">
        <v>0</v>
      </c>
      <c r="U347" s="2">
        <v>0</v>
      </c>
    </row>
    <row r="348" spans="1:21">
      <c r="A348" t="s">
        <v>22</v>
      </c>
      <c r="B348" s="1">
        <f>HYPERLINK("https://cordis.europa.eu/project/id/777695", "777695")</f>
        <v>0</v>
      </c>
      <c r="C348" t="s">
        <v>292</v>
      </c>
      <c r="D348" t="s">
        <v>1103</v>
      </c>
      <c r="E348" t="s">
        <v>1710</v>
      </c>
      <c r="F348" t="s">
        <v>2207</v>
      </c>
      <c r="G348" t="s">
        <v>2417</v>
      </c>
      <c r="H348" t="s">
        <v>2548</v>
      </c>
      <c r="I348" t="s">
        <v>2556</v>
      </c>
      <c r="J348" s="1">
        <f>HYPERLINK("https://ec.europa.eu/info/funding-tenders/opportunities/portal/screen/how-to-participate/org-details/998539535", "998539535")</f>
        <v>0</v>
      </c>
      <c r="K348" t="s">
        <v>2662</v>
      </c>
      <c r="L348" t="s">
        <v>2662</v>
      </c>
      <c r="M348" t="s">
        <v>2965</v>
      </c>
      <c r="N348" t="b">
        <v>0</v>
      </c>
      <c r="O348" t="s">
        <v>3003</v>
      </c>
      <c r="P348" t="s">
        <v>3173</v>
      </c>
      <c r="Q348">
        <v>10</v>
      </c>
      <c r="R348" t="s">
        <v>3345</v>
      </c>
      <c r="T348" s="2">
        <v>0</v>
      </c>
      <c r="U348" s="2">
        <v>13500</v>
      </c>
    </row>
    <row r="349" spans="1:21">
      <c r="A349" t="s">
        <v>22</v>
      </c>
      <c r="B349" s="1">
        <f>HYPERLINK("https://cordis.europa.eu/project/id/823941", "823941")</f>
        <v>0</v>
      </c>
      <c r="C349" t="s">
        <v>293</v>
      </c>
      <c r="D349" t="s">
        <v>1104</v>
      </c>
      <c r="E349" t="s">
        <v>1711</v>
      </c>
      <c r="F349" t="s">
        <v>2189</v>
      </c>
      <c r="G349" t="s">
        <v>2435</v>
      </c>
      <c r="H349" t="s">
        <v>2548</v>
      </c>
      <c r="I349" t="s">
        <v>2556</v>
      </c>
      <c r="J349" s="1">
        <f>HYPERLINK("https://ec.europa.eu/info/funding-tenders/opportunities/portal/screen/how-to-participate/org-details/998082180", "998082180")</f>
        <v>0</v>
      </c>
      <c r="K349" t="s">
        <v>2565</v>
      </c>
      <c r="M349" t="s">
        <v>2965</v>
      </c>
      <c r="N349" t="b">
        <v>0</v>
      </c>
      <c r="O349" t="s">
        <v>3003</v>
      </c>
      <c r="P349" t="s">
        <v>3174</v>
      </c>
      <c r="Q349">
        <v>4</v>
      </c>
      <c r="R349" t="s">
        <v>3345</v>
      </c>
      <c r="T349" s="2">
        <v>0</v>
      </c>
      <c r="U349" s="2">
        <v>27600</v>
      </c>
    </row>
    <row r="350" spans="1:21">
      <c r="A350" t="s">
        <v>22</v>
      </c>
      <c r="B350" s="1">
        <f>HYPERLINK("https://cordis.europa.eu/project/id/645668", "645668")</f>
        <v>0</v>
      </c>
      <c r="C350" t="s">
        <v>294</v>
      </c>
      <c r="D350" t="s">
        <v>1105</v>
      </c>
      <c r="E350" t="s">
        <v>1712</v>
      </c>
      <c r="F350" t="s">
        <v>2222</v>
      </c>
      <c r="G350" t="s">
        <v>2339</v>
      </c>
      <c r="H350" t="s">
        <v>2549</v>
      </c>
      <c r="I350" t="s">
        <v>2557</v>
      </c>
      <c r="J350" s="1">
        <f>HYPERLINK("https://ec.europa.eu/info/funding-tenders/opportunities/portal/screen/how-to-participate/org-details/999613131", "999613131")</f>
        <v>0</v>
      </c>
      <c r="K350" t="s">
        <v>2591</v>
      </c>
      <c r="L350" t="s">
        <v>2831</v>
      </c>
      <c r="M350" t="s">
        <v>2965</v>
      </c>
      <c r="N350" t="b">
        <v>0</v>
      </c>
      <c r="O350" t="s">
        <v>3003</v>
      </c>
      <c r="P350" t="s">
        <v>3175</v>
      </c>
      <c r="Q350">
        <v>5</v>
      </c>
      <c r="R350" t="s">
        <v>3345</v>
      </c>
      <c r="T350" s="2">
        <v>0</v>
      </c>
      <c r="U350" s="2">
        <v>27000</v>
      </c>
    </row>
    <row r="351" spans="1:21">
      <c r="A351" t="s">
        <v>22</v>
      </c>
      <c r="B351" s="1">
        <f>HYPERLINK("https://cordis.europa.eu/project/id/690984", "690984")</f>
        <v>0</v>
      </c>
      <c r="C351" t="s">
        <v>295</v>
      </c>
      <c r="D351" t="s">
        <v>1106</v>
      </c>
      <c r="E351" t="s">
        <v>1713</v>
      </c>
      <c r="F351" t="s">
        <v>2188</v>
      </c>
      <c r="G351" t="s">
        <v>2436</v>
      </c>
      <c r="H351" t="s">
        <v>2548</v>
      </c>
      <c r="I351" t="s">
        <v>2556</v>
      </c>
      <c r="J351" s="1">
        <f>HYPERLINK("https://ec.europa.eu/info/funding-tenders/opportunities/portal/screen/how-to-participate/org-details/998082180", "998082180")</f>
        <v>0</v>
      </c>
      <c r="K351" t="s">
        <v>2565</v>
      </c>
      <c r="M351" t="s">
        <v>2965</v>
      </c>
      <c r="N351" t="b">
        <v>0</v>
      </c>
      <c r="O351" t="s">
        <v>3003</v>
      </c>
      <c r="P351" t="s">
        <v>3176</v>
      </c>
      <c r="Q351">
        <v>17</v>
      </c>
      <c r="R351" t="s">
        <v>3345</v>
      </c>
      <c r="T351" s="2">
        <v>0</v>
      </c>
      <c r="U351" s="2">
        <v>0</v>
      </c>
    </row>
    <row r="352" spans="1:21">
      <c r="A352" t="s">
        <v>22</v>
      </c>
      <c r="B352" s="1">
        <f>HYPERLINK("https://cordis.europa.eu/project/id/734211", "734211")</f>
        <v>0</v>
      </c>
      <c r="C352" t="s">
        <v>201</v>
      </c>
      <c r="D352" t="s">
        <v>1107</v>
      </c>
      <c r="E352" t="s">
        <v>1714</v>
      </c>
      <c r="F352" t="s">
        <v>2225</v>
      </c>
      <c r="G352" t="s">
        <v>1679</v>
      </c>
      <c r="H352" t="s">
        <v>2549</v>
      </c>
      <c r="I352" t="s">
        <v>2557</v>
      </c>
      <c r="J352" s="1">
        <f>HYPERLINK("https://ec.europa.eu/info/funding-tenders/opportunities/portal/screen/how-to-participate/org-details/999613131", "999613131")</f>
        <v>0</v>
      </c>
      <c r="K352" t="s">
        <v>2591</v>
      </c>
      <c r="L352" t="s">
        <v>2831</v>
      </c>
      <c r="M352" t="s">
        <v>2965</v>
      </c>
      <c r="N352" t="b">
        <v>0</v>
      </c>
      <c r="O352" t="s">
        <v>3003</v>
      </c>
      <c r="P352" t="s">
        <v>3177</v>
      </c>
      <c r="Q352">
        <v>5</v>
      </c>
      <c r="R352" t="s">
        <v>3345</v>
      </c>
      <c r="T352" s="2">
        <v>0</v>
      </c>
      <c r="U352" s="2">
        <v>36000</v>
      </c>
    </row>
    <row r="353" spans="1:21">
      <c r="A353" t="s">
        <v>22</v>
      </c>
      <c r="B353" s="1">
        <f>HYPERLINK("https://cordis.europa.eu/project/id/101006900", "101006900")</f>
        <v>0</v>
      </c>
      <c r="C353" t="s">
        <v>296</v>
      </c>
      <c r="D353" t="s">
        <v>1108</v>
      </c>
      <c r="E353" t="s">
        <v>1715</v>
      </c>
      <c r="F353" t="s">
        <v>1908</v>
      </c>
      <c r="G353" t="s">
        <v>2435</v>
      </c>
      <c r="H353" t="s">
        <v>2548</v>
      </c>
      <c r="I353" t="s">
        <v>2556</v>
      </c>
      <c r="J353" s="1">
        <f>HYPERLINK("https://ec.europa.eu/info/funding-tenders/opportunities/portal/screen/how-to-participate/org-details/894722181", "894722181")</f>
        <v>0</v>
      </c>
      <c r="K353" t="s">
        <v>2705</v>
      </c>
      <c r="L353" t="s">
        <v>2918</v>
      </c>
      <c r="M353" t="s">
        <v>2967</v>
      </c>
      <c r="N353" t="b">
        <v>0</v>
      </c>
      <c r="O353" t="s">
        <v>2985</v>
      </c>
      <c r="P353" t="s">
        <v>3178</v>
      </c>
      <c r="Q353">
        <v>30</v>
      </c>
      <c r="R353" t="s">
        <v>3342</v>
      </c>
      <c r="S353" s="2">
        <v>0</v>
      </c>
      <c r="T353" s="2">
        <v>0</v>
      </c>
    </row>
    <row r="354" spans="1:21">
      <c r="A354" t="s">
        <v>22</v>
      </c>
      <c r="B354" s="1">
        <f>HYPERLINK("https://cordis.europa.eu/project/id/636202", "636202")</f>
        <v>0</v>
      </c>
      <c r="C354" t="s">
        <v>297</v>
      </c>
      <c r="D354" t="s">
        <v>1109</v>
      </c>
      <c r="E354" t="s">
        <v>1716</v>
      </c>
      <c r="F354" t="s">
        <v>2226</v>
      </c>
      <c r="G354" t="s">
        <v>1948</v>
      </c>
      <c r="H354" t="s">
        <v>2548</v>
      </c>
      <c r="I354" t="s">
        <v>2556</v>
      </c>
      <c r="J354" s="1">
        <f>HYPERLINK("https://ec.europa.eu/info/funding-tenders/opportunities/portal/screen/how-to-participate/org-details/956388476", "956388476")</f>
        <v>0</v>
      </c>
      <c r="K354" t="s">
        <v>2706</v>
      </c>
      <c r="M354" t="s">
        <v>2967</v>
      </c>
      <c r="N354" t="b">
        <v>0</v>
      </c>
      <c r="O354" t="s">
        <v>2993</v>
      </c>
      <c r="P354" t="s">
        <v>3169</v>
      </c>
      <c r="Q354">
        <v>4</v>
      </c>
      <c r="R354" t="s">
        <v>3342</v>
      </c>
      <c r="S354" s="2">
        <v>0</v>
      </c>
      <c r="T354" s="2">
        <v>0</v>
      </c>
      <c r="U354" s="2">
        <v>151250</v>
      </c>
    </row>
    <row r="355" spans="1:21">
      <c r="A355" t="s">
        <v>22</v>
      </c>
      <c r="B355" s="1">
        <f>HYPERLINK("https://cordis.europa.eu/project/id/815122", "815122")</f>
        <v>0</v>
      </c>
      <c r="C355" t="s">
        <v>298</v>
      </c>
      <c r="D355" t="s">
        <v>1110</v>
      </c>
      <c r="E355" t="s">
        <v>1661</v>
      </c>
      <c r="F355" t="s">
        <v>2227</v>
      </c>
      <c r="G355" t="s">
        <v>2437</v>
      </c>
      <c r="H355" t="s">
        <v>2548</v>
      </c>
      <c r="I355" t="s">
        <v>2556</v>
      </c>
      <c r="J355" s="1">
        <f>HYPERLINK("https://ec.europa.eu/info/funding-tenders/opportunities/portal/screen/how-to-participate/org-details/956388476", "956388476")</f>
        <v>0</v>
      </c>
      <c r="K355" t="s">
        <v>2706</v>
      </c>
      <c r="M355" t="s">
        <v>2967</v>
      </c>
      <c r="N355" t="b">
        <v>0</v>
      </c>
      <c r="O355" t="s">
        <v>2993</v>
      </c>
      <c r="P355" t="s">
        <v>3149</v>
      </c>
      <c r="Q355">
        <v>3</v>
      </c>
      <c r="R355" t="s">
        <v>3342</v>
      </c>
      <c r="S355" s="2">
        <v>0</v>
      </c>
      <c r="T355" s="2">
        <v>0</v>
      </c>
      <c r="U355" s="2">
        <v>116550</v>
      </c>
    </row>
    <row r="356" spans="1:21">
      <c r="A356" t="s">
        <v>22</v>
      </c>
      <c r="B356" s="1">
        <f>HYPERLINK("https://cordis.europa.eu/project/id/815122", "815122")</f>
        <v>0</v>
      </c>
      <c r="C356" t="s">
        <v>298</v>
      </c>
      <c r="D356" t="s">
        <v>1110</v>
      </c>
      <c r="E356" t="s">
        <v>1661</v>
      </c>
      <c r="F356" t="s">
        <v>2227</v>
      </c>
      <c r="G356" t="s">
        <v>2437</v>
      </c>
      <c r="H356" t="s">
        <v>2548</v>
      </c>
      <c r="I356" t="s">
        <v>2556</v>
      </c>
      <c r="J356" s="1">
        <f>HYPERLINK("https://ec.europa.eu/info/funding-tenders/opportunities/portal/screen/how-to-participate/org-details/968922622", "968922622")</f>
        <v>0</v>
      </c>
      <c r="K356" t="s">
        <v>2700</v>
      </c>
      <c r="L356" t="s">
        <v>2700</v>
      </c>
      <c r="M356" t="s">
        <v>2965</v>
      </c>
      <c r="N356" t="b">
        <v>0</v>
      </c>
      <c r="O356" t="s">
        <v>2993</v>
      </c>
      <c r="P356" t="s">
        <v>3149</v>
      </c>
      <c r="Q356">
        <v>6</v>
      </c>
      <c r="R356" t="s">
        <v>3342</v>
      </c>
      <c r="S356" s="2">
        <v>0</v>
      </c>
      <c r="T356" s="2">
        <v>0</v>
      </c>
    </row>
    <row r="357" spans="1:21">
      <c r="A357" t="s">
        <v>22</v>
      </c>
      <c r="B357" s="1">
        <f>HYPERLINK("https://cordis.europa.eu/project/id/689983", "689983")</f>
        <v>0</v>
      </c>
      <c r="C357" t="s">
        <v>299</v>
      </c>
      <c r="D357" t="s">
        <v>1111</v>
      </c>
      <c r="E357" t="s">
        <v>1717</v>
      </c>
      <c r="F357" t="s">
        <v>2185</v>
      </c>
      <c r="G357" t="s">
        <v>2438</v>
      </c>
      <c r="H357" t="s">
        <v>2548</v>
      </c>
      <c r="I357" t="s">
        <v>2556</v>
      </c>
      <c r="J357" s="1">
        <f>HYPERLINK("https://ec.europa.eu/info/funding-tenders/opportunities/portal/screen/how-to-participate/org-details/998826946", "998826946")</f>
        <v>0</v>
      </c>
      <c r="K357" t="s">
        <v>2617</v>
      </c>
      <c r="L357" t="s">
        <v>2848</v>
      </c>
      <c r="M357" t="s">
        <v>2965</v>
      </c>
      <c r="N357" t="b">
        <v>0</v>
      </c>
      <c r="O357" t="s">
        <v>3003</v>
      </c>
      <c r="P357" t="s">
        <v>3176</v>
      </c>
      <c r="Q357">
        <v>14</v>
      </c>
      <c r="R357" t="s">
        <v>3345</v>
      </c>
      <c r="T357" s="2">
        <v>0</v>
      </c>
      <c r="U357" s="2">
        <v>0</v>
      </c>
    </row>
    <row r="358" spans="1:21">
      <c r="A358" t="s">
        <v>22</v>
      </c>
      <c r="B358" s="1">
        <f>HYPERLINK("https://cordis.europa.eu/project/id/840804", "840804")</f>
        <v>0</v>
      </c>
      <c r="C358" t="s">
        <v>300</v>
      </c>
      <c r="D358" t="s">
        <v>1112</v>
      </c>
      <c r="E358" t="s">
        <v>1718</v>
      </c>
      <c r="F358" t="s">
        <v>2181</v>
      </c>
      <c r="G358" t="s">
        <v>2395</v>
      </c>
      <c r="H358" t="s">
        <v>2548</v>
      </c>
      <c r="I358" t="s">
        <v>2556</v>
      </c>
      <c r="J358" s="1">
        <f>HYPERLINK("https://ec.europa.eu/info/funding-tenders/opportunities/portal/screen/how-to-participate/org-details/998354750", "998354750")</f>
        <v>0</v>
      </c>
      <c r="K358" t="s">
        <v>2596</v>
      </c>
      <c r="L358" t="s">
        <v>2834</v>
      </c>
      <c r="M358" t="s">
        <v>2969</v>
      </c>
      <c r="N358" t="b">
        <v>0</v>
      </c>
      <c r="O358" t="s">
        <v>2997</v>
      </c>
      <c r="P358" t="s">
        <v>3158</v>
      </c>
      <c r="Q358">
        <v>2</v>
      </c>
      <c r="R358" t="s">
        <v>3345</v>
      </c>
      <c r="T358" s="2">
        <v>0</v>
      </c>
    </row>
    <row r="359" spans="1:21">
      <c r="A359" t="s">
        <v>22</v>
      </c>
      <c r="B359" s="1">
        <f>HYPERLINK("https://cordis.europa.eu/project/id/893454", "893454")</f>
        <v>0</v>
      </c>
      <c r="C359" t="s">
        <v>301</v>
      </c>
      <c r="D359" t="s">
        <v>1113</v>
      </c>
      <c r="E359" t="s">
        <v>1686</v>
      </c>
      <c r="F359" t="s">
        <v>2228</v>
      </c>
      <c r="G359" t="s">
        <v>2439</v>
      </c>
      <c r="H359" t="s">
        <v>2548</v>
      </c>
      <c r="I359" t="s">
        <v>2556</v>
      </c>
      <c r="J359" s="1">
        <f>HYPERLINK("https://ec.europa.eu/info/funding-tenders/opportunities/portal/screen/how-to-participate/org-details/968922622", "968922622")</f>
        <v>0</v>
      </c>
      <c r="K359" t="s">
        <v>2700</v>
      </c>
      <c r="L359" t="s">
        <v>2700</v>
      </c>
      <c r="M359" t="s">
        <v>2965</v>
      </c>
      <c r="N359" t="b">
        <v>0</v>
      </c>
      <c r="O359" t="s">
        <v>2997</v>
      </c>
      <c r="P359" t="s">
        <v>3162</v>
      </c>
      <c r="Q359">
        <v>2</v>
      </c>
      <c r="R359" t="s">
        <v>3345</v>
      </c>
      <c r="T359" s="2">
        <v>0</v>
      </c>
    </row>
    <row r="360" spans="1:21">
      <c r="A360" t="s">
        <v>22</v>
      </c>
      <c r="B360" s="1">
        <f>HYPERLINK("https://cordis.europa.eu/project/id/842817", "842817")</f>
        <v>0</v>
      </c>
      <c r="C360" t="s">
        <v>302</v>
      </c>
      <c r="D360" t="s">
        <v>1114</v>
      </c>
      <c r="E360" t="s">
        <v>1719</v>
      </c>
      <c r="F360" t="s">
        <v>2229</v>
      </c>
      <c r="G360" t="s">
        <v>2440</v>
      </c>
      <c r="H360" t="s">
        <v>2549</v>
      </c>
      <c r="I360" t="s">
        <v>2557</v>
      </c>
      <c r="J360" s="1">
        <f>HYPERLINK("https://ec.europa.eu/info/funding-tenders/opportunities/portal/screen/how-to-participate/org-details/998331567", "998331567")</f>
        <v>0</v>
      </c>
      <c r="K360" t="s">
        <v>2573</v>
      </c>
      <c r="M360" t="s">
        <v>2965</v>
      </c>
      <c r="N360" t="b">
        <v>0</v>
      </c>
      <c r="O360" t="s">
        <v>2998</v>
      </c>
      <c r="P360" t="s">
        <v>3158</v>
      </c>
      <c r="Q360">
        <v>2</v>
      </c>
      <c r="R360" t="s">
        <v>3345</v>
      </c>
      <c r="T360" s="2">
        <v>0</v>
      </c>
    </row>
    <row r="361" spans="1:21">
      <c r="A361" t="s">
        <v>22</v>
      </c>
      <c r="B361" s="1">
        <f>HYPERLINK("https://cordis.europa.eu/project/id/656598", "656598")</f>
        <v>0</v>
      </c>
      <c r="C361" t="s">
        <v>303</v>
      </c>
      <c r="D361" t="s">
        <v>1115</v>
      </c>
      <c r="E361" t="s">
        <v>1703</v>
      </c>
      <c r="F361" t="s">
        <v>2230</v>
      </c>
      <c r="G361" t="s">
        <v>2441</v>
      </c>
      <c r="H361" t="s">
        <v>2548</v>
      </c>
      <c r="I361" t="s">
        <v>2556</v>
      </c>
      <c r="J361" s="1">
        <f>HYPERLINK("https://ec.europa.eu/info/funding-tenders/opportunities/portal/screen/how-to-participate/org-details/998826946", "998826946")</f>
        <v>0</v>
      </c>
      <c r="K361" t="s">
        <v>2617</v>
      </c>
      <c r="L361" t="s">
        <v>2848</v>
      </c>
      <c r="M361" t="s">
        <v>2965</v>
      </c>
      <c r="N361" t="b">
        <v>0</v>
      </c>
      <c r="O361" t="s">
        <v>2998</v>
      </c>
      <c r="P361" t="s">
        <v>3165</v>
      </c>
      <c r="Q361">
        <v>2</v>
      </c>
      <c r="R361" t="s">
        <v>3345</v>
      </c>
      <c r="T361" s="2">
        <v>0</v>
      </c>
    </row>
    <row r="362" spans="1:21">
      <c r="A362" t="s">
        <v>22</v>
      </c>
      <c r="B362" s="1">
        <f>HYPERLINK("https://cordis.europa.eu/project/id/846107", "846107")</f>
        <v>0</v>
      </c>
      <c r="C362" t="s">
        <v>304</v>
      </c>
      <c r="D362" t="s">
        <v>1116</v>
      </c>
      <c r="E362" t="s">
        <v>1720</v>
      </c>
      <c r="F362" t="s">
        <v>2191</v>
      </c>
      <c r="G362" t="s">
        <v>2406</v>
      </c>
      <c r="H362" t="s">
        <v>2548</v>
      </c>
      <c r="I362" t="s">
        <v>2556</v>
      </c>
      <c r="J362" s="1">
        <f>HYPERLINK("https://ec.europa.eu/info/funding-tenders/opportunities/portal/screen/how-to-participate/org-details/999845252", "999845252")</f>
        <v>0</v>
      </c>
      <c r="K362" t="s">
        <v>2687</v>
      </c>
      <c r="L362" t="s">
        <v>2908</v>
      </c>
      <c r="M362" t="s">
        <v>2965</v>
      </c>
      <c r="N362" t="b">
        <v>0</v>
      </c>
      <c r="O362" t="s">
        <v>2997</v>
      </c>
      <c r="P362" t="s">
        <v>3158</v>
      </c>
      <c r="Q362">
        <v>2</v>
      </c>
      <c r="R362" t="s">
        <v>3345</v>
      </c>
      <c r="T362" s="2">
        <v>0</v>
      </c>
    </row>
    <row r="363" spans="1:21">
      <c r="A363" t="s">
        <v>22</v>
      </c>
      <c r="B363" s="1">
        <f>HYPERLINK("https://cordis.europa.eu/project/id/899037", "899037")</f>
        <v>0</v>
      </c>
      <c r="C363" t="s">
        <v>305</v>
      </c>
      <c r="D363" t="s">
        <v>1117</v>
      </c>
      <c r="E363" t="s">
        <v>1721</v>
      </c>
      <c r="F363" t="s">
        <v>2231</v>
      </c>
      <c r="G363" t="s">
        <v>2442</v>
      </c>
      <c r="H363" t="s">
        <v>2548</v>
      </c>
      <c r="I363" t="s">
        <v>2556</v>
      </c>
      <c r="J363" s="1">
        <f>HYPERLINK("https://ec.europa.eu/info/funding-tenders/opportunities/portal/screen/how-to-participate/org-details/998826946", "998826946")</f>
        <v>0</v>
      </c>
      <c r="K363" t="s">
        <v>2617</v>
      </c>
      <c r="L363" t="s">
        <v>2848</v>
      </c>
      <c r="M363" t="s">
        <v>2965</v>
      </c>
      <c r="N363" t="b">
        <v>0</v>
      </c>
      <c r="O363" t="s">
        <v>2997</v>
      </c>
      <c r="P363" t="s">
        <v>3162</v>
      </c>
      <c r="Q363">
        <v>2</v>
      </c>
      <c r="R363" t="s">
        <v>3345</v>
      </c>
      <c r="T363" s="2">
        <v>0</v>
      </c>
    </row>
    <row r="364" spans="1:21">
      <c r="A364" t="s">
        <v>22</v>
      </c>
      <c r="B364" s="1">
        <f>HYPERLINK("https://cordis.europa.eu/project/id/874465", "874465")</f>
        <v>0</v>
      </c>
      <c r="C364" t="s">
        <v>306</v>
      </c>
      <c r="D364" t="s">
        <v>1118</v>
      </c>
      <c r="E364" t="s">
        <v>1722</v>
      </c>
      <c r="F364" t="s">
        <v>2232</v>
      </c>
      <c r="G364" t="s">
        <v>2411</v>
      </c>
      <c r="H364" t="s">
        <v>2548</v>
      </c>
      <c r="I364" t="s">
        <v>2556</v>
      </c>
      <c r="J364" s="1">
        <f>HYPERLINK("https://ec.europa.eu/info/funding-tenders/opportunities/portal/screen/how-to-participate/org-details/898697144", "898697144")</f>
        <v>0</v>
      </c>
      <c r="K364" t="s">
        <v>2707</v>
      </c>
      <c r="M364" t="s">
        <v>2967</v>
      </c>
      <c r="N364" t="b">
        <v>0</v>
      </c>
      <c r="O364" t="s">
        <v>2993</v>
      </c>
      <c r="P364" t="s">
        <v>3179</v>
      </c>
      <c r="Q364">
        <v>2</v>
      </c>
      <c r="R364" t="s">
        <v>3346</v>
      </c>
      <c r="S364" s="2">
        <v>0</v>
      </c>
      <c r="T364" s="2">
        <v>105000</v>
      </c>
      <c r="U364" s="2">
        <v>150000</v>
      </c>
    </row>
    <row r="365" spans="1:21">
      <c r="A365" t="s">
        <v>22</v>
      </c>
      <c r="B365" s="1">
        <f>HYPERLINK("https://cordis.europa.eu/project/id/101006717", "101006717")</f>
        <v>0</v>
      </c>
      <c r="C365" t="s">
        <v>307</v>
      </c>
      <c r="D365" t="s">
        <v>1119</v>
      </c>
      <c r="E365" t="s">
        <v>1723</v>
      </c>
      <c r="F365" t="s">
        <v>2208</v>
      </c>
      <c r="G365" t="s">
        <v>2430</v>
      </c>
      <c r="H365" t="s">
        <v>2548</v>
      </c>
      <c r="I365" t="s">
        <v>2556</v>
      </c>
      <c r="J365" s="1">
        <f>HYPERLINK("https://ec.europa.eu/info/funding-tenders/opportunities/portal/screen/how-to-participate/org-details/998083247", "998083247")</f>
        <v>0</v>
      </c>
      <c r="K365" t="s">
        <v>2605</v>
      </c>
      <c r="M365" t="s">
        <v>2965</v>
      </c>
      <c r="N365" t="b">
        <v>0</v>
      </c>
      <c r="O365" t="s">
        <v>2993</v>
      </c>
      <c r="P365" t="s">
        <v>3180</v>
      </c>
      <c r="Q365">
        <v>12</v>
      </c>
      <c r="R365" t="s">
        <v>3342</v>
      </c>
      <c r="S365" s="2">
        <v>0</v>
      </c>
      <c r="T365" s="2">
        <v>0</v>
      </c>
      <c r="U365" s="2">
        <v>400000</v>
      </c>
    </row>
    <row r="366" spans="1:21">
      <c r="A366" t="s">
        <v>22</v>
      </c>
      <c r="B366" s="1">
        <f>HYPERLINK("https://cordis.europa.eu/project/id/823961", "823961")</f>
        <v>0</v>
      </c>
      <c r="C366" t="s">
        <v>308</v>
      </c>
      <c r="D366" t="s">
        <v>1120</v>
      </c>
      <c r="E366" t="s">
        <v>1724</v>
      </c>
      <c r="F366" t="s">
        <v>2233</v>
      </c>
      <c r="G366" t="s">
        <v>2443</v>
      </c>
      <c r="H366" t="s">
        <v>2548</v>
      </c>
      <c r="I366" t="s">
        <v>2556</v>
      </c>
      <c r="J366" s="1">
        <f>HYPERLINK("https://ec.europa.eu/info/funding-tenders/opportunities/portal/screen/how-to-participate/org-details/988059752", "988059752")</f>
        <v>0</v>
      </c>
      <c r="K366" t="s">
        <v>2564</v>
      </c>
      <c r="L366" t="s">
        <v>2809</v>
      </c>
      <c r="M366" t="s">
        <v>2965</v>
      </c>
      <c r="N366" t="b">
        <v>0</v>
      </c>
      <c r="O366" t="s">
        <v>3003</v>
      </c>
      <c r="P366" t="s">
        <v>3174</v>
      </c>
      <c r="Q366">
        <v>17</v>
      </c>
      <c r="R366" t="s">
        <v>3345</v>
      </c>
      <c r="T366" s="2">
        <v>0</v>
      </c>
      <c r="U366" s="2">
        <v>69000</v>
      </c>
    </row>
    <row r="367" spans="1:21">
      <c r="A367" t="s">
        <v>22</v>
      </c>
      <c r="B367" s="1">
        <f>HYPERLINK("https://cordis.europa.eu/project/id/704333", "704333")</f>
        <v>0</v>
      </c>
      <c r="C367" t="s">
        <v>309</v>
      </c>
      <c r="D367" t="s">
        <v>1121</v>
      </c>
      <c r="E367" t="s">
        <v>1725</v>
      </c>
      <c r="F367" t="s">
        <v>1892</v>
      </c>
      <c r="G367" t="s">
        <v>2444</v>
      </c>
      <c r="H367" t="s">
        <v>2548</v>
      </c>
      <c r="I367" t="s">
        <v>2556</v>
      </c>
      <c r="J367" s="1">
        <f>HYPERLINK("https://ec.europa.eu/info/funding-tenders/opportunities/portal/screen/how-to-participate/org-details/998804636", "998804636")</f>
        <v>0</v>
      </c>
      <c r="K367" t="s">
        <v>2612</v>
      </c>
      <c r="L367" t="s">
        <v>2845</v>
      </c>
      <c r="M367" t="s">
        <v>2965</v>
      </c>
      <c r="N367" t="b">
        <v>0</v>
      </c>
      <c r="O367" t="s">
        <v>2998</v>
      </c>
      <c r="P367" t="s">
        <v>3164</v>
      </c>
      <c r="Q367">
        <v>2</v>
      </c>
      <c r="R367" t="s">
        <v>3345</v>
      </c>
      <c r="T367" s="2">
        <v>0</v>
      </c>
    </row>
    <row r="368" spans="1:21">
      <c r="A368" t="s">
        <v>22</v>
      </c>
      <c r="B368" s="1">
        <f>HYPERLINK("https://cordis.europa.eu/project/id/861584", "861584")</f>
        <v>0</v>
      </c>
      <c r="C368" t="s">
        <v>310</v>
      </c>
      <c r="D368" t="s">
        <v>1122</v>
      </c>
      <c r="E368" t="s">
        <v>1726</v>
      </c>
      <c r="F368" t="s">
        <v>2234</v>
      </c>
      <c r="G368" t="s">
        <v>2445</v>
      </c>
      <c r="H368" t="s">
        <v>2548</v>
      </c>
      <c r="I368" t="s">
        <v>2556</v>
      </c>
      <c r="J368" s="1">
        <f>HYPERLINK("https://ec.europa.eu/info/funding-tenders/opportunities/portal/screen/how-to-participate/org-details/902912958", "902912958")</f>
        <v>0</v>
      </c>
      <c r="K368" t="s">
        <v>2708</v>
      </c>
      <c r="L368" t="s">
        <v>2919</v>
      </c>
      <c r="M368" t="s">
        <v>2969</v>
      </c>
      <c r="N368" t="b">
        <v>0</v>
      </c>
      <c r="O368" t="s">
        <v>2993</v>
      </c>
      <c r="P368" t="s">
        <v>3181</v>
      </c>
      <c r="Q368">
        <v>1</v>
      </c>
      <c r="R368" t="s">
        <v>3344</v>
      </c>
      <c r="S368" s="2">
        <v>0</v>
      </c>
      <c r="T368" s="2">
        <v>0</v>
      </c>
      <c r="U368" s="2">
        <v>0</v>
      </c>
    </row>
    <row r="369" spans="1:21">
      <c r="A369" t="s">
        <v>22</v>
      </c>
      <c r="B369" s="1">
        <f>HYPERLINK("https://cordis.europa.eu/project/id/861584", "861584")</f>
        <v>0</v>
      </c>
      <c r="C369" t="s">
        <v>310</v>
      </c>
      <c r="D369" t="s">
        <v>1122</v>
      </c>
      <c r="E369" t="s">
        <v>1726</v>
      </c>
      <c r="F369" t="s">
        <v>2234</v>
      </c>
      <c r="G369" t="s">
        <v>2445</v>
      </c>
      <c r="H369" t="s">
        <v>2548</v>
      </c>
      <c r="I369" t="s">
        <v>2556</v>
      </c>
      <c r="J369" s="1">
        <f>HYPERLINK("https://ec.europa.eu/info/funding-tenders/opportunities/portal/screen/how-to-participate/org-details/998082180", "998082180")</f>
        <v>0</v>
      </c>
      <c r="K369" t="s">
        <v>2565</v>
      </c>
      <c r="M369" t="s">
        <v>2965</v>
      </c>
      <c r="N369" t="b">
        <v>0</v>
      </c>
      <c r="O369" t="s">
        <v>2993</v>
      </c>
      <c r="P369" t="s">
        <v>3181</v>
      </c>
      <c r="Q369">
        <v>31</v>
      </c>
      <c r="R369" t="s">
        <v>3342</v>
      </c>
      <c r="S369" s="2">
        <v>0</v>
      </c>
      <c r="T369" s="2">
        <v>0</v>
      </c>
      <c r="U369" s="2">
        <v>157500</v>
      </c>
    </row>
    <row r="370" spans="1:21">
      <c r="A370" t="s">
        <v>22</v>
      </c>
      <c r="B370" s="1">
        <f>HYPERLINK("https://cordis.europa.eu/project/id/861584", "861584")</f>
        <v>0</v>
      </c>
      <c r="C370" t="s">
        <v>310</v>
      </c>
      <c r="D370" t="s">
        <v>1122</v>
      </c>
      <c r="E370" t="s">
        <v>1726</v>
      </c>
      <c r="F370" t="s">
        <v>2234</v>
      </c>
      <c r="G370" t="s">
        <v>2445</v>
      </c>
      <c r="H370" t="s">
        <v>2548</v>
      </c>
      <c r="I370" t="s">
        <v>2556</v>
      </c>
      <c r="J370" s="1">
        <f>HYPERLINK("https://ec.europa.eu/info/funding-tenders/opportunities/portal/screen/how-to-participate/org-details/986196188", "986196188")</f>
        <v>0</v>
      </c>
      <c r="K370" t="s">
        <v>2709</v>
      </c>
      <c r="L370" t="s">
        <v>2920</v>
      </c>
      <c r="M370" t="s">
        <v>2965</v>
      </c>
      <c r="N370" t="b">
        <v>0</v>
      </c>
      <c r="O370" t="s">
        <v>2993</v>
      </c>
      <c r="P370" t="s">
        <v>3181</v>
      </c>
      <c r="Q370">
        <v>22</v>
      </c>
      <c r="R370" t="s">
        <v>3344</v>
      </c>
      <c r="S370" s="2">
        <v>0</v>
      </c>
      <c r="T370" s="2">
        <v>0</v>
      </c>
      <c r="U370" s="2">
        <v>0</v>
      </c>
    </row>
    <row r="371" spans="1:21">
      <c r="A371" t="s">
        <v>22</v>
      </c>
      <c r="B371" s="1">
        <f>HYPERLINK("https://cordis.europa.eu/project/id/662152", "662152")</f>
        <v>0</v>
      </c>
      <c r="C371" t="s">
        <v>311</v>
      </c>
      <c r="D371" t="s">
        <v>1123</v>
      </c>
      <c r="E371" t="s">
        <v>1727</v>
      </c>
      <c r="F371" t="s">
        <v>2226</v>
      </c>
      <c r="G371" t="s">
        <v>2362</v>
      </c>
      <c r="H371" t="s">
        <v>2548</v>
      </c>
      <c r="I371" t="s">
        <v>2556</v>
      </c>
      <c r="J371" s="1">
        <f>HYPERLINK("https://ec.europa.eu/info/funding-tenders/opportunities/portal/screen/how-to-participate/org-details/966094490", "966094490")</f>
        <v>0</v>
      </c>
      <c r="K371" t="s">
        <v>2595</v>
      </c>
      <c r="M371" t="s">
        <v>2969</v>
      </c>
      <c r="N371" t="b">
        <v>0</v>
      </c>
      <c r="O371" t="s">
        <v>2985</v>
      </c>
      <c r="P371" t="s">
        <v>3182</v>
      </c>
      <c r="Q371">
        <v>7</v>
      </c>
      <c r="R371" t="s">
        <v>3342</v>
      </c>
      <c r="S371" s="2">
        <v>11200</v>
      </c>
      <c r="T371" s="2">
        <v>11200</v>
      </c>
      <c r="U371" s="2">
        <v>123050</v>
      </c>
    </row>
    <row r="372" spans="1:21">
      <c r="A372" t="s">
        <v>22</v>
      </c>
      <c r="B372" s="1">
        <f>HYPERLINK("https://cordis.europa.eu/project/id/884418", "884418")</f>
        <v>0</v>
      </c>
      <c r="C372" t="s">
        <v>312</v>
      </c>
      <c r="D372" t="s">
        <v>1124</v>
      </c>
      <c r="E372" t="s">
        <v>1728</v>
      </c>
      <c r="F372" t="s">
        <v>1721</v>
      </c>
      <c r="G372" t="s">
        <v>2429</v>
      </c>
      <c r="H372" t="s">
        <v>2548</v>
      </c>
      <c r="I372" t="s">
        <v>2556</v>
      </c>
      <c r="J372" s="1">
        <f>HYPERLINK("https://ec.europa.eu/info/funding-tenders/opportunities/portal/screen/how-to-participate/org-details/992254032", "992254032")</f>
        <v>0</v>
      </c>
      <c r="K372" t="s">
        <v>2710</v>
      </c>
      <c r="L372" t="s">
        <v>2921</v>
      </c>
      <c r="M372" t="s">
        <v>2969</v>
      </c>
      <c r="N372" t="b">
        <v>0</v>
      </c>
      <c r="O372" t="s">
        <v>2994</v>
      </c>
      <c r="P372" t="s">
        <v>3183</v>
      </c>
      <c r="Q372">
        <v>1</v>
      </c>
      <c r="R372" t="s">
        <v>3344</v>
      </c>
      <c r="S372" s="2">
        <v>0</v>
      </c>
      <c r="T372" s="2">
        <v>0</v>
      </c>
      <c r="U372" s="2">
        <v>181400</v>
      </c>
    </row>
    <row r="373" spans="1:21">
      <c r="A373" t="s">
        <v>22</v>
      </c>
      <c r="B373" s="1">
        <f>HYPERLINK("https://cordis.europa.eu/project/id/773902", "773902")</f>
        <v>0</v>
      </c>
      <c r="C373" t="s">
        <v>313</v>
      </c>
      <c r="D373" t="s">
        <v>1125</v>
      </c>
      <c r="E373" t="s">
        <v>1729</v>
      </c>
      <c r="F373" t="s">
        <v>2192</v>
      </c>
      <c r="G373" t="s">
        <v>2437</v>
      </c>
      <c r="H373" t="s">
        <v>2548</v>
      </c>
      <c r="I373" t="s">
        <v>2556</v>
      </c>
      <c r="J373" s="1">
        <f>HYPERLINK("https://ec.europa.eu/info/funding-tenders/opportunities/portal/screen/how-to-participate/org-details/988059752", "988059752")</f>
        <v>0</v>
      </c>
      <c r="K373" t="s">
        <v>2564</v>
      </c>
      <c r="L373" t="s">
        <v>2809</v>
      </c>
      <c r="M373" t="s">
        <v>2965</v>
      </c>
      <c r="N373" t="b">
        <v>0</v>
      </c>
      <c r="O373" t="s">
        <v>2993</v>
      </c>
      <c r="P373" t="s">
        <v>3184</v>
      </c>
      <c r="Q373">
        <v>13</v>
      </c>
      <c r="R373" t="s">
        <v>3342</v>
      </c>
      <c r="S373" s="2">
        <v>0</v>
      </c>
      <c r="T373" s="2">
        <v>0</v>
      </c>
      <c r="U373" s="2">
        <v>104375</v>
      </c>
    </row>
    <row r="374" spans="1:21">
      <c r="A374" t="s">
        <v>22</v>
      </c>
      <c r="B374" s="1">
        <f>HYPERLINK("https://cordis.europa.eu/project/id/665403", "665403")</f>
        <v>0</v>
      </c>
      <c r="C374" t="s">
        <v>314</v>
      </c>
      <c r="D374" t="s">
        <v>1126</v>
      </c>
      <c r="E374" t="s">
        <v>1730</v>
      </c>
      <c r="F374" t="s">
        <v>2188</v>
      </c>
      <c r="G374" t="s">
        <v>2446</v>
      </c>
      <c r="H374" t="s">
        <v>2548</v>
      </c>
      <c r="I374" t="s">
        <v>2556</v>
      </c>
      <c r="J374" s="1">
        <f>HYPERLINK("https://ec.europa.eu/info/funding-tenders/opportunities/portal/screen/how-to-participate/org-details/888891581", "888891581")</f>
        <v>0</v>
      </c>
      <c r="K374" t="s">
        <v>2711</v>
      </c>
      <c r="M374" t="s">
        <v>2967</v>
      </c>
      <c r="N374" t="b">
        <v>0</v>
      </c>
      <c r="O374" t="s">
        <v>3004</v>
      </c>
      <c r="P374" t="s">
        <v>3185</v>
      </c>
      <c r="Q374">
        <v>20</v>
      </c>
      <c r="R374" t="s">
        <v>3345</v>
      </c>
      <c r="T374" s="2">
        <v>0</v>
      </c>
      <c r="U374" s="2">
        <v>0</v>
      </c>
    </row>
    <row r="375" spans="1:21">
      <c r="A375" t="s">
        <v>22</v>
      </c>
      <c r="B375" s="1">
        <f>HYPERLINK("https://cordis.europa.eu/project/id/799693", "799693")</f>
        <v>0</v>
      </c>
      <c r="C375" t="s">
        <v>315</v>
      </c>
      <c r="D375" t="s">
        <v>1127</v>
      </c>
      <c r="E375" t="s">
        <v>1731</v>
      </c>
      <c r="F375" t="s">
        <v>2235</v>
      </c>
      <c r="G375" t="s">
        <v>2416</v>
      </c>
      <c r="H375" t="s">
        <v>2548</v>
      </c>
      <c r="I375" t="s">
        <v>2556</v>
      </c>
      <c r="J375" s="1">
        <f>HYPERLINK("https://ec.europa.eu/info/funding-tenders/opportunities/portal/screen/how-to-participate/org-details/998826946", "998826946")</f>
        <v>0</v>
      </c>
      <c r="K375" t="s">
        <v>2617</v>
      </c>
      <c r="L375" t="s">
        <v>2848</v>
      </c>
      <c r="M375" t="s">
        <v>2965</v>
      </c>
      <c r="N375" t="b">
        <v>0</v>
      </c>
      <c r="O375" t="s">
        <v>2998</v>
      </c>
      <c r="P375" t="s">
        <v>3160</v>
      </c>
      <c r="Q375">
        <v>2</v>
      </c>
      <c r="R375" t="s">
        <v>3345</v>
      </c>
      <c r="T375" s="2">
        <v>0</v>
      </c>
    </row>
    <row r="376" spans="1:21">
      <c r="A376" t="s">
        <v>22</v>
      </c>
      <c r="B376" s="1">
        <f>HYPERLINK("https://cordis.europa.eu/project/id/661122", "661122")</f>
        <v>0</v>
      </c>
      <c r="C376" t="s">
        <v>316</v>
      </c>
      <c r="D376" t="s">
        <v>1128</v>
      </c>
      <c r="E376" t="s">
        <v>1732</v>
      </c>
      <c r="F376" t="s">
        <v>2236</v>
      </c>
      <c r="G376" t="s">
        <v>2447</v>
      </c>
      <c r="H376" t="s">
        <v>2548</v>
      </c>
      <c r="I376" t="s">
        <v>2556</v>
      </c>
      <c r="J376" s="1">
        <f>HYPERLINK("https://ec.europa.eu/info/funding-tenders/opportunities/portal/screen/how-to-participate/org-details/988059752", "988059752")</f>
        <v>0</v>
      </c>
      <c r="K376" t="s">
        <v>2564</v>
      </c>
      <c r="L376" t="s">
        <v>2809</v>
      </c>
      <c r="M376" t="s">
        <v>2965</v>
      </c>
      <c r="N376" t="b">
        <v>0</v>
      </c>
      <c r="O376" t="s">
        <v>2998</v>
      </c>
      <c r="P376" t="s">
        <v>3165</v>
      </c>
      <c r="Q376">
        <v>2</v>
      </c>
      <c r="R376" t="s">
        <v>3345</v>
      </c>
      <c r="T376" s="2">
        <v>0</v>
      </c>
    </row>
    <row r="377" spans="1:21">
      <c r="A377" t="s">
        <v>22</v>
      </c>
      <c r="B377" s="1">
        <f>HYPERLINK("https://cordis.europa.eu/project/id/862820", "862820")</f>
        <v>0</v>
      </c>
      <c r="C377" t="s">
        <v>317</v>
      </c>
      <c r="D377" t="s">
        <v>1129</v>
      </c>
      <c r="E377" t="s">
        <v>1733</v>
      </c>
      <c r="F377" t="s">
        <v>2227</v>
      </c>
      <c r="G377" t="s">
        <v>2428</v>
      </c>
      <c r="H377" t="s">
        <v>2548</v>
      </c>
      <c r="I377" t="s">
        <v>2556</v>
      </c>
      <c r="J377" s="1">
        <f>HYPERLINK("https://ec.europa.eu/info/funding-tenders/opportunities/portal/screen/how-to-participate/org-details/902158977", "902158977")</f>
        <v>0</v>
      </c>
      <c r="K377" t="s">
        <v>2712</v>
      </c>
      <c r="M377" t="s">
        <v>2967</v>
      </c>
      <c r="N377" t="b">
        <v>0</v>
      </c>
      <c r="O377" t="s">
        <v>2994</v>
      </c>
      <c r="P377" t="s">
        <v>3186</v>
      </c>
      <c r="Q377">
        <v>21</v>
      </c>
      <c r="R377" t="s">
        <v>3342</v>
      </c>
      <c r="S377" s="2">
        <v>0</v>
      </c>
      <c r="T377" s="2">
        <v>0</v>
      </c>
      <c r="U377" s="2">
        <v>135000</v>
      </c>
    </row>
    <row r="378" spans="1:21">
      <c r="A378" t="s">
        <v>22</v>
      </c>
      <c r="B378" s="1">
        <f>HYPERLINK("https://cordis.europa.eu/project/id/101023635", "101023635")</f>
        <v>0</v>
      </c>
      <c r="C378" t="s">
        <v>318</v>
      </c>
      <c r="D378" t="s">
        <v>1130</v>
      </c>
      <c r="E378" t="s">
        <v>1691</v>
      </c>
      <c r="F378" t="s">
        <v>2214</v>
      </c>
      <c r="G378" t="s">
        <v>2424</v>
      </c>
      <c r="H378" t="s">
        <v>2549</v>
      </c>
      <c r="I378" t="s">
        <v>2557</v>
      </c>
      <c r="J378" s="1">
        <f>HYPERLINK("https://ec.europa.eu/info/funding-tenders/opportunities/portal/screen/how-to-participate/org-details/999873673", "999873673")</f>
        <v>0</v>
      </c>
      <c r="K378" t="s">
        <v>2578</v>
      </c>
      <c r="M378" t="s">
        <v>2965</v>
      </c>
      <c r="N378" t="b">
        <v>0</v>
      </c>
      <c r="O378" t="s">
        <v>2997</v>
      </c>
      <c r="P378" t="s">
        <v>3166</v>
      </c>
      <c r="Q378">
        <v>2</v>
      </c>
      <c r="R378" t="s">
        <v>3345</v>
      </c>
      <c r="T378" s="2">
        <v>0</v>
      </c>
    </row>
    <row r="379" spans="1:21">
      <c r="A379" t="s">
        <v>22</v>
      </c>
      <c r="B379" s="1">
        <f>HYPERLINK("https://cordis.europa.eu/project/id/660391", "660391")</f>
        <v>0</v>
      </c>
      <c r="C379" t="s">
        <v>319</v>
      </c>
      <c r="D379" t="s">
        <v>1131</v>
      </c>
      <c r="E379" t="s">
        <v>1734</v>
      </c>
      <c r="F379" t="s">
        <v>1757</v>
      </c>
      <c r="G379" t="s">
        <v>2448</v>
      </c>
      <c r="H379" t="s">
        <v>2549</v>
      </c>
      <c r="I379" t="s">
        <v>2557</v>
      </c>
      <c r="J379" s="1">
        <f>HYPERLINK("https://ec.europa.eu/info/funding-tenders/opportunities/portal/screen/how-to-participate/org-details/997692046", "997692046")</f>
        <v>0</v>
      </c>
      <c r="K379" t="s">
        <v>2680</v>
      </c>
      <c r="L379" t="s">
        <v>2902</v>
      </c>
      <c r="M379" t="s">
        <v>2966</v>
      </c>
      <c r="N379" t="b">
        <v>0</v>
      </c>
      <c r="O379" t="s">
        <v>2998</v>
      </c>
      <c r="P379" t="s">
        <v>3165</v>
      </c>
      <c r="Q379">
        <v>2</v>
      </c>
      <c r="R379" t="s">
        <v>3345</v>
      </c>
      <c r="T379" s="2">
        <v>0</v>
      </c>
    </row>
    <row r="380" spans="1:21">
      <c r="A380" t="s">
        <v>22</v>
      </c>
      <c r="B380" s="1">
        <f>HYPERLINK("https://cordis.europa.eu/project/id/702408", "702408")</f>
        <v>0</v>
      </c>
      <c r="C380" t="s">
        <v>320</v>
      </c>
      <c r="D380" t="s">
        <v>1132</v>
      </c>
      <c r="E380" t="s">
        <v>1735</v>
      </c>
      <c r="F380" t="s">
        <v>2184</v>
      </c>
      <c r="G380" t="s">
        <v>2449</v>
      </c>
      <c r="H380" t="s">
        <v>2548</v>
      </c>
      <c r="I380" t="s">
        <v>2556</v>
      </c>
      <c r="J380" s="1">
        <f>HYPERLINK("https://ec.europa.eu/info/funding-tenders/opportunities/portal/screen/how-to-participate/org-details/998225740", "998225740")</f>
        <v>0</v>
      </c>
      <c r="K380" t="s">
        <v>2637</v>
      </c>
      <c r="M380" t="s">
        <v>2965</v>
      </c>
      <c r="N380" t="b">
        <v>0</v>
      </c>
      <c r="O380" t="s">
        <v>2998</v>
      </c>
      <c r="P380" t="s">
        <v>3164</v>
      </c>
      <c r="Q380">
        <v>2</v>
      </c>
      <c r="R380" t="s">
        <v>3345</v>
      </c>
      <c r="T380" s="2">
        <v>0</v>
      </c>
    </row>
    <row r="381" spans="1:21">
      <c r="A381" t="s">
        <v>22</v>
      </c>
      <c r="B381" s="1">
        <f>HYPERLINK("https://cordis.europa.eu/project/id/840946", "840946")</f>
        <v>0</v>
      </c>
      <c r="C381" t="s">
        <v>60</v>
      </c>
      <c r="D381" t="s">
        <v>1133</v>
      </c>
      <c r="E381" t="s">
        <v>1736</v>
      </c>
      <c r="F381" t="s">
        <v>2205</v>
      </c>
      <c r="G381" t="s">
        <v>2442</v>
      </c>
      <c r="H381" t="s">
        <v>2549</v>
      </c>
      <c r="I381" t="s">
        <v>2557</v>
      </c>
      <c r="J381" s="1">
        <f>HYPERLINK("https://ec.europa.eu/info/funding-tenders/opportunities/portal/screen/how-to-participate/org-details/999873673", "999873673")</f>
        <v>0</v>
      </c>
      <c r="K381" t="s">
        <v>2578</v>
      </c>
      <c r="M381" t="s">
        <v>2965</v>
      </c>
      <c r="N381" t="b">
        <v>0</v>
      </c>
      <c r="O381" t="s">
        <v>2997</v>
      </c>
      <c r="P381" t="s">
        <v>3158</v>
      </c>
      <c r="Q381">
        <v>2</v>
      </c>
      <c r="R381" t="s">
        <v>3345</v>
      </c>
      <c r="T381" s="2">
        <v>0</v>
      </c>
    </row>
    <row r="382" spans="1:21">
      <c r="A382" t="s">
        <v>22</v>
      </c>
      <c r="B382" s="1">
        <f>HYPERLINK("https://cordis.europa.eu/project/id/813095", "813095")</f>
        <v>0</v>
      </c>
      <c r="C382" t="s">
        <v>321</v>
      </c>
      <c r="D382" t="s">
        <v>1134</v>
      </c>
      <c r="E382" t="s">
        <v>1737</v>
      </c>
      <c r="F382" t="s">
        <v>2237</v>
      </c>
      <c r="G382" t="s">
        <v>2450</v>
      </c>
      <c r="H382" t="s">
        <v>2548</v>
      </c>
      <c r="I382" t="s">
        <v>2556</v>
      </c>
      <c r="J382" s="1">
        <f>HYPERLINK("https://ec.europa.eu/info/funding-tenders/opportunities/portal/screen/how-to-participate/org-details/909457742", "909457742")</f>
        <v>0</v>
      </c>
      <c r="K382" t="s">
        <v>2713</v>
      </c>
      <c r="L382" t="s">
        <v>2922</v>
      </c>
      <c r="M382" t="s">
        <v>2967</v>
      </c>
      <c r="N382" t="b">
        <v>0</v>
      </c>
      <c r="O382" t="s">
        <v>3005</v>
      </c>
      <c r="P382" t="s">
        <v>3187</v>
      </c>
      <c r="Q382">
        <v>997</v>
      </c>
      <c r="R382" t="s">
        <v>3345</v>
      </c>
      <c r="T382" s="2">
        <v>0</v>
      </c>
      <c r="U382" s="2">
        <v>0</v>
      </c>
    </row>
    <row r="383" spans="1:21">
      <c r="A383" t="s">
        <v>22</v>
      </c>
      <c r="B383" s="1">
        <f>HYPERLINK("https://cordis.europa.eu/project/id/777717", "777717")</f>
        <v>0</v>
      </c>
      <c r="C383" t="s">
        <v>322</v>
      </c>
      <c r="D383" t="s">
        <v>1135</v>
      </c>
      <c r="E383" t="s">
        <v>1738</v>
      </c>
      <c r="F383" t="s">
        <v>2190</v>
      </c>
      <c r="G383" t="s">
        <v>2442</v>
      </c>
      <c r="H383" t="s">
        <v>2548</v>
      </c>
      <c r="I383" t="s">
        <v>2556</v>
      </c>
      <c r="J383" s="1">
        <f>HYPERLINK("https://ec.europa.eu/info/funding-tenders/opportunities/portal/screen/how-to-participate/org-details/968922622", "968922622")</f>
        <v>0</v>
      </c>
      <c r="K383" t="s">
        <v>2700</v>
      </c>
      <c r="L383" t="s">
        <v>2700</v>
      </c>
      <c r="M383" t="s">
        <v>2965</v>
      </c>
      <c r="N383" t="b">
        <v>0</v>
      </c>
      <c r="O383" t="s">
        <v>3003</v>
      </c>
      <c r="P383" t="s">
        <v>3173</v>
      </c>
      <c r="Q383">
        <v>11</v>
      </c>
      <c r="R383" t="s">
        <v>3345</v>
      </c>
      <c r="T383" s="2">
        <v>0</v>
      </c>
      <c r="U383" s="2">
        <v>0</v>
      </c>
    </row>
    <row r="384" spans="1:21">
      <c r="A384" t="s">
        <v>22</v>
      </c>
      <c r="B384" s="1">
        <f>HYPERLINK("https://cordis.europa.eu/project/id/642575", "642575")</f>
        <v>0</v>
      </c>
      <c r="C384" t="s">
        <v>323</v>
      </c>
      <c r="D384" t="s">
        <v>1136</v>
      </c>
      <c r="E384" t="s">
        <v>1739</v>
      </c>
      <c r="F384" t="s">
        <v>2222</v>
      </c>
      <c r="G384" t="s">
        <v>2387</v>
      </c>
      <c r="H384" t="s">
        <v>2548</v>
      </c>
      <c r="I384" t="s">
        <v>2556</v>
      </c>
      <c r="J384" s="1">
        <f>HYPERLINK("https://ec.europa.eu/info/funding-tenders/opportunities/portal/screen/how-to-participate/org-details/958686309", "958686309")</f>
        <v>0</v>
      </c>
      <c r="K384" t="s">
        <v>2714</v>
      </c>
      <c r="L384" t="s">
        <v>2923</v>
      </c>
      <c r="N384" t="b">
        <v>0</v>
      </c>
      <c r="O384" t="s">
        <v>3005</v>
      </c>
      <c r="P384" t="s">
        <v>3188</v>
      </c>
      <c r="Q384">
        <v>25</v>
      </c>
      <c r="R384" t="s">
        <v>3345</v>
      </c>
      <c r="T384" s="2">
        <v>0</v>
      </c>
      <c r="U384" s="2">
        <v>0</v>
      </c>
    </row>
    <row r="385" spans="1:21">
      <c r="A385" t="s">
        <v>22</v>
      </c>
      <c r="B385" s="1">
        <f>HYPERLINK("https://cordis.europa.eu/project/id/794837", "794837")</f>
        <v>0</v>
      </c>
      <c r="C385" t="s">
        <v>324</v>
      </c>
      <c r="D385" t="s">
        <v>1137</v>
      </c>
      <c r="E385" t="s">
        <v>1740</v>
      </c>
      <c r="F385" t="s">
        <v>2189</v>
      </c>
      <c r="G385" t="s">
        <v>2446</v>
      </c>
      <c r="H385" t="s">
        <v>2548</v>
      </c>
      <c r="I385" t="s">
        <v>2556</v>
      </c>
      <c r="J385" s="1">
        <f>HYPERLINK("https://ec.europa.eu/info/funding-tenders/opportunities/portal/screen/how-to-participate/org-details/998804636", "998804636")</f>
        <v>0</v>
      </c>
      <c r="K385" t="s">
        <v>2612</v>
      </c>
      <c r="L385" t="s">
        <v>2845</v>
      </c>
      <c r="M385" t="s">
        <v>2965</v>
      </c>
      <c r="N385" t="b">
        <v>0</v>
      </c>
      <c r="O385" t="s">
        <v>2998</v>
      </c>
      <c r="P385" t="s">
        <v>3160</v>
      </c>
      <c r="Q385">
        <v>2</v>
      </c>
      <c r="R385" t="s">
        <v>3345</v>
      </c>
      <c r="T385" s="2">
        <v>0</v>
      </c>
    </row>
    <row r="386" spans="1:21">
      <c r="A386" t="s">
        <v>22</v>
      </c>
      <c r="B386" s="1">
        <f>HYPERLINK("https://cordis.europa.eu/project/id/873185", "873185")</f>
        <v>0</v>
      </c>
      <c r="C386" t="s">
        <v>325</v>
      </c>
      <c r="D386" t="s">
        <v>1138</v>
      </c>
      <c r="E386" t="s">
        <v>1741</v>
      </c>
      <c r="F386" t="s">
        <v>1765</v>
      </c>
      <c r="G386" t="s">
        <v>2405</v>
      </c>
      <c r="H386" t="s">
        <v>2551</v>
      </c>
      <c r="I386" t="s">
        <v>2559</v>
      </c>
      <c r="J386" s="1">
        <f>HYPERLINK("https://ec.europa.eu/info/funding-tenders/opportunities/portal/screen/how-to-participate/org-details/997324028", "997324028")</f>
        <v>0</v>
      </c>
      <c r="K386" t="s">
        <v>2589</v>
      </c>
      <c r="L386" t="s">
        <v>2829</v>
      </c>
      <c r="M386" t="s">
        <v>2965</v>
      </c>
      <c r="N386" t="b">
        <v>0</v>
      </c>
      <c r="O386" t="s">
        <v>3003</v>
      </c>
      <c r="P386" t="s">
        <v>3189</v>
      </c>
      <c r="Q386">
        <v>7</v>
      </c>
      <c r="R386" t="s">
        <v>3345</v>
      </c>
      <c r="T386" s="2">
        <v>0</v>
      </c>
      <c r="U386" s="2">
        <v>308200</v>
      </c>
    </row>
    <row r="387" spans="1:21">
      <c r="A387" t="s">
        <v>22</v>
      </c>
      <c r="B387" s="1">
        <f>HYPERLINK("https://cordis.europa.eu/project/id/873185", "873185")</f>
        <v>0</v>
      </c>
      <c r="C387" t="s">
        <v>325</v>
      </c>
      <c r="D387" t="s">
        <v>1138</v>
      </c>
      <c r="E387" t="s">
        <v>1741</v>
      </c>
      <c r="F387" t="s">
        <v>1765</v>
      </c>
      <c r="G387" t="s">
        <v>2405</v>
      </c>
      <c r="H387" t="s">
        <v>2552</v>
      </c>
      <c r="I387" t="s">
        <v>2560</v>
      </c>
      <c r="J387" s="1">
        <f>HYPERLINK("https://ec.europa.eu/info/funding-tenders/opportunities/portal/screen/how-to-participate/org-details/927459875", "927459875")</f>
        <v>0</v>
      </c>
      <c r="K387" t="s">
        <v>2715</v>
      </c>
      <c r="L387" t="s">
        <v>2924</v>
      </c>
      <c r="M387" t="s">
        <v>2966</v>
      </c>
      <c r="N387" t="b">
        <v>1</v>
      </c>
      <c r="O387" t="s">
        <v>3003</v>
      </c>
      <c r="P387" t="s">
        <v>3189</v>
      </c>
      <c r="Q387">
        <v>9</v>
      </c>
      <c r="R387" t="s">
        <v>3345</v>
      </c>
      <c r="T387" s="2">
        <v>0</v>
      </c>
      <c r="U387" s="2">
        <v>55200</v>
      </c>
    </row>
    <row r="388" spans="1:21">
      <c r="A388" t="s">
        <v>22</v>
      </c>
      <c r="B388" s="1">
        <f>HYPERLINK("https://cordis.europa.eu/project/id/873185", "873185")</f>
        <v>0</v>
      </c>
      <c r="C388" t="s">
        <v>325</v>
      </c>
      <c r="D388" t="s">
        <v>1138</v>
      </c>
      <c r="E388" t="s">
        <v>1741</v>
      </c>
      <c r="F388" t="s">
        <v>1765</v>
      </c>
      <c r="G388" t="s">
        <v>2405</v>
      </c>
      <c r="H388" t="s">
        <v>2552</v>
      </c>
      <c r="I388" t="s">
        <v>2560</v>
      </c>
      <c r="J388" s="1">
        <f>HYPERLINK("https://ec.europa.eu/info/funding-tenders/opportunities/portal/screen/how-to-participate/org-details/906636885", "906636885")</f>
        <v>0</v>
      </c>
      <c r="K388" t="s">
        <v>2716</v>
      </c>
      <c r="M388" t="s">
        <v>2969</v>
      </c>
      <c r="N388" t="b">
        <v>0</v>
      </c>
      <c r="O388" t="s">
        <v>3003</v>
      </c>
      <c r="P388" t="s">
        <v>3189</v>
      </c>
      <c r="Q388">
        <v>10</v>
      </c>
      <c r="R388" t="s">
        <v>3345</v>
      </c>
      <c r="T388" s="2">
        <v>0</v>
      </c>
      <c r="U388" s="2">
        <v>220800</v>
      </c>
    </row>
    <row r="389" spans="1:21">
      <c r="A389" t="s">
        <v>22</v>
      </c>
      <c r="B389" s="1">
        <f>HYPERLINK("https://cordis.europa.eu/project/id/873185", "873185")</f>
        <v>0</v>
      </c>
      <c r="C389" t="s">
        <v>325</v>
      </c>
      <c r="D389" t="s">
        <v>1138</v>
      </c>
      <c r="E389" t="s">
        <v>1741</v>
      </c>
      <c r="F389" t="s">
        <v>1765</v>
      </c>
      <c r="G389" t="s">
        <v>2405</v>
      </c>
      <c r="H389" t="s">
        <v>2555</v>
      </c>
      <c r="I389" t="s">
        <v>2563</v>
      </c>
      <c r="J389" s="1">
        <f>HYPERLINK("https://ec.europa.eu/info/funding-tenders/opportunities/portal/screen/how-to-participate/org-details/900285519", "900285519")</f>
        <v>0</v>
      </c>
      <c r="K389" t="s">
        <v>2717</v>
      </c>
      <c r="M389" t="s">
        <v>2965</v>
      </c>
      <c r="N389" t="b">
        <v>0</v>
      </c>
      <c r="O389" t="s">
        <v>3003</v>
      </c>
      <c r="P389" t="s">
        <v>3189</v>
      </c>
      <c r="Q389">
        <v>8</v>
      </c>
      <c r="R389" t="s">
        <v>3345</v>
      </c>
      <c r="T389" s="2">
        <v>0</v>
      </c>
      <c r="U389" s="2">
        <v>78200</v>
      </c>
    </row>
    <row r="390" spans="1:21">
      <c r="A390" t="s">
        <v>22</v>
      </c>
      <c r="B390" s="1">
        <f>HYPERLINK("https://cordis.europa.eu/project/id/896746", "896746")</f>
        <v>0</v>
      </c>
      <c r="C390" t="s">
        <v>326</v>
      </c>
      <c r="D390" t="s">
        <v>1139</v>
      </c>
      <c r="E390" t="s">
        <v>1742</v>
      </c>
      <c r="F390" t="s">
        <v>2201</v>
      </c>
      <c r="G390" t="s">
        <v>2451</v>
      </c>
      <c r="H390" t="s">
        <v>2548</v>
      </c>
      <c r="I390" t="s">
        <v>2556</v>
      </c>
      <c r="J390" s="1">
        <f>HYPERLINK("https://ec.europa.eu/info/funding-tenders/opportunities/portal/screen/how-to-participate/org-details/998908426", "998908426")</f>
        <v>0</v>
      </c>
      <c r="K390" t="s">
        <v>2569</v>
      </c>
      <c r="M390" t="s">
        <v>2965</v>
      </c>
      <c r="N390" t="b">
        <v>0</v>
      </c>
      <c r="O390" t="s">
        <v>2997</v>
      </c>
      <c r="P390" t="s">
        <v>3162</v>
      </c>
      <c r="Q390">
        <v>2</v>
      </c>
      <c r="R390" t="s">
        <v>3345</v>
      </c>
      <c r="T390" s="2">
        <v>0</v>
      </c>
    </row>
    <row r="391" spans="1:21">
      <c r="A391" t="s">
        <v>22</v>
      </c>
      <c r="B391" s="1">
        <f>HYPERLINK("https://cordis.europa.eu/project/id/101000302", "101000302")</f>
        <v>0</v>
      </c>
      <c r="C391" t="s">
        <v>327</v>
      </c>
      <c r="D391" t="s">
        <v>1140</v>
      </c>
      <c r="E391" t="s">
        <v>1743</v>
      </c>
      <c r="F391" t="s">
        <v>2216</v>
      </c>
      <c r="G391" t="s">
        <v>2424</v>
      </c>
      <c r="H391" t="s">
        <v>2548</v>
      </c>
      <c r="I391" t="s">
        <v>2556</v>
      </c>
      <c r="J391" s="1">
        <f>HYPERLINK("https://ec.europa.eu/info/funding-tenders/opportunities/portal/screen/how-to-participate/org-details/998804636", "998804636")</f>
        <v>0</v>
      </c>
      <c r="K391" t="s">
        <v>2612</v>
      </c>
      <c r="L391" t="s">
        <v>2845</v>
      </c>
      <c r="M391" t="s">
        <v>2965</v>
      </c>
      <c r="N391" t="b">
        <v>0</v>
      </c>
      <c r="O391" t="s">
        <v>2993</v>
      </c>
      <c r="P391" t="s">
        <v>3190</v>
      </c>
      <c r="Q391">
        <v>5</v>
      </c>
      <c r="R391" t="s">
        <v>3342</v>
      </c>
      <c r="S391" s="2">
        <v>168750</v>
      </c>
      <c r="T391" s="2">
        <v>168750</v>
      </c>
      <c r="U391" s="2">
        <v>168750</v>
      </c>
    </row>
    <row r="392" spans="1:21">
      <c r="A392" t="s">
        <v>22</v>
      </c>
      <c r="B392" s="1">
        <f>HYPERLINK("https://cordis.europa.eu/project/id/727153", "727153")</f>
        <v>0</v>
      </c>
      <c r="C392" t="s">
        <v>328</v>
      </c>
      <c r="D392" t="s">
        <v>1141</v>
      </c>
      <c r="E392" t="s">
        <v>1744</v>
      </c>
      <c r="F392" t="s">
        <v>2194</v>
      </c>
      <c r="G392" t="s">
        <v>2438</v>
      </c>
      <c r="H392" t="s">
        <v>2548</v>
      </c>
      <c r="I392" t="s">
        <v>2556</v>
      </c>
      <c r="J392" s="1">
        <f>HYPERLINK("https://ec.europa.eu/info/funding-tenders/opportunities/portal/screen/how-to-participate/org-details/968922622", "968922622")</f>
        <v>0</v>
      </c>
      <c r="K392" t="s">
        <v>2700</v>
      </c>
      <c r="L392" t="s">
        <v>2700</v>
      </c>
      <c r="M392" t="s">
        <v>2965</v>
      </c>
      <c r="N392" t="b">
        <v>0</v>
      </c>
      <c r="O392" t="s">
        <v>2993</v>
      </c>
      <c r="P392" t="s">
        <v>3191</v>
      </c>
      <c r="Q392">
        <v>3</v>
      </c>
      <c r="R392" t="s">
        <v>3342</v>
      </c>
      <c r="S392" s="2">
        <v>0</v>
      </c>
      <c r="T392" s="2">
        <v>0</v>
      </c>
      <c r="U392" s="2">
        <v>273750</v>
      </c>
    </row>
    <row r="393" spans="1:21">
      <c r="A393" t="s">
        <v>22</v>
      </c>
      <c r="B393" s="1">
        <f>HYPERLINK("https://cordis.europa.eu/project/id/945234", "945234")</f>
        <v>0</v>
      </c>
      <c r="C393" t="s">
        <v>329</v>
      </c>
      <c r="D393" t="s">
        <v>1142</v>
      </c>
      <c r="E393" t="s">
        <v>1745</v>
      </c>
      <c r="F393" t="s">
        <v>2201</v>
      </c>
      <c r="G393" t="s">
        <v>2452</v>
      </c>
      <c r="H393" t="s">
        <v>2548</v>
      </c>
      <c r="I393" t="s">
        <v>2556</v>
      </c>
      <c r="J393" s="1">
        <f>HYPERLINK("https://ec.europa.eu/info/funding-tenders/opportunities/portal/screen/how-to-participate/org-details/904687088", "904687088")</f>
        <v>0</v>
      </c>
      <c r="K393" t="s">
        <v>2718</v>
      </c>
      <c r="M393" t="s">
        <v>2967</v>
      </c>
      <c r="N393" t="b">
        <v>0</v>
      </c>
      <c r="O393" t="s">
        <v>2993</v>
      </c>
      <c r="P393" t="s">
        <v>3192</v>
      </c>
      <c r="Q393">
        <v>14</v>
      </c>
      <c r="R393" t="s">
        <v>3342</v>
      </c>
      <c r="S393" s="2">
        <v>0</v>
      </c>
      <c r="T393" s="2">
        <v>0</v>
      </c>
      <c r="U393" s="2">
        <v>3760000</v>
      </c>
    </row>
    <row r="394" spans="1:21">
      <c r="A394" t="s">
        <v>22</v>
      </c>
      <c r="B394" s="1">
        <f>HYPERLINK("https://cordis.europa.eu/project/id/872053", "872053")</f>
        <v>0</v>
      </c>
      <c r="C394" t="s">
        <v>330</v>
      </c>
      <c r="D394" t="s">
        <v>1143</v>
      </c>
      <c r="E394" t="s">
        <v>1746</v>
      </c>
      <c r="F394" t="s">
        <v>2180</v>
      </c>
      <c r="G394" t="s">
        <v>2403</v>
      </c>
      <c r="H394" t="s">
        <v>2548</v>
      </c>
      <c r="I394" t="s">
        <v>2556</v>
      </c>
      <c r="J394" s="1">
        <f>HYPERLINK("https://ec.europa.eu/info/funding-tenders/opportunities/portal/screen/how-to-participate/org-details/998711419", "998711419")</f>
        <v>0</v>
      </c>
      <c r="K394" t="s">
        <v>2628</v>
      </c>
      <c r="M394" t="s">
        <v>2965</v>
      </c>
      <c r="N394" t="b">
        <v>0</v>
      </c>
      <c r="O394" t="s">
        <v>3003</v>
      </c>
      <c r="P394" t="s">
        <v>3189</v>
      </c>
      <c r="Q394">
        <v>7</v>
      </c>
      <c r="R394" t="s">
        <v>3345</v>
      </c>
      <c r="T394" s="2">
        <v>0</v>
      </c>
      <c r="U394" s="2">
        <v>0</v>
      </c>
    </row>
    <row r="395" spans="1:21">
      <c r="A395" t="s">
        <v>22</v>
      </c>
      <c r="B395" s="1">
        <f>HYPERLINK("https://cordis.europa.eu/project/id/741874", "741874")</f>
        <v>0</v>
      </c>
      <c r="C395" t="s">
        <v>331</v>
      </c>
      <c r="D395" t="s">
        <v>1144</v>
      </c>
      <c r="E395" t="s">
        <v>1747</v>
      </c>
      <c r="F395" t="s">
        <v>2238</v>
      </c>
      <c r="G395" t="s">
        <v>2453</v>
      </c>
      <c r="H395" t="s">
        <v>2548</v>
      </c>
      <c r="I395" t="s">
        <v>2556</v>
      </c>
      <c r="J395" s="1">
        <f>HYPERLINK("https://ec.europa.eu/info/funding-tenders/opportunities/portal/screen/how-to-participate/org-details/960368386", "960368386")</f>
        <v>0</v>
      </c>
      <c r="K395" t="s">
        <v>2622</v>
      </c>
      <c r="L395" t="s">
        <v>2853</v>
      </c>
      <c r="M395" t="s">
        <v>2969</v>
      </c>
      <c r="N395" t="b">
        <v>0</v>
      </c>
      <c r="O395" t="s">
        <v>2992</v>
      </c>
      <c r="P395" t="s">
        <v>3193</v>
      </c>
      <c r="Q395">
        <v>14</v>
      </c>
      <c r="R395" t="s">
        <v>3342</v>
      </c>
      <c r="S395" s="2">
        <v>0</v>
      </c>
      <c r="T395" s="2">
        <v>0</v>
      </c>
      <c r="U395" s="2">
        <v>1129511</v>
      </c>
    </row>
    <row r="396" spans="1:21">
      <c r="A396" t="s">
        <v>22</v>
      </c>
      <c r="B396" s="1">
        <f>HYPERLINK("https://cordis.europa.eu/project/id/741874", "741874")</f>
        <v>0</v>
      </c>
      <c r="C396" t="s">
        <v>331</v>
      </c>
      <c r="D396" t="s">
        <v>1144</v>
      </c>
      <c r="E396" t="s">
        <v>1747</v>
      </c>
      <c r="F396" t="s">
        <v>2238</v>
      </c>
      <c r="G396" t="s">
        <v>2453</v>
      </c>
      <c r="H396" t="s">
        <v>2548</v>
      </c>
      <c r="I396" t="s">
        <v>2556</v>
      </c>
      <c r="J396" s="1">
        <f>HYPERLINK("https://ec.europa.eu/info/funding-tenders/opportunities/portal/screen/how-to-participate/org-details/966514403", "966514403")</f>
        <v>0</v>
      </c>
      <c r="K396" t="s">
        <v>2635</v>
      </c>
      <c r="L396" t="s">
        <v>2865</v>
      </c>
      <c r="M396" t="s">
        <v>2969</v>
      </c>
      <c r="N396" t="b">
        <v>0</v>
      </c>
      <c r="O396" t="s">
        <v>2992</v>
      </c>
      <c r="P396" t="s">
        <v>3193</v>
      </c>
      <c r="Q396">
        <v>13</v>
      </c>
      <c r="R396" t="s">
        <v>3342</v>
      </c>
      <c r="S396" s="2">
        <v>0</v>
      </c>
      <c r="T396" s="2">
        <v>0</v>
      </c>
      <c r="U396" s="2">
        <v>0</v>
      </c>
    </row>
    <row r="397" spans="1:21">
      <c r="A397" t="s">
        <v>22</v>
      </c>
      <c r="B397" s="1">
        <f>HYPERLINK("https://cordis.europa.eu/project/id/730965", "730965")</f>
        <v>0</v>
      </c>
      <c r="C397" t="s">
        <v>332</v>
      </c>
      <c r="D397" t="s">
        <v>1145</v>
      </c>
      <c r="E397" t="s">
        <v>1748</v>
      </c>
      <c r="F397" t="s">
        <v>2199</v>
      </c>
      <c r="G397" t="s">
        <v>2433</v>
      </c>
      <c r="H397" t="s">
        <v>2548</v>
      </c>
      <c r="I397" t="s">
        <v>2556</v>
      </c>
      <c r="J397" s="1">
        <f>HYPERLINK("https://ec.europa.eu/info/funding-tenders/opportunities/portal/screen/how-to-participate/org-details/998082180", "998082180")</f>
        <v>0</v>
      </c>
      <c r="K397" t="s">
        <v>2565</v>
      </c>
      <c r="M397" t="s">
        <v>2965</v>
      </c>
      <c r="N397" t="b">
        <v>0</v>
      </c>
      <c r="O397" t="s">
        <v>2993</v>
      </c>
      <c r="P397" t="s">
        <v>3194</v>
      </c>
      <c r="Q397">
        <v>4</v>
      </c>
      <c r="R397" t="s">
        <v>3342</v>
      </c>
      <c r="S397" s="2">
        <v>483631</v>
      </c>
      <c r="T397" s="2">
        <v>483631</v>
      </c>
      <c r="U397" s="2">
        <v>483631</v>
      </c>
    </row>
    <row r="398" spans="1:21">
      <c r="A398" t="s">
        <v>22</v>
      </c>
      <c r="B398" s="1">
        <f>HYPERLINK("https://cordis.europa.eu/project/id/642612", "642612")</f>
        <v>0</v>
      </c>
      <c r="C398" t="s">
        <v>333</v>
      </c>
      <c r="D398" t="s">
        <v>1146</v>
      </c>
      <c r="E398" t="s">
        <v>1749</v>
      </c>
      <c r="F398" t="s">
        <v>2222</v>
      </c>
      <c r="G398" t="s">
        <v>2387</v>
      </c>
      <c r="H398" t="s">
        <v>2548</v>
      </c>
      <c r="I398" t="s">
        <v>2556</v>
      </c>
      <c r="J398" s="1">
        <f>HYPERLINK("https://ec.europa.eu/info/funding-tenders/opportunities/portal/screen/how-to-participate/org-details/998082180", "998082180")</f>
        <v>0</v>
      </c>
      <c r="K398" t="s">
        <v>2565</v>
      </c>
      <c r="M398" t="s">
        <v>2965</v>
      </c>
      <c r="N398" t="b">
        <v>0</v>
      </c>
      <c r="O398" t="s">
        <v>3002</v>
      </c>
      <c r="P398" t="s">
        <v>3188</v>
      </c>
      <c r="Q398">
        <v>19</v>
      </c>
      <c r="R398" t="s">
        <v>3345</v>
      </c>
      <c r="T398" s="2">
        <v>0</v>
      </c>
      <c r="U398" s="2">
        <v>0</v>
      </c>
    </row>
    <row r="399" spans="1:21">
      <c r="A399" t="s">
        <v>22</v>
      </c>
      <c r="B399" s="1">
        <f>HYPERLINK("https://cordis.europa.eu/project/id/794925", "794925")</f>
        <v>0</v>
      </c>
      <c r="C399" t="s">
        <v>334</v>
      </c>
      <c r="D399" t="s">
        <v>1147</v>
      </c>
      <c r="E399" t="s">
        <v>1750</v>
      </c>
      <c r="F399" t="s">
        <v>2239</v>
      </c>
      <c r="G399" t="s">
        <v>1950</v>
      </c>
      <c r="H399" t="s">
        <v>2548</v>
      </c>
      <c r="I399" t="s">
        <v>2556</v>
      </c>
      <c r="J399" s="1">
        <f>HYPERLINK("https://ec.europa.eu/info/funding-tenders/opportunities/portal/screen/how-to-participate/org-details/999902773", "999902773")</f>
        <v>0</v>
      </c>
      <c r="K399" t="s">
        <v>2571</v>
      </c>
      <c r="L399" t="s">
        <v>2814</v>
      </c>
      <c r="M399" t="s">
        <v>2965</v>
      </c>
      <c r="N399" t="b">
        <v>0</v>
      </c>
      <c r="O399" t="s">
        <v>2998</v>
      </c>
      <c r="P399" t="s">
        <v>3160</v>
      </c>
      <c r="Q399">
        <v>2</v>
      </c>
      <c r="R399" t="s">
        <v>3345</v>
      </c>
      <c r="T399" s="2">
        <v>0</v>
      </c>
    </row>
    <row r="400" spans="1:21">
      <c r="A400" t="s">
        <v>22</v>
      </c>
      <c r="B400" s="1">
        <f>HYPERLINK("https://cordis.europa.eu/project/id/872549", "872549")</f>
        <v>0</v>
      </c>
      <c r="C400" t="s">
        <v>335</v>
      </c>
      <c r="D400" t="s">
        <v>1148</v>
      </c>
      <c r="E400" t="s">
        <v>1751</v>
      </c>
      <c r="F400" t="s">
        <v>2191</v>
      </c>
      <c r="G400" t="s">
        <v>2393</v>
      </c>
      <c r="H400" t="s">
        <v>2548</v>
      </c>
      <c r="I400" t="s">
        <v>2556</v>
      </c>
      <c r="J400" s="1">
        <f>HYPERLINK("https://ec.europa.eu/info/funding-tenders/opportunities/portal/screen/how-to-participate/org-details/950071060", "950071060")</f>
        <v>0</v>
      </c>
      <c r="K400" t="s">
        <v>2698</v>
      </c>
      <c r="M400" t="s">
        <v>2966</v>
      </c>
      <c r="N400" t="b">
        <v>0</v>
      </c>
      <c r="O400" t="s">
        <v>3003</v>
      </c>
      <c r="P400" t="s">
        <v>3189</v>
      </c>
      <c r="Q400">
        <v>9</v>
      </c>
      <c r="R400" t="s">
        <v>3345</v>
      </c>
      <c r="T400" s="2">
        <v>0</v>
      </c>
      <c r="U400" s="2">
        <v>0</v>
      </c>
    </row>
    <row r="401" spans="1:21">
      <c r="A401" t="s">
        <v>22</v>
      </c>
      <c r="B401" s="1">
        <f>HYPERLINK("https://cordis.europa.eu/project/id/945057", "945057")</f>
        <v>0</v>
      </c>
      <c r="C401" t="s">
        <v>336</v>
      </c>
      <c r="D401" t="s">
        <v>1149</v>
      </c>
      <c r="E401" t="s">
        <v>1752</v>
      </c>
      <c r="F401" t="s">
        <v>1765</v>
      </c>
      <c r="G401" t="s">
        <v>2443</v>
      </c>
      <c r="H401" t="s">
        <v>2548</v>
      </c>
      <c r="I401" t="s">
        <v>2556</v>
      </c>
      <c r="J401" s="1">
        <f>HYPERLINK("https://ec.europa.eu/info/funding-tenders/opportunities/portal/screen/how-to-participate/org-details/904687088", "904687088")</f>
        <v>0</v>
      </c>
      <c r="K401" t="s">
        <v>2718</v>
      </c>
      <c r="M401" t="s">
        <v>2967</v>
      </c>
      <c r="N401" t="b">
        <v>0</v>
      </c>
      <c r="O401" t="s">
        <v>2993</v>
      </c>
      <c r="P401" t="s">
        <v>3192</v>
      </c>
      <c r="Q401">
        <v>11</v>
      </c>
      <c r="R401" t="s">
        <v>3342</v>
      </c>
      <c r="S401" s="2">
        <v>0</v>
      </c>
      <c r="T401" s="2">
        <v>0</v>
      </c>
    </row>
    <row r="402" spans="1:21">
      <c r="A402" t="s">
        <v>22</v>
      </c>
      <c r="B402" s="1">
        <f>HYPERLINK("https://cordis.europa.eu/project/id/659232", "659232")</f>
        <v>0</v>
      </c>
      <c r="C402" t="s">
        <v>337</v>
      </c>
      <c r="D402" t="s">
        <v>1150</v>
      </c>
      <c r="E402" t="s">
        <v>1753</v>
      </c>
      <c r="F402" t="s">
        <v>2240</v>
      </c>
      <c r="G402" t="s">
        <v>2454</v>
      </c>
      <c r="H402" t="s">
        <v>2548</v>
      </c>
      <c r="I402" t="s">
        <v>2556</v>
      </c>
      <c r="J402" s="1">
        <f>HYPERLINK("https://ec.europa.eu/info/funding-tenders/opportunities/portal/screen/how-to-participate/org-details/998826946", "998826946")</f>
        <v>0</v>
      </c>
      <c r="K402" t="s">
        <v>2617</v>
      </c>
      <c r="L402" t="s">
        <v>2848</v>
      </c>
      <c r="M402" t="s">
        <v>2965</v>
      </c>
      <c r="N402" t="b">
        <v>0</v>
      </c>
      <c r="O402" t="s">
        <v>2998</v>
      </c>
      <c r="P402" t="s">
        <v>3165</v>
      </c>
      <c r="Q402">
        <v>2</v>
      </c>
      <c r="R402" t="s">
        <v>3345</v>
      </c>
      <c r="T402" s="2">
        <v>0</v>
      </c>
    </row>
    <row r="403" spans="1:21">
      <c r="A403" t="s">
        <v>22</v>
      </c>
      <c r="B403" s="1">
        <f>HYPERLINK("https://cordis.europa.eu/project/id/674911", "674911")</f>
        <v>0</v>
      </c>
      <c r="C403" t="s">
        <v>338</v>
      </c>
      <c r="D403" t="s">
        <v>1151</v>
      </c>
      <c r="E403" t="s">
        <v>1754</v>
      </c>
      <c r="F403" t="s">
        <v>2188</v>
      </c>
      <c r="G403" t="s">
        <v>2436</v>
      </c>
      <c r="H403" t="s">
        <v>2549</v>
      </c>
      <c r="I403" t="s">
        <v>2557</v>
      </c>
      <c r="J403" s="1">
        <f>HYPERLINK("https://ec.europa.eu/info/funding-tenders/opportunities/portal/screen/how-to-participate/org-details/888895891", "888895891")</f>
        <v>0</v>
      </c>
      <c r="K403" t="s">
        <v>2719</v>
      </c>
      <c r="M403" t="s">
        <v>2967</v>
      </c>
      <c r="N403" t="b">
        <v>0</v>
      </c>
      <c r="O403" t="s">
        <v>3002</v>
      </c>
      <c r="P403" t="s">
        <v>3195</v>
      </c>
      <c r="Q403">
        <v>16</v>
      </c>
      <c r="R403" t="s">
        <v>3345</v>
      </c>
      <c r="T403" s="2">
        <v>0</v>
      </c>
      <c r="U403" s="2">
        <v>0</v>
      </c>
    </row>
    <row r="404" spans="1:21">
      <c r="A404" t="s">
        <v>22</v>
      </c>
      <c r="B404" s="1">
        <f>HYPERLINK("https://cordis.europa.eu/project/id/872427", "872427")</f>
        <v>0</v>
      </c>
      <c r="C404" t="s">
        <v>339</v>
      </c>
      <c r="D404" t="s">
        <v>1152</v>
      </c>
      <c r="E404" t="s">
        <v>1755</v>
      </c>
      <c r="F404" t="s">
        <v>2208</v>
      </c>
      <c r="G404" t="s">
        <v>2451</v>
      </c>
      <c r="H404" t="s">
        <v>2548</v>
      </c>
      <c r="I404" t="s">
        <v>2556</v>
      </c>
      <c r="J404" s="1">
        <f>HYPERLINK("https://ec.europa.eu/info/funding-tenders/opportunities/portal/screen/how-to-participate/org-details/960368386", "960368386")</f>
        <v>0</v>
      </c>
      <c r="K404" t="s">
        <v>2622</v>
      </c>
      <c r="L404" t="s">
        <v>2853</v>
      </c>
      <c r="M404" t="s">
        <v>2969</v>
      </c>
      <c r="N404" t="b">
        <v>0</v>
      </c>
      <c r="O404" t="s">
        <v>2993</v>
      </c>
      <c r="P404" t="s">
        <v>3196</v>
      </c>
      <c r="Q404">
        <v>12</v>
      </c>
      <c r="R404" t="s">
        <v>3342</v>
      </c>
      <c r="S404" s="2">
        <v>0</v>
      </c>
      <c r="T404" s="2">
        <v>0</v>
      </c>
      <c r="U404" s="2">
        <v>151750</v>
      </c>
    </row>
    <row r="405" spans="1:21">
      <c r="A405" t="s">
        <v>22</v>
      </c>
      <c r="B405" s="1">
        <f>HYPERLINK("https://cordis.europa.eu/project/id/872427", "872427")</f>
        <v>0</v>
      </c>
      <c r="C405" t="s">
        <v>339</v>
      </c>
      <c r="D405" t="s">
        <v>1152</v>
      </c>
      <c r="E405" t="s">
        <v>1755</v>
      </c>
      <c r="F405" t="s">
        <v>2208</v>
      </c>
      <c r="G405" t="s">
        <v>2451</v>
      </c>
      <c r="H405" t="s">
        <v>2548</v>
      </c>
      <c r="I405" t="s">
        <v>2556</v>
      </c>
      <c r="J405" s="1">
        <f>HYPERLINK("https://ec.europa.eu/info/funding-tenders/opportunities/portal/screen/how-to-participate/org-details/973066462", "973066462")</f>
        <v>0</v>
      </c>
      <c r="K405" t="s">
        <v>2654</v>
      </c>
      <c r="L405" t="s">
        <v>2880</v>
      </c>
      <c r="M405" t="s">
        <v>2965</v>
      </c>
      <c r="N405" t="b">
        <v>0</v>
      </c>
      <c r="O405" t="s">
        <v>2993</v>
      </c>
      <c r="P405" t="s">
        <v>3196</v>
      </c>
      <c r="Q405">
        <v>11</v>
      </c>
      <c r="R405" t="s">
        <v>3342</v>
      </c>
      <c r="S405" s="2">
        <v>0</v>
      </c>
      <c r="T405" s="2">
        <v>0</v>
      </c>
      <c r="U405" s="2">
        <v>153125</v>
      </c>
    </row>
    <row r="406" spans="1:21">
      <c r="A406" t="s">
        <v>22</v>
      </c>
      <c r="B406" s="1">
        <f>HYPERLINK("https://cordis.europa.eu/project/id/101028507", "101028507")</f>
        <v>0</v>
      </c>
      <c r="C406" t="s">
        <v>340</v>
      </c>
      <c r="D406" t="s">
        <v>1153</v>
      </c>
      <c r="E406" t="s">
        <v>1693</v>
      </c>
      <c r="F406" t="s">
        <v>2241</v>
      </c>
      <c r="G406" t="s">
        <v>2428</v>
      </c>
      <c r="H406" t="s">
        <v>2548</v>
      </c>
      <c r="I406" t="s">
        <v>2556</v>
      </c>
      <c r="J406" s="1">
        <f>HYPERLINK("https://ec.europa.eu/info/funding-tenders/opportunities/portal/screen/how-to-participate/org-details/999845252", "999845252")</f>
        <v>0</v>
      </c>
      <c r="K406" t="s">
        <v>2687</v>
      </c>
      <c r="L406" t="s">
        <v>2908</v>
      </c>
      <c r="M406" t="s">
        <v>2965</v>
      </c>
      <c r="N406" t="b">
        <v>0</v>
      </c>
      <c r="O406" t="s">
        <v>2997</v>
      </c>
      <c r="P406" t="s">
        <v>3166</v>
      </c>
      <c r="Q406">
        <v>2</v>
      </c>
      <c r="R406" t="s">
        <v>3345</v>
      </c>
      <c r="T406" s="2">
        <v>0</v>
      </c>
    </row>
    <row r="407" spans="1:21">
      <c r="A407" t="s">
        <v>22</v>
      </c>
      <c r="B407" s="1">
        <f>HYPERLINK("https://cordis.europa.eu/project/id/645361", "645361")</f>
        <v>0</v>
      </c>
      <c r="C407" t="s">
        <v>341</v>
      </c>
      <c r="D407" t="s">
        <v>1154</v>
      </c>
      <c r="E407" t="s">
        <v>1756</v>
      </c>
      <c r="F407" t="s">
        <v>2242</v>
      </c>
      <c r="G407" t="s">
        <v>2455</v>
      </c>
      <c r="H407" t="s">
        <v>2548</v>
      </c>
      <c r="I407" t="s">
        <v>2556</v>
      </c>
      <c r="J407" s="1">
        <f>HYPERLINK("https://ec.europa.eu/info/funding-tenders/opportunities/portal/screen/how-to-participate/org-details/998082180", "998082180")</f>
        <v>0</v>
      </c>
      <c r="K407" t="s">
        <v>2565</v>
      </c>
      <c r="M407" t="s">
        <v>2965</v>
      </c>
      <c r="N407" t="b">
        <v>0</v>
      </c>
      <c r="O407" t="s">
        <v>2993</v>
      </c>
      <c r="P407" t="s">
        <v>3197</v>
      </c>
      <c r="Q407">
        <v>5</v>
      </c>
      <c r="R407" t="s">
        <v>3342</v>
      </c>
      <c r="S407" s="2">
        <v>0</v>
      </c>
      <c r="T407" s="2">
        <v>0</v>
      </c>
      <c r="U407" s="2">
        <v>153750</v>
      </c>
    </row>
    <row r="408" spans="1:21">
      <c r="A408" t="s">
        <v>22</v>
      </c>
      <c r="B408" s="1">
        <f>HYPERLINK("https://cordis.europa.eu/project/id/656607", "656607")</f>
        <v>0</v>
      </c>
      <c r="C408" t="s">
        <v>342</v>
      </c>
      <c r="D408" t="s">
        <v>1155</v>
      </c>
      <c r="E408" t="s">
        <v>1757</v>
      </c>
      <c r="F408" t="s">
        <v>2188</v>
      </c>
      <c r="G408" t="s">
        <v>2387</v>
      </c>
      <c r="H408" t="s">
        <v>2548</v>
      </c>
      <c r="I408" t="s">
        <v>2556</v>
      </c>
      <c r="J408" s="1">
        <f>HYPERLINK("https://ec.europa.eu/info/funding-tenders/opportunities/portal/screen/how-to-participate/org-details/997292018", "997292018")</f>
        <v>0</v>
      </c>
      <c r="K408" t="s">
        <v>2606</v>
      </c>
      <c r="L408" t="s">
        <v>2841</v>
      </c>
      <c r="M408" t="s">
        <v>2965</v>
      </c>
      <c r="N408" t="b">
        <v>0</v>
      </c>
      <c r="O408" t="s">
        <v>2998</v>
      </c>
      <c r="P408" t="s">
        <v>3165</v>
      </c>
      <c r="Q408">
        <v>2</v>
      </c>
      <c r="R408" t="s">
        <v>3345</v>
      </c>
      <c r="T408" s="2">
        <v>0</v>
      </c>
    </row>
    <row r="409" spans="1:21">
      <c r="A409" t="s">
        <v>22</v>
      </c>
      <c r="B409" s="1">
        <f>HYPERLINK("https://cordis.europa.eu/project/id/101027828", "101027828")</f>
        <v>0</v>
      </c>
      <c r="C409" t="s">
        <v>343</v>
      </c>
      <c r="D409" t="s">
        <v>1156</v>
      </c>
      <c r="E409" t="s">
        <v>1758</v>
      </c>
      <c r="F409" t="s">
        <v>2243</v>
      </c>
      <c r="G409" t="s">
        <v>2435</v>
      </c>
      <c r="H409" t="s">
        <v>2548</v>
      </c>
      <c r="I409" t="s">
        <v>2556</v>
      </c>
      <c r="J409" s="1">
        <f>HYPERLINK("https://ec.europa.eu/info/funding-tenders/opportunities/portal/screen/how-to-participate/org-details/998826946", "998826946")</f>
        <v>0</v>
      </c>
      <c r="K409" t="s">
        <v>2617</v>
      </c>
      <c r="L409" t="s">
        <v>2848</v>
      </c>
      <c r="M409" t="s">
        <v>2965</v>
      </c>
      <c r="N409" t="b">
        <v>0</v>
      </c>
      <c r="O409" t="s">
        <v>2998</v>
      </c>
      <c r="P409" t="s">
        <v>3166</v>
      </c>
      <c r="Q409">
        <v>2</v>
      </c>
      <c r="R409" t="s">
        <v>3345</v>
      </c>
      <c r="T409" s="2">
        <v>0</v>
      </c>
    </row>
    <row r="410" spans="1:21">
      <c r="A410" t="s">
        <v>22</v>
      </c>
      <c r="B410" s="1">
        <f>HYPERLINK("https://cordis.europa.eu/project/id/869580", "869580")</f>
        <v>0</v>
      </c>
      <c r="C410" t="s">
        <v>344</v>
      </c>
      <c r="D410" t="s">
        <v>1157</v>
      </c>
      <c r="E410" t="s">
        <v>1759</v>
      </c>
      <c r="F410" t="s">
        <v>2231</v>
      </c>
      <c r="G410" t="s">
        <v>2456</v>
      </c>
      <c r="H410" t="s">
        <v>2548</v>
      </c>
      <c r="I410" t="s">
        <v>2556</v>
      </c>
      <c r="J410" s="1">
        <f>HYPERLINK("https://ec.europa.eu/info/funding-tenders/opportunities/portal/screen/how-to-participate/org-details/998539535", "998539535")</f>
        <v>0</v>
      </c>
      <c r="K410" t="s">
        <v>2662</v>
      </c>
      <c r="L410" t="s">
        <v>2662</v>
      </c>
      <c r="M410" t="s">
        <v>2965</v>
      </c>
      <c r="N410" t="b">
        <v>0</v>
      </c>
      <c r="O410" t="s">
        <v>2993</v>
      </c>
      <c r="P410" t="s">
        <v>3198</v>
      </c>
      <c r="Q410">
        <v>21</v>
      </c>
      <c r="R410" t="s">
        <v>3342</v>
      </c>
      <c r="S410" s="2">
        <v>0</v>
      </c>
      <c r="T410" s="2">
        <v>0</v>
      </c>
      <c r="U410" s="2">
        <v>35000</v>
      </c>
    </row>
    <row r="411" spans="1:21">
      <c r="A411" t="s">
        <v>22</v>
      </c>
      <c r="B411" s="1">
        <f>HYPERLINK("https://cordis.europa.eu/project/id/825731", "825731")</f>
        <v>0</v>
      </c>
      <c r="C411" t="s">
        <v>345</v>
      </c>
      <c r="D411" t="s">
        <v>1158</v>
      </c>
      <c r="E411" t="s">
        <v>1760</v>
      </c>
      <c r="F411" t="s">
        <v>2189</v>
      </c>
      <c r="G411" t="s">
        <v>2417</v>
      </c>
      <c r="H411" t="s">
        <v>2549</v>
      </c>
      <c r="I411" t="s">
        <v>2557</v>
      </c>
      <c r="J411" s="1">
        <f>HYPERLINK("https://ec.europa.eu/info/funding-tenders/opportunities/portal/screen/how-to-participate/org-details/998770104", "998770104")</f>
        <v>0</v>
      </c>
      <c r="K411" t="s">
        <v>2630</v>
      </c>
      <c r="L411" t="s">
        <v>2860</v>
      </c>
      <c r="M411" t="s">
        <v>2966</v>
      </c>
      <c r="N411" t="b">
        <v>0</v>
      </c>
      <c r="O411" t="s">
        <v>2993</v>
      </c>
      <c r="P411" t="s">
        <v>3152</v>
      </c>
      <c r="Q411">
        <v>13</v>
      </c>
      <c r="R411" t="s">
        <v>3342</v>
      </c>
      <c r="S411" s="2">
        <v>0</v>
      </c>
      <c r="T411" s="2">
        <v>0</v>
      </c>
      <c r="U411" s="2">
        <v>45500</v>
      </c>
    </row>
    <row r="412" spans="1:21">
      <c r="A412" t="s">
        <v>22</v>
      </c>
      <c r="B412" s="1">
        <f>HYPERLINK("https://cordis.europa.eu/project/id/636501", "636501")</f>
        <v>0</v>
      </c>
      <c r="C412" t="s">
        <v>346</v>
      </c>
      <c r="D412" t="s">
        <v>1159</v>
      </c>
      <c r="E412" t="s">
        <v>1761</v>
      </c>
      <c r="F412" t="s">
        <v>2179</v>
      </c>
      <c r="G412" t="s">
        <v>1884</v>
      </c>
      <c r="H412" t="s">
        <v>2548</v>
      </c>
      <c r="I412" t="s">
        <v>2556</v>
      </c>
      <c r="J412" s="1">
        <f>HYPERLINK("https://ec.europa.eu/info/funding-tenders/opportunities/portal/screen/how-to-participate/org-details/998804927", "998804927")</f>
        <v>0</v>
      </c>
      <c r="K412" t="s">
        <v>2613</v>
      </c>
      <c r="M412" t="s">
        <v>2965</v>
      </c>
      <c r="N412" t="b">
        <v>0</v>
      </c>
      <c r="O412" t="s">
        <v>2993</v>
      </c>
      <c r="P412" t="s">
        <v>3199</v>
      </c>
      <c r="Q412">
        <v>4</v>
      </c>
      <c r="R412" t="s">
        <v>3342</v>
      </c>
      <c r="S412" s="2">
        <v>273807.5</v>
      </c>
      <c r="T412" s="2">
        <v>273807.5</v>
      </c>
    </row>
    <row r="413" spans="1:21">
      <c r="A413" t="s">
        <v>22</v>
      </c>
      <c r="B413" s="1">
        <f>HYPERLINK("https://cordis.europa.eu/project/id/847441", "847441")</f>
        <v>0</v>
      </c>
      <c r="C413" t="s">
        <v>347</v>
      </c>
      <c r="D413" t="s">
        <v>1160</v>
      </c>
      <c r="E413" t="s">
        <v>1762</v>
      </c>
      <c r="F413" t="s">
        <v>2186</v>
      </c>
      <c r="G413" t="s">
        <v>2397</v>
      </c>
      <c r="H413" t="s">
        <v>2548</v>
      </c>
      <c r="I413" t="s">
        <v>2556</v>
      </c>
      <c r="J413" s="1">
        <f>HYPERLINK("https://ec.europa.eu/info/funding-tenders/opportunities/portal/screen/how-to-participate/org-details/966094490", "966094490")</f>
        <v>0</v>
      </c>
      <c r="K413" t="s">
        <v>2595</v>
      </c>
      <c r="M413" t="s">
        <v>2969</v>
      </c>
      <c r="N413" t="b">
        <v>0</v>
      </c>
      <c r="O413" t="s">
        <v>2993</v>
      </c>
      <c r="P413" t="s">
        <v>3200</v>
      </c>
      <c r="Q413">
        <v>5</v>
      </c>
      <c r="R413" t="s">
        <v>3342</v>
      </c>
      <c r="S413" s="2">
        <v>0</v>
      </c>
      <c r="T413" s="2">
        <v>0</v>
      </c>
      <c r="U413" s="2">
        <v>44635</v>
      </c>
    </row>
    <row r="414" spans="1:21">
      <c r="A414" t="s">
        <v>22</v>
      </c>
      <c r="B414" s="1">
        <f>HYPERLINK("https://cordis.europa.eu/project/id/662284", "662284")</f>
        <v>0</v>
      </c>
      <c r="C414" t="s">
        <v>348</v>
      </c>
      <c r="D414" t="s">
        <v>1161</v>
      </c>
      <c r="E414" t="s">
        <v>1763</v>
      </c>
      <c r="F414" t="s">
        <v>2244</v>
      </c>
      <c r="G414" t="s">
        <v>2276</v>
      </c>
      <c r="H414" t="s">
        <v>2548</v>
      </c>
      <c r="I414" t="s">
        <v>2556</v>
      </c>
      <c r="J414" s="1">
        <f>HYPERLINK("https://ec.europa.eu/info/funding-tenders/opportunities/portal/screen/how-to-participate/org-details/966094490", "966094490")</f>
        <v>0</v>
      </c>
      <c r="K414" t="s">
        <v>2595</v>
      </c>
      <c r="M414" t="s">
        <v>2969</v>
      </c>
      <c r="N414" t="b">
        <v>0</v>
      </c>
      <c r="O414" t="s">
        <v>2993</v>
      </c>
      <c r="P414" t="s">
        <v>3182</v>
      </c>
      <c r="Q414">
        <v>19</v>
      </c>
      <c r="R414" t="s">
        <v>3342</v>
      </c>
      <c r="S414" s="2">
        <v>0</v>
      </c>
      <c r="T414" s="2">
        <v>0</v>
      </c>
      <c r="U414" s="2">
        <v>120000</v>
      </c>
    </row>
    <row r="415" spans="1:21">
      <c r="A415" t="s">
        <v>22</v>
      </c>
      <c r="B415" s="1">
        <f>HYPERLINK("https://cordis.europa.eu/project/id/785459", "785459")</f>
        <v>0</v>
      </c>
      <c r="C415" t="s">
        <v>349</v>
      </c>
      <c r="D415" t="s">
        <v>1162</v>
      </c>
      <c r="E415" t="s">
        <v>1764</v>
      </c>
      <c r="F415" t="s">
        <v>2207</v>
      </c>
      <c r="G415" t="s">
        <v>2433</v>
      </c>
      <c r="H415" t="s">
        <v>2548</v>
      </c>
      <c r="I415" t="s">
        <v>2556</v>
      </c>
      <c r="J415" s="1">
        <f>HYPERLINK("https://ec.europa.eu/info/funding-tenders/opportunities/portal/screen/how-to-participate/org-details/917296506", "917296506")</f>
        <v>0</v>
      </c>
      <c r="K415" t="s">
        <v>2691</v>
      </c>
      <c r="M415" t="s">
        <v>2967</v>
      </c>
      <c r="N415" t="b">
        <v>0</v>
      </c>
      <c r="O415" t="s">
        <v>2994</v>
      </c>
      <c r="P415" t="s">
        <v>3201</v>
      </c>
      <c r="Q415">
        <v>1</v>
      </c>
      <c r="R415" t="s">
        <v>3346</v>
      </c>
      <c r="S415" s="2">
        <v>0</v>
      </c>
      <c r="T415" s="2">
        <v>0</v>
      </c>
      <c r="U415" s="2">
        <v>0</v>
      </c>
    </row>
    <row r="416" spans="1:21">
      <c r="A416" t="s">
        <v>22</v>
      </c>
      <c r="B416" s="1">
        <f>HYPERLINK("https://cordis.europa.eu/project/id/101003575", "101003575")</f>
        <v>0</v>
      </c>
      <c r="C416" t="s">
        <v>350</v>
      </c>
      <c r="D416" t="s">
        <v>1163</v>
      </c>
      <c r="E416" t="s">
        <v>1765</v>
      </c>
      <c r="F416" t="s">
        <v>1908</v>
      </c>
      <c r="G416" t="s">
        <v>2457</v>
      </c>
      <c r="H416" t="s">
        <v>2548</v>
      </c>
      <c r="I416" t="s">
        <v>2556</v>
      </c>
      <c r="J416" s="1">
        <f>HYPERLINK("https://ec.europa.eu/info/funding-tenders/opportunities/portal/screen/how-to-participate/org-details/897627525", "897627525")</f>
        <v>0</v>
      </c>
      <c r="K416" t="s">
        <v>2720</v>
      </c>
      <c r="M416" t="s">
        <v>2968</v>
      </c>
      <c r="N416" t="b">
        <v>0</v>
      </c>
      <c r="O416" t="s">
        <v>2992</v>
      </c>
      <c r="P416" t="s">
        <v>3202</v>
      </c>
      <c r="Q416">
        <v>24</v>
      </c>
      <c r="R416" t="s">
        <v>3342</v>
      </c>
      <c r="S416" s="2">
        <v>0</v>
      </c>
      <c r="T416" s="2">
        <v>0</v>
      </c>
      <c r="U416" s="2">
        <v>736250</v>
      </c>
    </row>
    <row r="417" spans="1:21">
      <c r="A417" t="s">
        <v>22</v>
      </c>
      <c r="B417" s="1">
        <f>HYPERLINK("https://cordis.europa.eu/project/id/870231", "870231")</f>
        <v>0</v>
      </c>
      <c r="C417" t="s">
        <v>351</v>
      </c>
      <c r="D417" t="s">
        <v>1164</v>
      </c>
      <c r="E417" t="s">
        <v>1741</v>
      </c>
      <c r="F417" t="s">
        <v>2232</v>
      </c>
      <c r="G417" t="s">
        <v>2397</v>
      </c>
      <c r="H417" t="s">
        <v>2548</v>
      </c>
      <c r="I417" t="s">
        <v>2556</v>
      </c>
      <c r="J417" s="1">
        <f>HYPERLINK("https://ec.europa.eu/info/funding-tenders/opportunities/portal/screen/how-to-participate/org-details/998385014", "998385014")</f>
        <v>0</v>
      </c>
      <c r="K417" t="s">
        <v>2618</v>
      </c>
      <c r="L417" t="s">
        <v>2849</v>
      </c>
      <c r="M417" t="s">
        <v>2965</v>
      </c>
      <c r="N417" t="b">
        <v>0</v>
      </c>
      <c r="O417" t="s">
        <v>2994</v>
      </c>
      <c r="P417" t="s">
        <v>3203</v>
      </c>
      <c r="Q417">
        <v>8</v>
      </c>
      <c r="R417" t="s">
        <v>3342</v>
      </c>
      <c r="S417" s="2">
        <v>100531.25</v>
      </c>
      <c r="T417" s="2">
        <v>100531.25</v>
      </c>
    </row>
    <row r="418" spans="1:21">
      <c r="A418" t="s">
        <v>22</v>
      </c>
      <c r="B418" s="1">
        <f>HYPERLINK("https://cordis.europa.eu/project/id/870231", "870231")</f>
        <v>0</v>
      </c>
      <c r="C418" t="s">
        <v>351</v>
      </c>
      <c r="D418" t="s">
        <v>1164</v>
      </c>
      <c r="E418" t="s">
        <v>1741</v>
      </c>
      <c r="F418" t="s">
        <v>2232</v>
      </c>
      <c r="G418" t="s">
        <v>2397</v>
      </c>
      <c r="H418" t="s">
        <v>2548</v>
      </c>
      <c r="I418" t="s">
        <v>2556</v>
      </c>
      <c r="J418" s="1">
        <f>HYPERLINK("https://ec.europa.eu/info/funding-tenders/opportunities/portal/screen/how-to-participate/org-details/904862852", "904862852")</f>
        <v>0</v>
      </c>
      <c r="K418" t="s">
        <v>2721</v>
      </c>
      <c r="L418" t="s">
        <v>2721</v>
      </c>
      <c r="M418" t="s">
        <v>2967</v>
      </c>
      <c r="N418" t="b">
        <v>0</v>
      </c>
      <c r="O418" t="s">
        <v>2994</v>
      </c>
      <c r="P418" t="s">
        <v>3203</v>
      </c>
      <c r="Q418">
        <v>7</v>
      </c>
      <c r="R418" t="s">
        <v>3342</v>
      </c>
      <c r="S418" s="2">
        <v>0</v>
      </c>
      <c r="T418" s="2">
        <v>0</v>
      </c>
      <c r="U418" s="2">
        <v>131125</v>
      </c>
    </row>
    <row r="419" spans="1:21">
      <c r="A419" t="s">
        <v>22</v>
      </c>
      <c r="B419" s="1">
        <f>HYPERLINK("https://cordis.europa.eu/project/id/779967", "779967")</f>
        <v>0</v>
      </c>
      <c r="C419" t="s">
        <v>352</v>
      </c>
      <c r="D419" t="s">
        <v>1165</v>
      </c>
      <c r="E419" t="s">
        <v>1766</v>
      </c>
      <c r="F419" t="s">
        <v>2199</v>
      </c>
      <c r="G419" t="s">
        <v>2458</v>
      </c>
      <c r="H419" t="s">
        <v>2548</v>
      </c>
      <c r="I419" t="s">
        <v>2556</v>
      </c>
      <c r="J419" s="1">
        <f>HYPERLINK("https://ec.europa.eu/info/funding-tenders/opportunities/portal/screen/how-to-participate/org-details/912156961", "912156961")</f>
        <v>0</v>
      </c>
      <c r="K419" t="s">
        <v>2722</v>
      </c>
      <c r="L419" t="s">
        <v>2925</v>
      </c>
      <c r="M419" t="s">
        <v>2967</v>
      </c>
      <c r="N419" t="b">
        <v>0</v>
      </c>
      <c r="O419" t="s">
        <v>2993</v>
      </c>
      <c r="P419" t="s">
        <v>3204</v>
      </c>
      <c r="Q419">
        <v>14</v>
      </c>
      <c r="R419" t="s">
        <v>3342</v>
      </c>
      <c r="S419" s="2">
        <v>0</v>
      </c>
      <c r="T419" s="2">
        <v>0</v>
      </c>
      <c r="U419" s="2">
        <v>75000</v>
      </c>
    </row>
    <row r="420" spans="1:21">
      <c r="A420" t="s">
        <v>22</v>
      </c>
      <c r="B420" s="1">
        <f>HYPERLINK("https://cordis.europa.eu/project/id/101007084", "101007084")</f>
        <v>0</v>
      </c>
      <c r="C420" t="s">
        <v>353</v>
      </c>
      <c r="D420" t="s">
        <v>1166</v>
      </c>
      <c r="E420" t="s">
        <v>1767</v>
      </c>
      <c r="F420" t="s">
        <v>1908</v>
      </c>
      <c r="G420" t="s">
        <v>2430</v>
      </c>
      <c r="H420" t="s">
        <v>2548</v>
      </c>
      <c r="I420" t="s">
        <v>2556</v>
      </c>
      <c r="J420" s="1">
        <f>HYPERLINK("https://ec.europa.eu/info/funding-tenders/opportunities/portal/screen/how-to-participate/org-details/897235257", "897235257")</f>
        <v>0</v>
      </c>
      <c r="K420" t="s">
        <v>2723</v>
      </c>
      <c r="L420" t="s">
        <v>2926</v>
      </c>
      <c r="M420" t="s">
        <v>2967</v>
      </c>
      <c r="N420" t="b">
        <v>1</v>
      </c>
      <c r="O420" t="s">
        <v>2993</v>
      </c>
      <c r="P420" t="s">
        <v>3180</v>
      </c>
      <c r="Q420">
        <v>8</v>
      </c>
      <c r="R420" t="s">
        <v>3342</v>
      </c>
      <c r="S420" s="2">
        <v>0</v>
      </c>
      <c r="T420" s="2">
        <v>0</v>
      </c>
      <c r="U420" s="2">
        <v>390750</v>
      </c>
    </row>
    <row r="421" spans="1:21">
      <c r="A421" t="s">
        <v>22</v>
      </c>
      <c r="B421" s="1">
        <f>HYPERLINK("https://cordis.europa.eu/project/id/778120", "778120")</f>
        <v>0</v>
      </c>
      <c r="C421" t="s">
        <v>354</v>
      </c>
      <c r="D421" t="s">
        <v>1167</v>
      </c>
      <c r="E421" t="s">
        <v>1768</v>
      </c>
      <c r="F421" t="s">
        <v>2207</v>
      </c>
      <c r="G421" t="s">
        <v>2412</v>
      </c>
      <c r="H421" t="s">
        <v>2548</v>
      </c>
      <c r="I421" t="s">
        <v>2556</v>
      </c>
      <c r="J421" s="1">
        <f>HYPERLINK("https://ec.europa.eu/info/funding-tenders/opportunities/portal/screen/how-to-participate/org-details/957524443", "957524443")</f>
        <v>0</v>
      </c>
      <c r="K421" t="s">
        <v>2702</v>
      </c>
      <c r="L421" t="s">
        <v>2916</v>
      </c>
      <c r="M421" t="s">
        <v>2965</v>
      </c>
      <c r="N421" t="b">
        <v>0</v>
      </c>
      <c r="O421" t="s">
        <v>3003</v>
      </c>
      <c r="P421" t="s">
        <v>3173</v>
      </c>
      <c r="Q421">
        <v>12</v>
      </c>
      <c r="R421" t="s">
        <v>3345</v>
      </c>
      <c r="T421" s="2">
        <v>0</v>
      </c>
      <c r="U421" s="2">
        <v>67500</v>
      </c>
    </row>
    <row r="422" spans="1:21">
      <c r="A422" t="s">
        <v>22</v>
      </c>
      <c r="B422" s="1">
        <f>HYPERLINK("https://cordis.europa.eu/project/id/875156", "875156")</f>
        <v>0</v>
      </c>
      <c r="C422" t="s">
        <v>355</v>
      </c>
      <c r="D422" t="s">
        <v>1168</v>
      </c>
      <c r="E422" t="s">
        <v>1769</v>
      </c>
      <c r="F422" t="s">
        <v>2180</v>
      </c>
      <c r="G422" t="s">
        <v>2405</v>
      </c>
      <c r="H422" t="s">
        <v>2554</v>
      </c>
      <c r="I422" t="s">
        <v>2562</v>
      </c>
      <c r="J422" s="1">
        <f>HYPERLINK("https://ec.europa.eu/info/funding-tenders/opportunities/portal/screen/how-to-participate/org-details/922294431", "922294431")</f>
        <v>0</v>
      </c>
      <c r="K422" t="s">
        <v>2724</v>
      </c>
      <c r="L422" t="s">
        <v>2927</v>
      </c>
      <c r="M422" t="s">
        <v>2967</v>
      </c>
      <c r="N422" t="b">
        <v>0</v>
      </c>
      <c r="O422" t="s">
        <v>2994</v>
      </c>
      <c r="P422" t="s">
        <v>3205</v>
      </c>
      <c r="Q422">
        <v>9</v>
      </c>
      <c r="R422" t="s">
        <v>3342</v>
      </c>
      <c r="S422" s="2">
        <v>67725</v>
      </c>
      <c r="T422" s="2">
        <v>67725</v>
      </c>
      <c r="U422" s="2">
        <v>96750</v>
      </c>
    </row>
    <row r="423" spans="1:21">
      <c r="A423" t="s">
        <v>22</v>
      </c>
      <c r="B423" s="1">
        <f>HYPERLINK("https://cordis.europa.eu/project/id/734796", "734796")</f>
        <v>0</v>
      </c>
      <c r="C423" t="s">
        <v>356</v>
      </c>
      <c r="D423" t="s">
        <v>1169</v>
      </c>
      <c r="E423" t="s">
        <v>1770</v>
      </c>
      <c r="F423" t="s">
        <v>2183</v>
      </c>
      <c r="G423" t="s">
        <v>2459</v>
      </c>
      <c r="H423" t="s">
        <v>2548</v>
      </c>
      <c r="I423" t="s">
        <v>2556</v>
      </c>
      <c r="J423" s="1">
        <f>HYPERLINK("https://ec.europa.eu/info/funding-tenders/opportunities/portal/screen/how-to-participate/org-details/996231614", "996231614")</f>
        <v>0</v>
      </c>
      <c r="K423" t="s">
        <v>2652</v>
      </c>
      <c r="L423" t="s">
        <v>2652</v>
      </c>
      <c r="M423" t="s">
        <v>2965</v>
      </c>
      <c r="N423" t="b">
        <v>0</v>
      </c>
      <c r="O423" t="s">
        <v>3003</v>
      </c>
      <c r="P423" t="s">
        <v>3177</v>
      </c>
      <c r="Q423">
        <v>9</v>
      </c>
      <c r="R423" t="s">
        <v>3345</v>
      </c>
      <c r="T423" s="2">
        <v>0</v>
      </c>
      <c r="U423" s="2">
        <v>13500</v>
      </c>
    </row>
    <row r="424" spans="1:21">
      <c r="A424" t="s">
        <v>22</v>
      </c>
      <c r="B424" s="1">
        <f>HYPERLINK("https://cordis.europa.eu/project/id/691246", "691246")</f>
        <v>0</v>
      </c>
      <c r="C424" t="s">
        <v>357</v>
      </c>
      <c r="D424" t="s">
        <v>1170</v>
      </c>
      <c r="E424" t="s">
        <v>1771</v>
      </c>
      <c r="F424" t="s">
        <v>2188</v>
      </c>
      <c r="G424" t="s">
        <v>2436</v>
      </c>
      <c r="H424" t="s">
        <v>2549</v>
      </c>
      <c r="I424" t="s">
        <v>2557</v>
      </c>
      <c r="J424" s="1">
        <f>HYPERLINK("https://ec.europa.eu/info/funding-tenders/opportunities/portal/screen/how-to-participate/org-details/998331567", "998331567")</f>
        <v>0</v>
      </c>
      <c r="K424" t="s">
        <v>2573</v>
      </c>
      <c r="M424" t="s">
        <v>2965</v>
      </c>
      <c r="N424" t="b">
        <v>0</v>
      </c>
      <c r="O424" t="s">
        <v>3003</v>
      </c>
      <c r="P424" t="s">
        <v>3176</v>
      </c>
      <c r="Q424">
        <v>19</v>
      </c>
      <c r="R424" t="s">
        <v>3345</v>
      </c>
      <c r="T424" s="2">
        <v>0</v>
      </c>
      <c r="U424" s="2">
        <v>0</v>
      </c>
    </row>
    <row r="425" spans="1:21">
      <c r="A425" t="s">
        <v>22</v>
      </c>
      <c r="B425" s="1">
        <f>HYPERLINK("https://cordis.europa.eu/project/id/691246", "691246")</f>
        <v>0</v>
      </c>
      <c r="C425" t="s">
        <v>357</v>
      </c>
      <c r="D425" t="s">
        <v>1170</v>
      </c>
      <c r="E425" t="s">
        <v>1771</v>
      </c>
      <c r="F425" t="s">
        <v>2188</v>
      </c>
      <c r="G425" t="s">
        <v>2436</v>
      </c>
      <c r="H425" t="s">
        <v>2548</v>
      </c>
      <c r="I425" t="s">
        <v>2556</v>
      </c>
      <c r="J425" s="1">
        <f>HYPERLINK("https://ec.europa.eu/info/funding-tenders/opportunities/portal/screen/how-to-participate/org-details/952893857", "952893857")</f>
        <v>0</v>
      </c>
      <c r="K425" t="s">
        <v>2725</v>
      </c>
      <c r="L425" t="s">
        <v>2928</v>
      </c>
      <c r="M425" t="s">
        <v>2965</v>
      </c>
      <c r="N425" t="b">
        <v>0</v>
      </c>
      <c r="O425" t="s">
        <v>3003</v>
      </c>
      <c r="P425" t="s">
        <v>3176</v>
      </c>
      <c r="Q425">
        <v>15</v>
      </c>
      <c r="R425" t="s">
        <v>3345</v>
      </c>
      <c r="T425" s="2">
        <v>0</v>
      </c>
      <c r="U425" s="2">
        <v>22500</v>
      </c>
    </row>
    <row r="426" spans="1:21">
      <c r="A426" t="s">
        <v>22</v>
      </c>
      <c r="B426" s="1">
        <f>HYPERLINK("https://cordis.europa.eu/project/id/691246", "691246")</f>
        <v>0</v>
      </c>
      <c r="C426" t="s">
        <v>357</v>
      </c>
      <c r="D426" t="s">
        <v>1170</v>
      </c>
      <c r="E426" t="s">
        <v>1771</v>
      </c>
      <c r="F426" t="s">
        <v>2188</v>
      </c>
      <c r="G426" t="s">
        <v>2436</v>
      </c>
      <c r="H426" t="s">
        <v>2548</v>
      </c>
      <c r="I426" t="s">
        <v>2556</v>
      </c>
      <c r="J426" s="1">
        <f>HYPERLINK("https://ec.europa.eu/info/funding-tenders/opportunities/portal/screen/how-to-participate/org-details/991708019", "991708019")</f>
        <v>0</v>
      </c>
      <c r="K426" t="s">
        <v>2704</v>
      </c>
      <c r="L426" t="s">
        <v>2917</v>
      </c>
      <c r="M426" t="s">
        <v>2965</v>
      </c>
      <c r="N426" t="b">
        <v>0</v>
      </c>
      <c r="O426" t="s">
        <v>3003</v>
      </c>
      <c r="P426" t="s">
        <v>3176</v>
      </c>
      <c r="Q426">
        <v>16</v>
      </c>
      <c r="R426" t="s">
        <v>3345</v>
      </c>
      <c r="T426" s="2">
        <v>0</v>
      </c>
      <c r="U426" s="2">
        <v>13500</v>
      </c>
    </row>
    <row r="427" spans="1:21">
      <c r="A427" t="s">
        <v>22</v>
      </c>
      <c r="B427" s="1">
        <f>HYPERLINK("https://cordis.europa.eu/project/id/101002086", "101002086")</f>
        <v>0</v>
      </c>
      <c r="C427" t="s">
        <v>358</v>
      </c>
      <c r="D427" t="s">
        <v>1171</v>
      </c>
      <c r="E427" t="s">
        <v>1772</v>
      </c>
      <c r="F427" t="s">
        <v>2187</v>
      </c>
      <c r="G427" t="s">
        <v>2398</v>
      </c>
      <c r="H427" t="s">
        <v>2548</v>
      </c>
      <c r="I427" t="s">
        <v>2556</v>
      </c>
      <c r="J427" s="1">
        <f>HYPERLINK("https://ec.europa.eu/info/funding-tenders/opportunities/portal/screen/how-to-participate/org-details/968922622", "968922622")</f>
        <v>0</v>
      </c>
      <c r="K427" t="s">
        <v>2700</v>
      </c>
      <c r="L427" t="s">
        <v>2700</v>
      </c>
      <c r="M427" t="s">
        <v>2965</v>
      </c>
      <c r="N427" t="b">
        <v>0</v>
      </c>
      <c r="O427" t="s">
        <v>3001</v>
      </c>
      <c r="P427" t="s">
        <v>3206</v>
      </c>
      <c r="Q427">
        <v>4</v>
      </c>
      <c r="R427" t="s">
        <v>3342</v>
      </c>
      <c r="S427" s="2">
        <v>118798.75</v>
      </c>
      <c r="T427" s="2">
        <v>118798.75</v>
      </c>
    </row>
    <row r="428" spans="1:21">
      <c r="A428" t="s">
        <v>22</v>
      </c>
      <c r="B428" s="1">
        <f>HYPERLINK("https://cordis.europa.eu/project/id/823748", "823748")</f>
        <v>0</v>
      </c>
      <c r="C428" t="s">
        <v>359</v>
      </c>
      <c r="D428" t="s">
        <v>1172</v>
      </c>
      <c r="E428" t="s">
        <v>1773</v>
      </c>
      <c r="F428" t="s">
        <v>2189</v>
      </c>
      <c r="G428" t="s">
        <v>2456</v>
      </c>
      <c r="H428" t="s">
        <v>2548</v>
      </c>
      <c r="I428" t="s">
        <v>2556</v>
      </c>
      <c r="J428" s="1">
        <f>HYPERLINK("https://ec.europa.eu/info/funding-tenders/opportunities/portal/screen/how-to-participate/org-details/986276989", "986276989")</f>
        <v>0</v>
      </c>
      <c r="K428" t="s">
        <v>2666</v>
      </c>
      <c r="L428" t="s">
        <v>2891</v>
      </c>
      <c r="M428" t="s">
        <v>2965</v>
      </c>
      <c r="N428" t="b">
        <v>0</v>
      </c>
      <c r="O428" t="s">
        <v>3003</v>
      </c>
      <c r="P428" t="s">
        <v>3174</v>
      </c>
      <c r="Q428">
        <v>4</v>
      </c>
      <c r="R428" t="s">
        <v>3345</v>
      </c>
      <c r="T428" s="2">
        <v>0</v>
      </c>
      <c r="U428" s="2">
        <v>9200</v>
      </c>
    </row>
    <row r="429" spans="1:21">
      <c r="A429" t="s">
        <v>22</v>
      </c>
      <c r="B429" s="1">
        <f>HYPERLINK("https://cordis.europa.eu/project/id/690898", "690898")</f>
        <v>0</v>
      </c>
      <c r="C429" t="s">
        <v>360</v>
      </c>
      <c r="D429" t="s">
        <v>1173</v>
      </c>
      <c r="E429" t="s">
        <v>1774</v>
      </c>
      <c r="F429" t="s">
        <v>2188</v>
      </c>
      <c r="G429" t="s">
        <v>2436</v>
      </c>
      <c r="H429" t="s">
        <v>2548</v>
      </c>
      <c r="I429" t="s">
        <v>2556</v>
      </c>
      <c r="J429" s="1">
        <f>HYPERLINK("https://ec.europa.eu/info/funding-tenders/opportunities/portal/screen/how-to-participate/org-details/999845252", "999845252")</f>
        <v>0</v>
      </c>
      <c r="K429" t="s">
        <v>2687</v>
      </c>
      <c r="L429" t="s">
        <v>2908</v>
      </c>
      <c r="M429" t="s">
        <v>2965</v>
      </c>
      <c r="N429" t="b">
        <v>0</v>
      </c>
      <c r="O429" t="s">
        <v>3003</v>
      </c>
      <c r="P429" t="s">
        <v>3176</v>
      </c>
      <c r="Q429">
        <v>8</v>
      </c>
      <c r="R429" t="s">
        <v>3345</v>
      </c>
      <c r="T429" s="2">
        <v>0</v>
      </c>
      <c r="U429" s="2">
        <v>31500</v>
      </c>
    </row>
    <row r="430" spans="1:21">
      <c r="A430" t="s">
        <v>22</v>
      </c>
      <c r="B430" s="1">
        <f>HYPERLINK("https://cordis.europa.eu/project/id/101023337", "101023337")</f>
        <v>0</v>
      </c>
      <c r="C430" t="s">
        <v>361</v>
      </c>
      <c r="D430" t="s">
        <v>1174</v>
      </c>
      <c r="E430" t="s">
        <v>1775</v>
      </c>
      <c r="F430" t="s">
        <v>2245</v>
      </c>
      <c r="G430" t="s">
        <v>2460</v>
      </c>
      <c r="H430" t="s">
        <v>2548</v>
      </c>
      <c r="I430" t="s">
        <v>2556</v>
      </c>
      <c r="J430" s="1">
        <f>HYPERLINK("https://ec.europa.eu/info/funding-tenders/opportunities/portal/screen/how-to-participate/org-details/998826946", "998826946")</f>
        <v>0</v>
      </c>
      <c r="K430" t="s">
        <v>2617</v>
      </c>
      <c r="L430" t="s">
        <v>2848</v>
      </c>
      <c r="M430" t="s">
        <v>2965</v>
      </c>
      <c r="N430" t="b">
        <v>0</v>
      </c>
      <c r="O430" t="s">
        <v>2997</v>
      </c>
      <c r="P430" t="s">
        <v>3166</v>
      </c>
      <c r="Q430">
        <v>2</v>
      </c>
      <c r="R430" t="s">
        <v>3345</v>
      </c>
      <c r="T430" s="2">
        <v>0</v>
      </c>
    </row>
    <row r="431" spans="1:21">
      <c r="A431" t="s">
        <v>22</v>
      </c>
      <c r="B431" s="1">
        <f>HYPERLINK("https://cordis.europa.eu/project/id/692739", "692739")</f>
        <v>0</v>
      </c>
      <c r="C431" t="s">
        <v>362</v>
      </c>
      <c r="D431" t="s">
        <v>1175</v>
      </c>
      <c r="E431" t="s">
        <v>1776</v>
      </c>
      <c r="F431" t="s">
        <v>2223</v>
      </c>
      <c r="G431" t="s">
        <v>2399</v>
      </c>
      <c r="H431" t="s">
        <v>2549</v>
      </c>
      <c r="I431" t="s">
        <v>2557</v>
      </c>
      <c r="J431" s="1">
        <f>HYPERLINK("https://ec.europa.eu/info/funding-tenders/opportunities/portal/screen/how-to-participate/org-details/998295580", "998295580")</f>
        <v>0</v>
      </c>
      <c r="K431" t="s">
        <v>2686</v>
      </c>
      <c r="L431" t="s">
        <v>2907</v>
      </c>
      <c r="M431" t="s">
        <v>2966</v>
      </c>
      <c r="N431" t="b">
        <v>0</v>
      </c>
      <c r="O431" t="s">
        <v>2995</v>
      </c>
      <c r="P431" t="s">
        <v>3207</v>
      </c>
      <c r="Q431">
        <v>3</v>
      </c>
      <c r="R431" t="s">
        <v>3342</v>
      </c>
      <c r="S431" s="2">
        <v>50277.5</v>
      </c>
      <c r="T431" s="2">
        <v>50277.5</v>
      </c>
    </row>
    <row r="432" spans="1:21">
      <c r="A432" t="s">
        <v>22</v>
      </c>
      <c r="B432" s="1">
        <f>HYPERLINK("https://cordis.europa.eu/project/id/804851", "804851")</f>
        <v>0</v>
      </c>
      <c r="C432" t="s">
        <v>363</v>
      </c>
      <c r="D432" t="s">
        <v>1176</v>
      </c>
      <c r="E432" t="s">
        <v>1777</v>
      </c>
      <c r="F432" t="s">
        <v>2180</v>
      </c>
      <c r="G432" t="s">
        <v>2403</v>
      </c>
      <c r="H432" t="s">
        <v>2549</v>
      </c>
      <c r="I432" t="s">
        <v>2557</v>
      </c>
      <c r="J432" s="1">
        <f>HYPERLINK("https://ec.europa.eu/info/funding-tenders/opportunities/portal/screen/how-to-participate/org-details/998295580", "998295580")</f>
        <v>0</v>
      </c>
      <c r="K432" t="s">
        <v>2686</v>
      </c>
      <c r="L432" t="s">
        <v>2907</v>
      </c>
      <c r="M432" t="s">
        <v>2966</v>
      </c>
      <c r="N432" t="b">
        <v>0</v>
      </c>
      <c r="O432" t="s">
        <v>3006</v>
      </c>
      <c r="P432" t="s">
        <v>3208</v>
      </c>
      <c r="Q432">
        <v>2</v>
      </c>
      <c r="R432" t="s">
        <v>3342</v>
      </c>
      <c r="S432" s="2">
        <v>247334</v>
      </c>
      <c r="T432" s="2">
        <v>247334</v>
      </c>
      <c r="U432" s="2">
        <v>247334</v>
      </c>
    </row>
    <row r="433" spans="1:21">
      <c r="A433" t="s">
        <v>22</v>
      </c>
      <c r="B433" s="1">
        <f>HYPERLINK("https://cordis.europa.eu/project/id/101004635", "101004635")</f>
        <v>0</v>
      </c>
      <c r="C433" t="s">
        <v>364</v>
      </c>
      <c r="D433" t="s">
        <v>1177</v>
      </c>
      <c r="E433" t="s">
        <v>1723</v>
      </c>
      <c r="F433" t="s">
        <v>2182</v>
      </c>
      <c r="G433" t="s">
        <v>2437</v>
      </c>
      <c r="H433" t="s">
        <v>2548</v>
      </c>
      <c r="I433" t="s">
        <v>2556</v>
      </c>
      <c r="J433" s="1">
        <f>HYPERLINK("https://ec.europa.eu/info/funding-tenders/opportunities/portal/screen/how-to-participate/org-details/999885216", "999885216")</f>
        <v>0</v>
      </c>
      <c r="K433" t="s">
        <v>2658</v>
      </c>
      <c r="L433" t="s">
        <v>2884</v>
      </c>
      <c r="M433" t="s">
        <v>2965</v>
      </c>
      <c r="N433" t="b">
        <v>0</v>
      </c>
      <c r="O433" t="s">
        <v>2985</v>
      </c>
      <c r="P433" t="s">
        <v>3209</v>
      </c>
      <c r="Q433">
        <v>1</v>
      </c>
      <c r="R433" t="s">
        <v>3344</v>
      </c>
      <c r="S433" s="2">
        <v>0</v>
      </c>
      <c r="T433" s="2">
        <v>0</v>
      </c>
    </row>
    <row r="434" spans="1:21">
      <c r="A434" t="s">
        <v>22</v>
      </c>
      <c r="B434" s="1">
        <f>HYPERLINK("https://cordis.europa.eu/project/id/785799", "785799")</f>
        <v>0</v>
      </c>
      <c r="C434" t="s">
        <v>365</v>
      </c>
      <c r="D434" t="s">
        <v>1178</v>
      </c>
      <c r="E434" t="s">
        <v>1778</v>
      </c>
      <c r="F434" t="s">
        <v>1664</v>
      </c>
      <c r="G434" t="s">
        <v>2461</v>
      </c>
      <c r="H434" t="s">
        <v>2548</v>
      </c>
      <c r="I434" t="s">
        <v>2556</v>
      </c>
      <c r="J434" s="1">
        <f>HYPERLINK("https://ec.europa.eu/info/funding-tenders/opportunities/portal/screen/how-to-participate/org-details/998804636", "998804636")</f>
        <v>0</v>
      </c>
      <c r="K434" t="s">
        <v>2612</v>
      </c>
      <c r="L434" t="s">
        <v>2845</v>
      </c>
      <c r="M434" t="s">
        <v>2965</v>
      </c>
      <c r="N434" t="b">
        <v>0</v>
      </c>
      <c r="O434" t="s">
        <v>2998</v>
      </c>
      <c r="P434" t="s">
        <v>3160</v>
      </c>
      <c r="Q434">
        <v>2</v>
      </c>
      <c r="R434" t="s">
        <v>3345</v>
      </c>
      <c r="T434" s="2">
        <v>0</v>
      </c>
    </row>
    <row r="435" spans="1:21">
      <c r="A435" t="s">
        <v>22</v>
      </c>
      <c r="B435" s="1">
        <f>HYPERLINK("https://cordis.europa.eu/project/id/778158", "778158")</f>
        <v>0</v>
      </c>
      <c r="C435" t="s">
        <v>366</v>
      </c>
      <c r="D435" t="s">
        <v>1179</v>
      </c>
      <c r="E435" t="s">
        <v>1779</v>
      </c>
      <c r="F435" t="s">
        <v>2199</v>
      </c>
      <c r="G435" t="s">
        <v>2451</v>
      </c>
      <c r="H435" t="s">
        <v>2549</v>
      </c>
      <c r="I435" t="s">
        <v>2557</v>
      </c>
      <c r="J435" s="1">
        <f>HYPERLINK("https://ec.europa.eu/info/funding-tenders/opportunities/portal/screen/how-to-participate/org-details/999613131", "999613131")</f>
        <v>0</v>
      </c>
      <c r="K435" t="s">
        <v>2591</v>
      </c>
      <c r="L435" t="s">
        <v>2831</v>
      </c>
      <c r="M435" t="s">
        <v>2965</v>
      </c>
      <c r="N435" t="b">
        <v>0</v>
      </c>
      <c r="O435" t="s">
        <v>3003</v>
      </c>
      <c r="P435" t="s">
        <v>3173</v>
      </c>
      <c r="Q435">
        <v>9</v>
      </c>
      <c r="R435" t="s">
        <v>3345</v>
      </c>
      <c r="T435" s="2">
        <v>0</v>
      </c>
      <c r="U435" s="2">
        <v>27000</v>
      </c>
    </row>
    <row r="436" spans="1:21">
      <c r="A436" t="s">
        <v>22</v>
      </c>
      <c r="B436" s="1">
        <f>HYPERLINK("https://cordis.europa.eu/project/id/734227", "734227")</f>
        <v>0</v>
      </c>
      <c r="C436" t="s">
        <v>367</v>
      </c>
      <c r="D436" t="s">
        <v>1180</v>
      </c>
      <c r="E436" t="s">
        <v>1780</v>
      </c>
      <c r="F436" t="s">
        <v>2246</v>
      </c>
      <c r="G436" t="s">
        <v>2450</v>
      </c>
      <c r="H436" t="s">
        <v>2548</v>
      </c>
      <c r="I436" t="s">
        <v>2556</v>
      </c>
      <c r="J436" s="1">
        <f>HYPERLINK("https://ec.europa.eu/info/funding-tenders/opportunities/portal/screen/how-to-participate/org-details/986276989", "986276989")</f>
        <v>0</v>
      </c>
      <c r="K436" t="s">
        <v>2666</v>
      </c>
      <c r="L436" t="s">
        <v>2891</v>
      </c>
      <c r="M436" t="s">
        <v>2965</v>
      </c>
      <c r="N436" t="b">
        <v>0</v>
      </c>
      <c r="O436" t="s">
        <v>3003</v>
      </c>
      <c r="P436" t="s">
        <v>3177</v>
      </c>
      <c r="Q436">
        <v>10</v>
      </c>
      <c r="R436" t="s">
        <v>3345</v>
      </c>
      <c r="T436" s="2">
        <v>0</v>
      </c>
      <c r="U436" s="2">
        <v>0</v>
      </c>
    </row>
    <row r="437" spans="1:21">
      <c r="A437" t="s">
        <v>22</v>
      </c>
      <c r="B437" s="1">
        <f>HYPERLINK("https://cordis.europa.eu/project/id/795044", "795044")</f>
        <v>0</v>
      </c>
      <c r="C437" t="s">
        <v>368</v>
      </c>
      <c r="D437" t="s">
        <v>1181</v>
      </c>
      <c r="E437" t="s">
        <v>1781</v>
      </c>
      <c r="F437" t="s">
        <v>2247</v>
      </c>
      <c r="G437" t="s">
        <v>2462</v>
      </c>
      <c r="H437" t="s">
        <v>2548</v>
      </c>
      <c r="I437" t="s">
        <v>2556</v>
      </c>
      <c r="J437" s="1">
        <f>HYPERLINK("https://ec.europa.eu/info/funding-tenders/opportunities/portal/screen/how-to-participate/org-details/998826946", "998826946")</f>
        <v>0</v>
      </c>
      <c r="K437" t="s">
        <v>2617</v>
      </c>
      <c r="L437" t="s">
        <v>2848</v>
      </c>
      <c r="M437" t="s">
        <v>2965</v>
      </c>
      <c r="N437" t="b">
        <v>0</v>
      </c>
      <c r="O437" t="s">
        <v>2997</v>
      </c>
      <c r="P437" t="s">
        <v>3160</v>
      </c>
      <c r="Q437">
        <v>2</v>
      </c>
      <c r="R437" t="s">
        <v>3345</v>
      </c>
      <c r="T437" s="2">
        <v>0</v>
      </c>
    </row>
    <row r="438" spans="1:21">
      <c r="A438" t="s">
        <v>22</v>
      </c>
      <c r="B438" s="1">
        <f>HYPERLINK("https://cordis.europa.eu/project/id/951974", "951974")</f>
        <v>0</v>
      </c>
      <c r="C438" t="s">
        <v>369</v>
      </c>
      <c r="D438" t="s">
        <v>1182</v>
      </c>
      <c r="E438" t="s">
        <v>1782</v>
      </c>
      <c r="F438" t="s">
        <v>2231</v>
      </c>
      <c r="G438" t="s">
        <v>2463</v>
      </c>
      <c r="H438" t="s">
        <v>2548</v>
      </c>
      <c r="I438" t="s">
        <v>2556</v>
      </c>
      <c r="J438" s="1">
        <f>HYPERLINK("https://ec.europa.eu/info/funding-tenders/opportunities/portal/screen/how-to-participate/org-details/919611896", "919611896")</f>
        <v>0</v>
      </c>
      <c r="K438" t="s">
        <v>2726</v>
      </c>
      <c r="M438" t="s">
        <v>2965</v>
      </c>
      <c r="N438" t="b">
        <v>0</v>
      </c>
      <c r="O438" t="s">
        <v>2993</v>
      </c>
      <c r="P438" t="s">
        <v>3210</v>
      </c>
      <c r="Q438">
        <v>16</v>
      </c>
      <c r="R438" t="s">
        <v>3342</v>
      </c>
      <c r="S438" s="2">
        <v>0</v>
      </c>
      <c r="T438" s="2">
        <v>0</v>
      </c>
      <c r="U438" s="2">
        <v>54875</v>
      </c>
    </row>
    <row r="439" spans="1:21">
      <c r="A439" t="s">
        <v>22</v>
      </c>
      <c r="B439" s="1">
        <f>HYPERLINK("https://cordis.europa.eu/project/id/101028941", "101028941")</f>
        <v>0</v>
      </c>
      <c r="C439" t="s">
        <v>370</v>
      </c>
      <c r="D439" t="s">
        <v>1183</v>
      </c>
      <c r="E439" t="s">
        <v>1783</v>
      </c>
      <c r="F439" t="s">
        <v>2217</v>
      </c>
      <c r="G439" t="s">
        <v>2464</v>
      </c>
      <c r="H439" t="s">
        <v>2548</v>
      </c>
      <c r="I439" t="s">
        <v>2556</v>
      </c>
      <c r="J439" s="1">
        <f>HYPERLINK("https://ec.europa.eu/info/funding-tenders/opportunities/portal/screen/how-to-participate/org-details/998083247", "998083247")</f>
        <v>0</v>
      </c>
      <c r="K439" t="s">
        <v>2605</v>
      </c>
      <c r="M439" t="s">
        <v>2965</v>
      </c>
      <c r="N439" t="b">
        <v>0</v>
      </c>
      <c r="O439" t="s">
        <v>2997</v>
      </c>
      <c r="P439" t="s">
        <v>3166</v>
      </c>
      <c r="Q439">
        <v>2</v>
      </c>
      <c r="R439" t="s">
        <v>3345</v>
      </c>
      <c r="T439" s="2">
        <v>0</v>
      </c>
    </row>
    <row r="440" spans="1:21">
      <c r="A440" t="s">
        <v>22</v>
      </c>
      <c r="B440" s="1">
        <f>HYPERLINK("https://cordis.europa.eu/project/id/696295", "696295")</f>
        <v>0</v>
      </c>
      <c r="C440" t="s">
        <v>371</v>
      </c>
      <c r="D440" t="s">
        <v>1184</v>
      </c>
      <c r="E440" t="s">
        <v>1784</v>
      </c>
      <c r="F440" t="s">
        <v>2185</v>
      </c>
      <c r="G440" t="s">
        <v>2459</v>
      </c>
      <c r="H440" t="s">
        <v>2548</v>
      </c>
      <c r="I440" t="s">
        <v>2556</v>
      </c>
      <c r="J440" s="1">
        <f>HYPERLINK("https://ec.europa.eu/info/funding-tenders/opportunities/portal/screen/how-to-participate/org-details/960368386", "960368386")</f>
        <v>0</v>
      </c>
      <c r="K440" t="s">
        <v>2622</v>
      </c>
      <c r="L440" t="s">
        <v>2853</v>
      </c>
      <c r="M440" t="s">
        <v>2969</v>
      </c>
      <c r="N440" t="b">
        <v>0</v>
      </c>
      <c r="O440" t="s">
        <v>2992</v>
      </c>
      <c r="P440" t="s">
        <v>3148</v>
      </c>
      <c r="Q440">
        <v>19</v>
      </c>
      <c r="R440" t="s">
        <v>3342</v>
      </c>
      <c r="S440" s="2">
        <v>0</v>
      </c>
      <c r="T440" s="2">
        <v>0</v>
      </c>
      <c r="U440" s="2">
        <v>0</v>
      </c>
    </row>
    <row r="441" spans="1:21">
      <c r="A441" t="s">
        <v>22</v>
      </c>
      <c r="B441" s="1">
        <f>HYPERLINK("https://cordis.europa.eu/project/id/765141", "765141")</f>
        <v>0</v>
      </c>
      <c r="C441" t="s">
        <v>372</v>
      </c>
      <c r="D441" t="s">
        <v>1185</v>
      </c>
      <c r="E441" t="s">
        <v>1785</v>
      </c>
      <c r="F441" t="s">
        <v>2199</v>
      </c>
      <c r="G441" t="s">
        <v>2465</v>
      </c>
      <c r="H441" t="s">
        <v>2548</v>
      </c>
      <c r="I441" t="s">
        <v>2556</v>
      </c>
      <c r="J441" s="1">
        <f>HYPERLINK("https://ec.europa.eu/info/funding-tenders/opportunities/portal/screen/how-to-participate/org-details/888889939", "888889939")</f>
        <v>0</v>
      </c>
      <c r="K441" t="s">
        <v>2727</v>
      </c>
      <c r="M441" t="s">
        <v>2967</v>
      </c>
      <c r="N441" t="b">
        <v>0</v>
      </c>
      <c r="O441" t="s">
        <v>3002</v>
      </c>
      <c r="P441" t="s">
        <v>3163</v>
      </c>
      <c r="Q441">
        <v>13</v>
      </c>
      <c r="R441" t="s">
        <v>3345</v>
      </c>
      <c r="T441" s="2">
        <v>0</v>
      </c>
      <c r="U441" s="2">
        <v>0</v>
      </c>
    </row>
    <row r="442" spans="1:21">
      <c r="A442" t="s">
        <v>22</v>
      </c>
      <c r="B442" s="1">
        <f>HYPERLINK("https://cordis.europa.eu/project/id/765141", "765141")</f>
        <v>0</v>
      </c>
      <c r="C442" t="s">
        <v>372</v>
      </c>
      <c r="D442" t="s">
        <v>1185</v>
      </c>
      <c r="E442" t="s">
        <v>1785</v>
      </c>
      <c r="F442" t="s">
        <v>2199</v>
      </c>
      <c r="G442" t="s">
        <v>2465</v>
      </c>
      <c r="H442" t="s">
        <v>2548</v>
      </c>
      <c r="I442" t="s">
        <v>2556</v>
      </c>
      <c r="J442" s="1">
        <f>HYPERLINK("https://ec.europa.eu/info/funding-tenders/opportunities/portal/screen/how-to-participate/org-details/888892322", "888892322")</f>
        <v>0</v>
      </c>
      <c r="K442" t="s">
        <v>2728</v>
      </c>
      <c r="M442" t="s">
        <v>2965</v>
      </c>
      <c r="N442" t="b">
        <v>0</v>
      </c>
      <c r="O442" t="s">
        <v>3002</v>
      </c>
      <c r="P442" t="s">
        <v>3163</v>
      </c>
      <c r="Q442">
        <v>14</v>
      </c>
      <c r="R442" t="s">
        <v>3345</v>
      </c>
      <c r="T442" s="2">
        <v>0</v>
      </c>
      <c r="U442" s="2">
        <v>0</v>
      </c>
    </row>
    <row r="443" spans="1:21">
      <c r="A443" t="s">
        <v>22</v>
      </c>
      <c r="B443" s="1">
        <f>HYPERLINK("https://cordis.europa.eu/project/id/829005", "829005")</f>
        <v>0</v>
      </c>
      <c r="C443" t="s">
        <v>373</v>
      </c>
      <c r="D443" t="s">
        <v>1186</v>
      </c>
      <c r="E443" t="s">
        <v>1786</v>
      </c>
      <c r="F443" t="s">
        <v>2189</v>
      </c>
      <c r="G443" t="s">
        <v>2430</v>
      </c>
      <c r="H443" t="s">
        <v>2548</v>
      </c>
      <c r="I443" t="s">
        <v>2556</v>
      </c>
      <c r="J443" s="1">
        <f>HYPERLINK("https://ec.europa.eu/info/funding-tenders/opportunities/portal/screen/how-to-participate/org-details/999845252", "999845252")</f>
        <v>0</v>
      </c>
      <c r="K443" t="s">
        <v>2687</v>
      </c>
      <c r="L443" t="s">
        <v>2908</v>
      </c>
      <c r="M443" t="s">
        <v>2965</v>
      </c>
      <c r="N443" t="b">
        <v>0</v>
      </c>
      <c r="O443" t="s">
        <v>2993</v>
      </c>
      <c r="P443" t="s">
        <v>3211</v>
      </c>
      <c r="Q443">
        <v>3</v>
      </c>
      <c r="R443" t="s">
        <v>3342</v>
      </c>
      <c r="S443" s="2">
        <v>0</v>
      </c>
      <c r="T443" s="2">
        <v>0</v>
      </c>
    </row>
    <row r="444" spans="1:21">
      <c r="A444" t="s">
        <v>22</v>
      </c>
      <c r="B444" s="1">
        <f>HYPERLINK("https://cordis.europa.eu/project/id/731626", "731626")</f>
        <v>0</v>
      </c>
      <c r="C444" t="s">
        <v>374</v>
      </c>
      <c r="D444" t="s">
        <v>1187</v>
      </c>
      <c r="E444" t="s">
        <v>1787</v>
      </c>
      <c r="F444" t="s">
        <v>2223</v>
      </c>
      <c r="G444" t="s">
        <v>2068</v>
      </c>
      <c r="H444" t="s">
        <v>2548</v>
      </c>
      <c r="I444" t="s">
        <v>2556</v>
      </c>
      <c r="J444" s="1">
        <f>HYPERLINK("https://ec.europa.eu/info/funding-tenders/opportunities/portal/screen/how-to-participate/org-details/986276989", "986276989")</f>
        <v>0</v>
      </c>
      <c r="K444" t="s">
        <v>2666</v>
      </c>
      <c r="L444" t="s">
        <v>2891</v>
      </c>
      <c r="M444" t="s">
        <v>2965</v>
      </c>
      <c r="N444" t="b">
        <v>0</v>
      </c>
      <c r="O444" t="s">
        <v>2993</v>
      </c>
      <c r="P444" t="s">
        <v>3212</v>
      </c>
      <c r="Q444">
        <v>8</v>
      </c>
      <c r="R444" t="s">
        <v>3342</v>
      </c>
      <c r="S444" s="2">
        <v>0</v>
      </c>
      <c r="T444" s="2">
        <v>0</v>
      </c>
      <c r="U444" s="2">
        <v>63750</v>
      </c>
    </row>
    <row r="445" spans="1:21">
      <c r="A445" t="s">
        <v>22</v>
      </c>
      <c r="B445" s="1">
        <f>HYPERLINK("https://cordis.europa.eu/project/id/885052", "885052")</f>
        <v>0</v>
      </c>
      <c r="C445" t="s">
        <v>338</v>
      </c>
      <c r="D445" t="s">
        <v>1188</v>
      </c>
      <c r="E445" t="s">
        <v>1788</v>
      </c>
      <c r="F445" t="s">
        <v>2201</v>
      </c>
      <c r="G445" t="s">
        <v>2412</v>
      </c>
      <c r="H445" t="s">
        <v>2548</v>
      </c>
      <c r="I445" t="s">
        <v>2556</v>
      </c>
      <c r="J445" s="1">
        <f>HYPERLINK("https://ec.europa.eu/info/funding-tenders/opportunities/portal/screen/how-to-participate/org-details/898956619", "898956619")</f>
        <v>0</v>
      </c>
      <c r="K445" t="s">
        <v>2729</v>
      </c>
      <c r="L445" t="s">
        <v>2929</v>
      </c>
      <c r="M445" t="s">
        <v>2967</v>
      </c>
      <c r="N445" t="b">
        <v>0</v>
      </c>
      <c r="O445" t="s">
        <v>2993</v>
      </c>
      <c r="P445" t="s">
        <v>3213</v>
      </c>
      <c r="Q445">
        <v>1</v>
      </c>
      <c r="R445" t="s">
        <v>3344</v>
      </c>
      <c r="S445" s="2">
        <v>0</v>
      </c>
      <c r="T445" s="2">
        <v>0</v>
      </c>
      <c r="U445" s="2">
        <v>238000</v>
      </c>
    </row>
    <row r="446" spans="1:21">
      <c r="A446" t="s">
        <v>22</v>
      </c>
      <c r="B446" s="1">
        <f>HYPERLINK("https://cordis.europa.eu/project/id/958174", "958174")</f>
        <v>0</v>
      </c>
      <c r="C446" t="s">
        <v>375</v>
      </c>
      <c r="D446" t="s">
        <v>1189</v>
      </c>
      <c r="E446" t="s">
        <v>1789</v>
      </c>
      <c r="F446" t="s">
        <v>2182</v>
      </c>
      <c r="G446" t="s">
        <v>2393</v>
      </c>
      <c r="H446" t="s">
        <v>2548</v>
      </c>
      <c r="I446" t="s">
        <v>2556</v>
      </c>
      <c r="J446" s="1">
        <f>HYPERLINK("https://ec.europa.eu/info/funding-tenders/opportunities/portal/screen/how-to-participate/org-details/897627525", "897627525")</f>
        <v>0</v>
      </c>
      <c r="K446" t="s">
        <v>2720</v>
      </c>
      <c r="M446" t="s">
        <v>2968</v>
      </c>
      <c r="N446" t="b">
        <v>0</v>
      </c>
      <c r="O446" t="s">
        <v>2992</v>
      </c>
      <c r="P446" t="s">
        <v>3214</v>
      </c>
      <c r="Q446">
        <v>8</v>
      </c>
      <c r="R446" t="s">
        <v>3342</v>
      </c>
      <c r="S446" s="2">
        <v>59812.5</v>
      </c>
      <c r="T446" s="2">
        <v>59812.5</v>
      </c>
      <c r="U446" s="2">
        <v>181250</v>
      </c>
    </row>
    <row r="447" spans="1:21">
      <c r="A447" t="s">
        <v>22</v>
      </c>
      <c r="B447" s="1">
        <f>HYPERLINK("https://cordis.europa.eu/project/id/721019", "721019")</f>
        <v>0</v>
      </c>
      <c r="C447" t="s">
        <v>376</v>
      </c>
      <c r="D447" t="s">
        <v>1190</v>
      </c>
      <c r="E447" t="s">
        <v>1790</v>
      </c>
      <c r="F447" t="s">
        <v>2223</v>
      </c>
      <c r="G447" t="s">
        <v>1916</v>
      </c>
      <c r="H447" t="s">
        <v>2548</v>
      </c>
      <c r="I447" t="s">
        <v>2556</v>
      </c>
      <c r="J447" s="1">
        <f>HYPERLINK("https://ec.europa.eu/info/funding-tenders/opportunities/portal/screen/how-to-participate/org-details/957524443", "957524443")</f>
        <v>0</v>
      </c>
      <c r="K447" t="s">
        <v>2702</v>
      </c>
      <c r="L447" t="s">
        <v>2916</v>
      </c>
      <c r="M447" t="s">
        <v>2965</v>
      </c>
      <c r="N447" t="b">
        <v>0</v>
      </c>
      <c r="O447" t="s">
        <v>2994</v>
      </c>
      <c r="P447" t="s">
        <v>3215</v>
      </c>
      <c r="Q447">
        <v>7</v>
      </c>
      <c r="R447" t="s">
        <v>3342</v>
      </c>
      <c r="S447" s="2">
        <v>319601.25</v>
      </c>
      <c r="T447" s="2">
        <v>319601.25</v>
      </c>
    </row>
    <row r="448" spans="1:21">
      <c r="A448" t="s">
        <v>22</v>
      </c>
      <c r="B448" s="1">
        <f>HYPERLINK("https://cordis.europa.eu/project/id/843320", "843320")</f>
        <v>0</v>
      </c>
      <c r="C448" t="s">
        <v>377</v>
      </c>
      <c r="D448" t="s">
        <v>1191</v>
      </c>
      <c r="E448" t="s">
        <v>1791</v>
      </c>
      <c r="F448" t="s">
        <v>2248</v>
      </c>
      <c r="G448" t="s">
        <v>2417</v>
      </c>
      <c r="H448" t="s">
        <v>2548</v>
      </c>
      <c r="I448" t="s">
        <v>2556</v>
      </c>
      <c r="J448" s="1">
        <f>HYPERLINK("https://ec.europa.eu/info/funding-tenders/opportunities/portal/screen/how-to-participate/org-details/998804636", "998804636")</f>
        <v>0</v>
      </c>
      <c r="K448" t="s">
        <v>2612</v>
      </c>
      <c r="L448" t="s">
        <v>2845</v>
      </c>
      <c r="M448" t="s">
        <v>2965</v>
      </c>
      <c r="N448" t="b">
        <v>0</v>
      </c>
      <c r="O448" t="s">
        <v>2997</v>
      </c>
      <c r="P448" t="s">
        <v>3158</v>
      </c>
      <c r="Q448">
        <v>2</v>
      </c>
      <c r="R448" t="s">
        <v>3345</v>
      </c>
      <c r="T448" s="2">
        <v>0</v>
      </c>
    </row>
    <row r="449" spans="1:21">
      <c r="A449" t="s">
        <v>22</v>
      </c>
      <c r="B449" s="1">
        <f>HYPERLINK("https://cordis.europa.eu/project/id/734331", "734331")</f>
        <v>0</v>
      </c>
      <c r="C449" t="s">
        <v>378</v>
      </c>
      <c r="D449" t="s">
        <v>1192</v>
      </c>
      <c r="E449" t="s">
        <v>1790</v>
      </c>
      <c r="F449" t="s">
        <v>2223</v>
      </c>
      <c r="G449" t="s">
        <v>2068</v>
      </c>
      <c r="H449" t="s">
        <v>2548</v>
      </c>
      <c r="I449" t="s">
        <v>2556</v>
      </c>
      <c r="J449" s="1">
        <f>HYPERLINK("https://ec.europa.eu/info/funding-tenders/opportunities/portal/screen/how-to-participate/org-details/998385014", "998385014")</f>
        <v>0</v>
      </c>
      <c r="K449" t="s">
        <v>2618</v>
      </c>
      <c r="L449" t="s">
        <v>2849</v>
      </c>
      <c r="M449" t="s">
        <v>2965</v>
      </c>
      <c r="N449" t="b">
        <v>0</v>
      </c>
      <c r="O449" t="s">
        <v>3003</v>
      </c>
      <c r="P449" t="s">
        <v>3177</v>
      </c>
      <c r="Q449">
        <v>14</v>
      </c>
      <c r="R449" t="s">
        <v>3345</v>
      </c>
      <c r="T449" s="2">
        <v>0</v>
      </c>
      <c r="U449" s="2">
        <v>0</v>
      </c>
    </row>
    <row r="450" spans="1:21">
      <c r="A450" t="s">
        <v>22</v>
      </c>
      <c r="B450" s="1">
        <f>HYPERLINK("https://cordis.europa.eu/project/id/734331", "734331")</f>
        <v>0</v>
      </c>
      <c r="C450" t="s">
        <v>378</v>
      </c>
      <c r="D450" t="s">
        <v>1192</v>
      </c>
      <c r="E450" t="s">
        <v>1790</v>
      </c>
      <c r="F450" t="s">
        <v>2223</v>
      </c>
      <c r="G450" t="s">
        <v>2068</v>
      </c>
      <c r="H450" t="s">
        <v>2548</v>
      </c>
      <c r="I450" t="s">
        <v>2556</v>
      </c>
      <c r="J450" s="1">
        <f>HYPERLINK("https://ec.europa.eu/info/funding-tenders/opportunities/portal/screen/how-to-participate/org-details/986276989", "986276989")</f>
        <v>0</v>
      </c>
      <c r="K450" t="s">
        <v>2666</v>
      </c>
      <c r="L450" t="s">
        <v>2891</v>
      </c>
      <c r="M450" t="s">
        <v>2965</v>
      </c>
      <c r="N450" t="b">
        <v>0</v>
      </c>
      <c r="O450" t="s">
        <v>3003</v>
      </c>
      <c r="P450" t="s">
        <v>3177</v>
      </c>
      <c r="Q450">
        <v>13</v>
      </c>
      <c r="R450" t="s">
        <v>3345</v>
      </c>
      <c r="T450" s="2">
        <v>0</v>
      </c>
      <c r="U450" s="2">
        <v>0</v>
      </c>
    </row>
    <row r="451" spans="1:21">
      <c r="A451" t="s">
        <v>22</v>
      </c>
      <c r="B451" s="1">
        <f>HYPERLINK("https://cordis.europa.eu/project/id/734331", "734331")</f>
        <v>0</v>
      </c>
      <c r="C451" t="s">
        <v>378</v>
      </c>
      <c r="D451" t="s">
        <v>1192</v>
      </c>
      <c r="E451" t="s">
        <v>1790</v>
      </c>
      <c r="F451" t="s">
        <v>2223</v>
      </c>
      <c r="G451" t="s">
        <v>2068</v>
      </c>
      <c r="H451" t="s">
        <v>2548</v>
      </c>
      <c r="I451" t="s">
        <v>2556</v>
      </c>
      <c r="J451" s="1">
        <f>HYPERLINK("https://ec.europa.eu/info/funding-tenders/opportunities/portal/screen/how-to-participate/org-details/998826946", "998826946")</f>
        <v>0</v>
      </c>
      <c r="K451" t="s">
        <v>2617</v>
      </c>
      <c r="L451" t="s">
        <v>2848</v>
      </c>
      <c r="M451" t="s">
        <v>2965</v>
      </c>
      <c r="N451" t="b">
        <v>0</v>
      </c>
      <c r="O451" t="s">
        <v>3003</v>
      </c>
      <c r="P451" t="s">
        <v>3177</v>
      </c>
      <c r="Q451">
        <v>12</v>
      </c>
      <c r="R451" t="s">
        <v>3345</v>
      </c>
      <c r="T451" s="2">
        <v>0</v>
      </c>
      <c r="U451" s="2">
        <v>0</v>
      </c>
    </row>
    <row r="452" spans="1:21">
      <c r="A452" t="s">
        <v>22</v>
      </c>
      <c r="B452" s="1">
        <f>HYPERLINK("https://cordis.europa.eu/project/id/101007976", "101007976")</f>
        <v>0</v>
      </c>
      <c r="C452" t="s">
        <v>379</v>
      </c>
      <c r="D452" t="s">
        <v>1193</v>
      </c>
      <c r="E452" t="s">
        <v>1792</v>
      </c>
      <c r="F452" t="s">
        <v>2187</v>
      </c>
      <c r="G452" t="s">
        <v>2398</v>
      </c>
      <c r="H452" t="s">
        <v>2548</v>
      </c>
      <c r="I452" t="s">
        <v>2556</v>
      </c>
      <c r="J452" s="1">
        <f>HYPERLINK("https://ec.europa.eu/info/funding-tenders/opportunities/portal/screen/how-to-participate/org-details/986276989", "986276989")</f>
        <v>0</v>
      </c>
      <c r="K452" t="s">
        <v>2666</v>
      </c>
      <c r="L452" t="s">
        <v>2891</v>
      </c>
      <c r="M452" t="s">
        <v>2965</v>
      </c>
      <c r="N452" t="b">
        <v>0</v>
      </c>
      <c r="O452" t="s">
        <v>3003</v>
      </c>
      <c r="P452" t="s">
        <v>3216</v>
      </c>
      <c r="Q452">
        <v>17</v>
      </c>
      <c r="R452" t="s">
        <v>3345</v>
      </c>
      <c r="T452" s="2">
        <v>0</v>
      </c>
      <c r="U452" s="2">
        <v>55200</v>
      </c>
    </row>
    <row r="453" spans="1:21">
      <c r="A453" t="s">
        <v>22</v>
      </c>
      <c r="B453" s="1">
        <f>HYPERLINK("https://cordis.europa.eu/project/id/690857", "690857")</f>
        <v>0</v>
      </c>
      <c r="C453" t="s">
        <v>380</v>
      </c>
      <c r="D453" t="s">
        <v>1194</v>
      </c>
      <c r="E453" t="s">
        <v>1793</v>
      </c>
      <c r="F453" t="s">
        <v>2188</v>
      </c>
      <c r="G453" t="s">
        <v>2436</v>
      </c>
      <c r="H453" t="s">
        <v>2549</v>
      </c>
      <c r="I453" t="s">
        <v>2557</v>
      </c>
      <c r="J453" s="1">
        <f>HYPERLINK("https://ec.europa.eu/info/funding-tenders/opportunities/portal/screen/how-to-participate/org-details/997692046", "997692046")</f>
        <v>0</v>
      </c>
      <c r="K453" t="s">
        <v>2680</v>
      </c>
      <c r="L453" t="s">
        <v>2902</v>
      </c>
      <c r="M453" t="s">
        <v>2966</v>
      </c>
      <c r="N453" t="b">
        <v>0</v>
      </c>
      <c r="O453" t="s">
        <v>3003</v>
      </c>
      <c r="P453" t="s">
        <v>3176</v>
      </c>
      <c r="Q453">
        <v>8</v>
      </c>
      <c r="R453" t="s">
        <v>3345</v>
      </c>
      <c r="T453" s="2">
        <v>0</v>
      </c>
      <c r="U453" s="2">
        <v>0</v>
      </c>
    </row>
    <row r="454" spans="1:21">
      <c r="A454" t="s">
        <v>22</v>
      </c>
      <c r="B454" s="1">
        <f>HYPERLINK("https://cordis.europa.eu/project/id/846860", "846860")</f>
        <v>0</v>
      </c>
      <c r="C454" t="s">
        <v>381</v>
      </c>
      <c r="D454" t="s">
        <v>1195</v>
      </c>
      <c r="E454" t="s">
        <v>1794</v>
      </c>
      <c r="F454" t="s">
        <v>2180</v>
      </c>
      <c r="G454" t="s">
        <v>2000</v>
      </c>
      <c r="H454" t="s">
        <v>2548</v>
      </c>
      <c r="I454" t="s">
        <v>2556</v>
      </c>
      <c r="J454" s="1">
        <f>HYPERLINK("https://ec.europa.eu/info/funding-tenders/opportunities/portal/screen/how-to-participate/org-details/998082180", "998082180")</f>
        <v>0</v>
      </c>
      <c r="K454" t="s">
        <v>2565</v>
      </c>
      <c r="M454" t="s">
        <v>2965</v>
      </c>
      <c r="N454" t="b">
        <v>0</v>
      </c>
      <c r="O454" t="s">
        <v>2997</v>
      </c>
      <c r="P454" t="s">
        <v>3158</v>
      </c>
      <c r="Q454">
        <v>2</v>
      </c>
      <c r="R454" t="s">
        <v>3345</v>
      </c>
      <c r="T454" s="2">
        <v>0</v>
      </c>
    </row>
    <row r="455" spans="1:21">
      <c r="A455" t="s">
        <v>22</v>
      </c>
      <c r="B455" s="1">
        <f>HYPERLINK("https://cordis.europa.eu/project/id/843094", "843094")</f>
        <v>0</v>
      </c>
      <c r="C455" t="s">
        <v>382</v>
      </c>
      <c r="D455" t="s">
        <v>1196</v>
      </c>
      <c r="E455" t="s">
        <v>1687</v>
      </c>
      <c r="F455" t="s">
        <v>2232</v>
      </c>
      <c r="G455" t="s">
        <v>2466</v>
      </c>
      <c r="H455" t="s">
        <v>2548</v>
      </c>
      <c r="I455" t="s">
        <v>2556</v>
      </c>
      <c r="J455" s="1">
        <f>HYPERLINK("https://ec.europa.eu/info/funding-tenders/opportunities/portal/screen/how-to-participate/org-details/998826946", "998826946")</f>
        <v>0</v>
      </c>
      <c r="K455" t="s">
        <v>2617</v>
      </c>
      <c r="L455" t="s">
        <v>2848</v>
      </c>
      <c r="M455" t="s">
        <v>2965</v>
      </c>
      <c r="N455" t="b">
        <v>0</v>
      </c>
      <c r="O455" t="s">
        <v>2997</v>
      </c>
      <c r="P455" t="s">
        <v>3158</v>
      </c>
      <c r="Q455">
        <v>2</v>
      </c>
      <c r="R455" t="s">
        <v>3345</v>
      </c>
      <c r="T455" s="2">
        <v>0</v>
      </c>
    </row>
    <row r="456" spans="1:21">
      <c r="A456" t="s">
        <v>22</v>
      </c>
      <c r="B456" s="1">
        <f>HYPERLINK("https://cordis.europa.eu/project/id/681228", "681228")</f>
        <v>0</v>
      </c>
      <c r="C456" t="s">
        <v>383</v>
      </c>
      <c r="D456" t="s">
        <v>1197</v>
      </c>
      <c r="E456" t="s">
        <v>1663</v>
      </c>
      <c r="F456" t="s">
        <v>2210</v>
      </c>
      <c r="G456" t="s">
        <v>2442</v>
      </c>
      <c r="H456" t="s">
        <v>2549</v>
      </c>
      <c r="I456" t="s">
        <v>2557</v>
      </c>
      <c r="J456" s="1">
        <f>HYPERLINK("https://ec.europa.eu/info/funding-tenders/opportunities/portal/screen/how-to-participate/org-details/999613131", "999613131")</f>
        <v>0</v>
      </c>
      <c r="K456" t="s">
        <v>2591</v>
      </c>
      <c r="L456" t="s">
        <v>2831</v>
      </c>
      <c r="M456" t="s">
        <v>2965</v>
      </c>
      <c r="N456" t="b">
        <v>0</v>
      </c>
      <c r="O456" t="s">
        <v>3003</v>
      </c>
      <c r="P456" t="s">
        <v>3176</v>
      </c>
      <c r="Q456">
        <v>19</v>
      </c>
      <c r="R456" t="s">
        <v>3345</v>
      </c>
      <c r="T456" s="2">
        <v>0</v>
      </c>
      <c r="U456" s="2">
        <v>274500</v>
      </c>
    </row>
    <row r="457" spans="1:21">
      <c r="A457" t="s">
        <v>22</v>
      </c>
      <c r="B457" s="1">
        <f>HYPERLINK("https://cordis.europa.eu/project/id/681228", "681228")</f>
        <v>0</v>
      </c>
      <c r="C457" t="s">
        <v>383</v>
      </c>
      <c r="D457" t="s">
        <v>1197</v>
      </c>
      <c r="E457" t="s">
        <v>1663</v>
      </c>
      <c r="F457" t="s">
        <v>2210</v>
      </c>
      <c r="G457" t="s">
        <v>2442</v>
      </c>
      <c r="H457" t="s">
        <v>2548</v>
      </c>
      <c r="I457" t="s">
        <v>2556</v>
      </c>
      <c r="J457" s="1">
        <f>HYPERLINK("https://ec.europa.eu/info/funding-tenders/opportunities/portal/screen/how-to-participate/org-details/998826946", "998826946")</f>
        <v>0</v>
      </c>
      <c r="K457" t="s">
        <v>2617</v>
      </c>
      <c r="L457" t="s">
        <v>2848</v>
      </c>
      <c r="M457" t="s">
        <v>2965</v>
      </c>
      <c r="N457" t="b">
        <v>0</v>
      </c>
      <c r="O457" t="s">
        <v>3003</v>
      </c>
      <c r="P457" t="s">
        <v>3176</v>
      </c>
      <c r="Q457">
        <v>17</v>
      </c>
      <c r="R457" t="s">
        <v>3345</v>
      </c>
      <c r="T457" s="2">
        <v>0</v>
      </c>
      <c r="U457" s="2">
        <v>49500</v>
      </c>
    </row>
    <row r="458" spans="1:21">
      <c r="A458" t="s">
        <v>22</v>
      </c>
      <c r="B458" s="1">
        <f>HYPERLINK("https://cordis.europa.eu/project/id/101022829", "101022829")</f>
        <v>0</v>
      </c>
      <c r="C458" t="s">
        <v>384</v>
      </c>
      <c r="D458" t="s">
        <v>1198</v>
      </c>
      <c r="E458" t="s">
        <v>1699</v>
      </c>
      <c r="F458" t="s">
        <v>2243</v>
      </c>
      <c r="G458" t="s">
        <v>2429</v>
      </c>
      <c r="H458" t="s">
        <v>2548</v>
      </c>
      <c r="I458" t="s">
        <v>2556</v>
      </c>
      <c r="J458" s="1">
        <f>HYPERLINK("https://ec.europa.eu/info/funding-tenders/opportunities/portal/screen/how-to-participate/org-details/998804636", "998804636")</f>
        <v>0</v>
      </c>
      <c r="K458" t="s">
        <v>2612</v>
      </c>
      <c r="L458" t="s">
        <v>2845</v>
      </c>
      <c r="M458" t="s">
        <v>2965</v>
      </c>
      <c r="N458" t="b">
        <v>0</v>
      </c>
      <c r="O458" t="s">
        <v>2993</v>
      </c>
      <c r="P458" t="s">
        <v>3167</v>
      </c>
      <c r="Q458">
        <v>9</v>
      </c>
      <c r="R458" t="s">
        <v>3342</v>
      </c>
      <c r="S458" s="2">
        <v>0</v>
      </c>
      <c r="T458" s="2">
        <v>0</v>
      </c>
      <c r="U458" s="2">
        <v>230400</v>
      </c>
    </row>
    <row r="459" spans="1:21">
      <c r="A459" t="s">
        <v>22</v>
      </c>
      <c r="B459" s="1">
        <f>HYPERLINK("https://cordis.europa.eu/project/id/101022829", "101022829")</f>
        <v>0</v>
      </c>
      <c r="C459" t="s">
        <v>384</v>
      </c>
      <c r="D459" t="s">
        <v>1198</v>
      </c>
      <c r="E459" t="s">
        <v>1699</v>
      </c>
      <c r="F459" t="s">
        <v>2243</v>
      </c>
      <c r="G459" t="s">
        <v>2429</v>
      </c>
      <c r="H459" t="s">
        <v>2548</v>
      </c>
      <c r="I459" t="s">
        <v>2556</v>
      </c>
      <c r="J459" s="1">
        <f>HYPERLINK("https://ec.europa.eu/info/funding-tenders/opportunities/portal/screen/how-to-participate/org-details/998826946", "998826946")</f>
        <v>0</v>
      </c>
      <c r="K459" t="s">
        <v>2617</v>
      </c>
      <c r="L459" t="s">
        <v>2848</v>
      </c>
      <c r="M459" t="s">
        <v>2965</v>
      </c>
      <c r="N459" t="b">
        <v>0</v>
      </c>
      <c r="O459" t="s">
        <v>2993</v>
      </c>
      <c r="P459" t="s">
        <v>3167</v>
      </c>
      <c r="Q459">
        <v>10</v>
      </c>
      <c r="R459" t="s">
        <v>3342</v>
      </c>
      <c r="S459" s="2">
        <v>0</v>
      </c>
      <c r="T459" s="2">
        <v>0</v>
      </c>
      <c r="U459" s="2">
        <v>129600</v>
      </c>
    </row>
    <row r="460" spans="1:21">
      <c r="A460" t="s">
        <v>22</v>
      </c>
      <c r="B460" s="1">
        <f>HYPERLINK("https://cordis.europa.eu/project/id/804150", "804150")</f>
        <v>0</v>
      </c>
      <c r="C460" t="s">
        <v>385</v>
      </c>
      <c r="D460" t="s">
        <v>1199</v>
      </c>
      <c r="E460" t="s">
        <v>1795</v>
      </c>
      <c r="F460" t="s">
        <v>2189</v>
      </c>
      <c r="G460" t="s">
        <v>2467</v>
      </c>
      <c r="H460" t="s">
        <v>2549</v>
      </c>
      <c r="I460" t="s">
        <v>2557</v>
      </c>
      <c r="J460" s="1">
        <f>HYPERLINK("https://ec.europa.eu/info/funding-tenders/opportunities/portal/screen/how-to-participate/org-details/992582086", "992582086")</f>
        <v>0</v>
      </c>
      <c r="K460" t="s">
        <v>2678</v>
      </c>
      <c r="L460" t="s">
        <v>2900</v>
      </c>
      <c r="M460" t="s">
        <v>2965</v>
      </c>
      <c r="N460" t="b">
        <v>0</v>
      </c>
      <c r="O460" t="s">
        <v>3006</v>
      </c>
      <c r="P460" t="s">
        <v>3208</v>
      </c>
      <c r="Q460">
        <v>2</v>
      </c>
      <c r="R460" t="s">
        <v>3342</v>
      </c>
      <c r="S460" s="2">
        <v>405405</v>
      </c>
      <c r="T460" s="2">
        <v>405405</v>
      </c>
      <c r="U460" s="2">
        <v>405405</v>
      </c>
    </row>
    <row r="461" spans="1:21">
      <c r="A461" t="s">
        <v>22</v>
      </c>
      <c r="B461" s="1">
        <f>HYPERLINK("https://cordis.europa.eu/project/id/771271", "771271")</f>
        <v>0</v>
      </c>
      <c r="C461" t="s">
        <v>386</v>
      </c>
      <c r="D461" t="s">
        <v>1200</v>
      </c>
      <c r="E461" t="s">
        <v>1796</v>
      </c>
      <c r="F461" t="s">
        <v>2239</v>
      </c>
      <c r="G461" t="s">
        <v>2442</v>
      </c>
      <c r="H461" t="s">
        <v>2549</v>
      </c>
      <c r="I461" t="s">
        <v>2557</v>
      </c>
      <c r="J461" s="1">
        <f>HYPERLINK("https://ec.europa.eu/info/funding-tenders/opportunities/portal/screen/how-to-participate/org-details/991108074", "991108074")</f>
        <v>0</v>
      </c>
      <c r="K461" t="s">
        <v>2695</v>
      </c>
      <c r="L461" t="s">
        <v>2912</v>
      </c>
      <c r="M461" t="s">
        <v>2967</v>
      </c>
      <c r="N461" t="b">
        <v>0</v>
      </c>
      <c r="O461" t="s">
        <v>2993</v>
      </c>
      <c r="P461" t="s">
        <v>3184</v>
      </c>
      <c r="Q461">
        <v>13</v>
      </c>
      <c r="R461" t="s">
        <v>3342</v>
      </c>
      <c r="S461" s="2">
        <v>0</v>
      </c>
      <c r="T461" s="2">
        <v>0</v>
      </c>
      <c r="U461" s="2">
        <v>93125</v>
      </c>
    </row>
    <row r="462" spans="1:21">
      <c r="A462" t="s">
        <v>22</v>
      </c>
      <c r="B462" s="1">
        <f>HYPERLINK("https://cordis.europa.eu/project/id/690952", "690952")</f>
        <v>0</v>
      </c>
      <c r="C462" t="s">
        <v>387</v>
      </c>
      <c r="D462" t="s">
        <v>1201</v>
      </c>
      <c r="E462" t="s">
        <v>1797</v>
      </c>
      <c r="F462" t="s">
        <v>2249</v>
      </c>
      <c r="G462" t="s">
        <v>2468</v>
      </c>
      <c r="H462" t="s">
        <v>2548</v>
      </c>
      <c r="I462" t="s">
        <v>2556</v>
      </c>
      <c r="J462" s="1">
        <f>HYPERLINK("https://ec.europa.eu/info/funding-tenders/opportunities/portal/screen/how-to-participate/org-details/999902773", "999902773")</f>
        <v>0</v>
      </c>
      <c r="K462" t="s">
        <v>2571</v>
      </c>
      <c r="L462" t="s">
        <v>2814</v>
      </c>
      <c r="M462" t="s">
        <v>2965</v>
      </c>
      <c r="N462" t="b">
        <v>0</v>
      </c>
      <c r="O462" t="s">
        <v>3003</v>
      </c>
      <c r="P462" t="s">
        <v>3176</v>
      </c>
      <c r="Q462">
        <v>6</v>
      </c>
      <c r="R462" t="s">
        <v>3345</v>
      </c>
      <c r="T462" s="2">
        <v>0</v>
      </c>
      <c r="U462" s="2">
        <v>9000</v>
      </c>
    </row>
    <row r="463" spans="1:21">
      <c r="A463" t="s">
        <v>22</v>
      </c>
      <c r="B463" s="1">
        <f>HYPERLINK("https://cordis.europa.eu/project/id/690952", "690952")</f>
        <v>0</v>
      </c>
      <c r="C463" t="s">
        <v>387</v>
      </c>
      <c r="D463" t="s">
        <v>1201</v>
      </c>
      <c r="E463" t="s">
        <v>1797</v>
      </c>
      <c r="F463" t="s">
        <v>2249</v>
      </c>
      <c r="G463" t="s">
        <v>2468</v>
      </c>
      <c r="H463" t="s">
        <v>2548</v>
      </c>
      <c r="I463" t="s">
        <v>2556</v>
      </c>
      <c r="J463" s="1">
        <f>HYPERLINK("https://ec.europa.eu/info/funding-tenders/opportunities/portal/screen/how-to-participate/org-details/998354750", "998354750")</f>
        <v>0</v>
      </c>
      <c r="K463" t="s">
        <v>2596</v>
      </c>
      <c r="L463" t="s">
        <v>2834</v>
      </c>
      <c r="M463" t="s">
        <v>2969</v>
      </c>
      <c r="N463" t="b">
        <v>0</v>
      </c>
      <c r="O463" t="s">
        <v>3003</v>
      </c>
      <c r="P463" t="s">
        <v>3176</v>
      </c>
      <c r="Q463">
        <v>7</v>
      </c>
      <c r="R463" t="s">
        <v>3345</v>
      </c>
      <c r="T463" s="2">
        <v>0</v>
      </c>
      <c r="U463" s="2">
        <v>4500</v>
      </c>
    </row>
    <row r="464" spans="1:21">
      <c r="A464" t="s">
        <v>22</v>
      </c>
      <c r="B464" s="1">
        <f>HYPERLINK("https://cordis.europa.eu/project/id/101000349", "101000349")</f>
        <v>0</v>
      </c>
      <c r="C464" t="s">
        <v>388</v>
      </c>
      <c r="D464" t="s">
        <v>1202</v>
      </c>
      <c r="E464" t="s">
        <v>1798</v>
      </c>
      <c r="F464" t="s">
        <v>2208</v>
      </c>
      <c r="G464" t="s">
        <v>2451</v>
      </c>
      <c r="H464" t="s">
        <v>2548</v>
      </c>
      <c r="I464" t="s">
        <v>2556</v>
      </c>
      <c r="J464" s="1">
        <f>HYPERLINK("https://ec.europa.eu/info/funding-tenders/opportunities/portal/screen/how-to-participate/org-details/998354750", "998354750")</f>
        <v>0</v>
      </c>
      <c r="K464" t="s">
        <v>2596</v>
      </c>
      <c r="L464" t="s">
        <v>2834</v>
      </c>
      <c r="M464" t="s">
        <v>2969</v>
      </c>
      <c r="N464" t="b">
        <v>0</v>
      </c>
      <c r="O464" t="s">
        <v>2985</v>
      </c>
      <c r="P464" t="s">
        <v>3217</v>
      </c>
      <c r="Q464">
        <v>1</v>
      </c>
      <c r="R464" t="s">
        <v>3344</v>
      </c>
      <c r="S464" s="2">
        <v>0</v>
      </c>
      <c r="T464" s="2">
        <v>0</v>
      </c>
      <c r="U464" s="2">
        <v>18000</v>
      </c>
    </row>
    <row r="465" spans="1:21">
      <c r="A465" t="s">
        <v>22</v>
      </c>
      <c r="B465" s="1">
        <f>HYPERLINK("https://cordis.europa.eu/project/id/892511", "892511")</f>
        <v>0</v>
      </c>
      <c r="C465" t="s">
        <v>389</v>
      </c>
      <c r="D465" t="s">
        <v>1203</v>
      </c>
      <c r="E465" t="s">
        <v>1680</v>
      </c>
      <c r="F465" t="s">
        <v>2212</v>
      </c>
      <c r="G465" t="s">
        <v>2469</v>
      </c>
      <c r="H465" t="s">
        <v>2548</v>
      </c>
      <c r="I465" t="s">
        <v>2556</v>
      </c>
      <c r="J465" s="1">
        <f>HYPERLINK("https://ec.europa.eu/info/funding-tenders/opportunities/portal/screen/how-to-participate/org-details/986276989", "986276989")</f>
        <v>0</v>
      </c>
      <c r="K465" t="s">
        <v>2666</v>
      </c>
      <c r="L465" t="s">
        <v>2891</v>
      </c>
      <c r="M465" t="s">
        <v>2965</v>
      </c>
      <c r="N465" t="b">
        <v>0</v>
      </c>
      <c r="O465" t="s">
        <v>2997</v>
      </c>
      <c r="P465" t="s">
        <v>3162</v>
      </c>
      <c r="Q465">
        <v>2</v>
      </c>
      <c r="R465" t="s">
        <v>3345</v>
      </c>
      <c r="T465" s="2">
        <v>0</v>
      </c>
    </row>
    <row r="466" spans="1:21">
      <c r="A466" t="s">
        <v>22</v>
      </c>
      <c r="B466" s="1">
        <f>HYPERLINK("https://cordis.europa.eu/project/id/847527", "847527")</f>
        <v>0</v>
      </c>
      <c r="C466" t="s">
        <v>390</v>
      </c>
      <c r="D466" t="s">
        <v>1204</v>
      </c>
      <c r="E466" t="s">
        <v>1762</v>
      </c>
      <c r="F466" t="s">
        <v>2205</v>
      </c>
      <c r="G466" t="s">
        <v>2417</v>
      </c>
      <c r="H466" t="s">
        <v>2548</v>
      </c>
      <c r="I466" t="s">
        <v>2556</v>
      </c>
      <c r="J466" s="1">
        <f>HYPERLINK("https://ec.europa.eu/info/funding-tenders/opportunities/portal/screen/how-to-participate/org-details/985382455", "985382455")</f>
        <v>0</v>
      </c>
      <c r="K466" t="s">
        <v>2730</v>
      </c>
      <c r="L466" t="s">
        <v>2930</v>
      </c>
      <c r="M466" t="s">
        <v>2965</v>
      </c>
      <c r="N466" t="b">
        <v>0</v>
      </c>
      <c r="O466" t="s">
        <v>2993</v>
      </c>
      <c r="P466" t="s">
        <v>3200</v>
      </c>
      <c r="Q466">
        <v>14</v>
      </c>
      <c r="R466" t="s">
        <v>3342</v>
      </c>
      <c r="S466" s="2">
        <v>0</v>
      </c>
      <c r="T466" s="2">
        <v>0</v>
      </c>
      <c r="U466" s="2">
        <v>87125</v>
      </c>
    </row>
    <row r="467" spans="1:21">
      <c r="A467" t="s">
        <v>22</v>
      </c>
      <c r="B467" s="1">
        <f>HYPERLINK("https://cordis.europa.eu/project/id/659359", "659359")</f>
        <v>0</v>
      </c>
      <c r="C467" t="s">
        <v>391</v>
      </c>
      <c r="D467" t="s">
        <v>1205</v>
      </c>
      <c r="E467" t="s">
        <v>1799</v>
      </c>
      <c r="F467" t="s">
        <v>2236</v>
      </c>
      <c r="G467" t="s">
        <v>2447</v>
      </c>
      <c r="H467" t="s">
        <v>2548</v>
      </c>
      <c r="I467" t="s">
        <v>2556</v>
      </c>
      <c r="J467" s="1">
        <f>HYPERLINK("https://ec.europa.eu/info/funding-tenders/opportunities/portal/screen/how-to-participate/org-details/969848487", "969848487")</f>
        <v>0</v>
      </c>
      <c r="K467" t="s">
        <v>2574</v>
      </c>
      <c r="L467" t="s">
        <v>2816</v>
      </c>
      <c r="M467" t="s">
        <v>2965</v>
      </c>
      <c r="N467" t="b">
        <v>0</v>
      </c>
      <c r="O467" t="s">
        <v>2998</v>
      </c>
      <c r="P467" t="s">
        <v>3165</v>
      </c>
      <c r="Q467">
        <v>2</v>
      </c>
      <c r="R467" t="s">
        <v>3345</v>
      </c>
      <c r="T467" s="2">
        <v>0</v>
      </c>
    </row>
    <row r="468" spans="1:21">
      <c r="A468" t="s">
        <v>22</v>
      </c>
      <c r="B468" s="1">
        <f>HYPERLINK("https://cordis.europa.eu/project/id/872690", "872690")</f>
        <v>0</v>
      </c>
      <c r="C468" t="s">
        <v>392</v>
      </c>
      <c r="D468" t="s">
        <v>1206</v>
      </c>
      <c r="E468" t="s">
        <v>1800</v>
      </c>
      <c r="F468" t="s">
        <v>2180</v>
      </c>
      <c r="G468" t="s">
        <v>2470</v>
      </c>
      <c r="H468" t="s">
        <v>2548</v>
      </c>
      <c r="I468" t="s">
        <v>2556</v>
      </c>
      <c r="J468" s="1">
        <f>HYPERLINK("https://ec.europa.eu/info/funding-tenders/opportunities/portal/screen/how-to-participate/org-details/903183782", "903183782")</f>
        <v>0</v>
      </c>
      <c r="K468" t="s">
        <v>2731</v>
      </c>
      <c r="L468" t="s">
        <v>2931</v>
      </c>
      <c r="M468" t="s">
        <v>2967</v>
      </c>
      <c r="N468" t="b">
        <v>0</v>
      </c>
      <c r="O468" t="s">
        <v>3003</v>
      </c>
      <c r="P468" t="s">
        <v>3189</v>
      </c>
      <c r="Q468">
        <v>7</v>
      </c>
      <c r="R468" t="s">
        <v>3345</v>
      </c>
      <c r="T468" s="2">
        <v>0</v>
      </c>
      <c r="U468" s="2">
        <v>0</v>
      </c>
    </row>
    <row r="469" spans="1:21">
      <c r="A469" t="s">
        <v>22</v>
      </c>
      <c r="B469" s="1">
        <f>HYPERLINK("https://cordis.europa.eu/project/id/734928", "734928")</f>
        <v>0</v>
      </c>
      <c r="C469" t="s">
        <v>393</v>
      </c>
      <c r="D469" t="s">
        <v>1207</v>
      </c>
      <c r="E469" t="s">
        <v>1801</v>
      </c>
      <c r="F469" t="s">
        <v>2223</v>
      </c>
      <c r="G469" t="s">
        <v>2436</v>
      </c>
      <c r="H469" t="s">
        <v>2549</v>
      </c>
      <c r="I469" t="s">
        <v>2557</v>
      </c>
      <c r="J469" s="1">
        <f>HYPERLINK("https://ec.europa.eu/info/funding-tenders/opportunities/portal/screen/how-to-participate/org-details/999613131", "999613131")</f>
        <v>0</v>
      </c>
      <c r="K469" t="s">
        <v>2591</v>
      </c>
      <c r="L469" t="s">
        <v>2831</v>
      </c>
      <c r="M469" t="s">
        <v>2965</v>
      </c>
      <c r="N469" t="b">
        <v>0</v>
      </c>
      <c r="O469" t="s">
        <v>3003</v>
      </c>
      <c r="P469" t="s">
        <v>3177</v>
      </c>
      <c r="Q469">
        <v>3</v>
      </c>
      <c r="R469" t="s">
        <v>3345</v>
      </c>
      <c r="T469" s="2">
        <v>0</v>
      </c>
      <c r="U469" s="2">
        <v>45000</v>
      </c>
    </row>
    <row r="470" spans="1:21">
      <c r="A470" t="s">
        <v>22</v>
      </c>
      <c r="B470" s="1">
        <f>HYPERLINK("https://cordis.europa.eu/project/id/656514", "656514")</f>
        <v>0</v>
      </c>
      <c r="C470" t="s">
        <v>394</v>
      </c>
      <c r="D470" t="s">
        <v>1208</v>
      </c>
      <c r="E470" t="s">
        <v>1802</v>
      </c>
      <c r="F470" t="s">
        <v>2194</v>
      </c>
      <c r="G470" t="s">
        <v>2320</v>
      </c>
      <c r="H470" t="s">
        <v>2549</v>
      </c>
      <c r="I470" t="s">
        <v>2557</v>
      </c>
      <c r="J470" s="1">
        <f>HYPERLINK("https://ec.europa.eu/info/funding-tenders/opportunities/portal/screen/how-to-participate/org-details/998317211", "998317211")</f>
        <v>0</v>
      </c>
      <c r="K470" t="s">
        <v>2649</v>
      </c>
      <c r="M470" t="s">
        <v>2966</v>
      </c>
      <c r="N470" t="b">
        <v>0</v>
      </c>
      <c r="O470" t="s">
        <v>2997</v>
      </c>
      <c r="P470" t="s">
        <v>3165</v>
      </c>
      <c r="Q470">
        <v>2</v>
      </c>
      <c r="R470" t="s">
        <v>3345</v>
      </c>
      <c r="T470" s="2">
        <v>0</v>
      </c>
    </row>
    <row r="471" spans="1:21">
      <c r="A471" t="s">
        <v>22</v>
      </c>
      <c r="B471" s="1">
        <f>HYPERLINK("https://cordis.europa.eu/project/id/772787", "772787")</f>
        <v>0</v>
      </c>
      <c r="C471" t="s">
        <v>395</v>
      </c>
      <c r="D471" t="s">
        <v>1209</v>
      </c>
      <c r="E471" t="s">
        <v>1740</v>
      </c>
      <c r="F471" t="s">
        <v>2237</v>
      </c>
      <c r="G471" t="s">
        <v>2411</v>
      </c>
      <c r="H471" t="s">
        <v>2549</v>
      </c>
      <c r="I471" t="s">
        <v>2557</v>
      </c>
      <c r="J471" s="1">
        <f>HYPERLINK("https://ec.europa.eu/info/funding-tenders/opportunities/portal/screen/how-to-participate/org-details/899346753", "899346753")</f>
        <v>0</v>
      </c>
      <c r="K471" t="s">
        <v>2732</v>
      </c>
      <c r="L471" t="s">
        <v>2732</v>
      </c>
      <c r="M471" t="s">
        <v>2967</v>
      </c>
      <c r="N471" t="b">
        <v>0</v>
      </c>
      <c r="O471" t="s">
        <v>2993</v>
      </c>
      <c r="P471" t="s">
        <v>3184</v>
      </c>
      <c r="Q471">
        <v>27</v>
      </c>
      <c r="R471" t="s">
        <v>3346</v>
      </c>
      <c r="S471" s="2">
        <v>0</v>
      </c>
      <c r="T471" s="2">
        <v>0</v>
      </c>
      <c r="U471" s="2">
        <v>0</v>
      </c>
    </row>
    <row r="472" spans="1:21">
      <c r="A472" t="s">
        <v>22</v>
      </c>
      <c r="B472" s="1">
        <f>HYPERLINK("https://cordis.europa.eu/project/id/772787", "772787")</f>
        <v>0</v>
      </c>
      <c r="C472" t="s">
        <v>395</v>
      </c>
      <c r="D472" t="s">
        <v>1209</v>
      </c>
      <c r="E472" t="s">
        <v>1740</v>
      </c>
      <c r="F472" t="s">
        <v>2237</v>
      </c>
      <c r="G472" t="s">
        <v>2411</v>
      </c>
      <c r="H472" t="s">
        <v>2548</v>
      </c>
      <c r="I472" t="s">
        <v>2556</v>
      </c>
      <c r="J472" s="1">
        <f>HYPERLINK("https://ec.europa.eu/info/funding-tenders/opportunities/portal/screen/how-to-participate/org-details/998804927", "998804927")</f>
        <v>0</v>
      </c>
      <c r="K472" t="s">
        <v>2613</v>
      </c>
      <c r="M472" t="s">
        <v>2965</v>
      </c>
      <c r="N472" t="b">
        <v>0</v>
      </c>
      <c r="O472" t="s">
        <v>2993</v>
      </c>
      <c r="P472" t="s">
        <v>3184</v>
      </c>
      <c r="Q472">
        <v>19</v>
      </c>
      <c r="R472" t="s">
        <v>3342</v>
      </c>
      <c r="S472" s="2">
        <v>0</v>
      </c>
      <c r="T472" s="2">
        <v>0</v>
      </c>
      <c r="U472" s="2">
        <v>246840</v>
      </c>
    </row>
    <row r="473" spans="1:21">
      <c r="A473" t="s">
        <v>22</v>
      </c>
      <c r="B473" s="1">
        <f>HYPERLINK("https://cordis.europa.eu/project/id/634486", "634486")</f>
        <v>0</v>
      </c>
      <c r="C473" t="s">
        <v>396</v>
      </c>
      <c r="D473" t="s">
        <v>1210</v>
      </c>
      <c r="E473" t="s">
        <v>1803</v>
      </c>
      <c r="F473" t="s">
        <v>1757</v>
      </c>
      <c r="G473" t="s">
        <v>2471</v>
      </c>
      <c r="H473" t="s">
        <v>2548</v>
      </c>
      <c r="I473" t="s">
        <v>2556</v>
      </c>
      <c r="J473" s="1">
        <f>HYPERLINK("https://ec.europa.eu/info/funding-tenders/opportunities/portal/screen/how-to-participate/org-details/999845252", "999845252")</f>
        <v>0</v>
      </c>
      <c r="K473" t="s">
        <v>2687</v>
      </c>
      <c r="L473" t="s">
        <v>2908</v>
      </c>
      <c r="M473" t="s">
        <v>2965</v>
      </c>
      <c r="N473" t="b">
        <v>0</v>
      </c>
      <c r="O473" t="s">
        <v>2994</v>
      </c>
      <c r="P473" t="s">
        <v>3218</v>
      </c>
      <c r="Q473">
        <v>21</v>
      </c>
      <c r="R473" t="s">
        <v>3342</v>
      </c>
      <c r="S473" s="2">
        <v>0</v>
      </c>
      <c r="T473" s="2">
        <v>0</v>
      </c>
      <c r="U473" s="2">
        <v>156250</v>
      </c>
    </row>
    <row r="474" spans="1:21">
      <c r="A474" t="s">
        <v>22</v>
      </c>
      <c r="B474" s="1">
        <f>HYPERLINK("https://cordis.europa.eu/project/id/785910", "785910")</f>
        <v>0</v>
      </c>
      <c r="C474" t="s">
        <v>397</v>
      </c>
      <c r="D474" t="s">
        <v>1211</v>
      </c>
      <c r="E474" t="s">
        <v>1804</v>
      </c>
      <c r="F474" t="s">
        <v>2227</v>
      </c>
      <c r="G474" t="s">
        <v>2472</v>
      </c>
      <c r="H474" t="s">
        <v>2548</v>
      </c>
      <c r="I474" t="s">
        <v>2556</v>
      </c>
      <c r="J474" s="1">
        <f>HYPERLINK("https://ec.europa.eu/info/funding-tenders/opportunities/portal/screen/how-to-participate/org-details/998804636", "998804636")</f>
        <v>0</v>
      </c>
      <c r="K474" t="s">
        <v>2612</v>
      </c>
      <c r="L474" t="s">
        <v>2845</v>
      </c>
      <c r="M474" t="s">
        <v>2965</v>
      </c>
      <c r="N474" t="b">
        <v>0</v>
      </c>
      <c r="O474" t="s">
        <v>2997</v>
      </c>
      <c r="P474" t="s">
        <v>3160</v>
      </c>
      <c r="Q474">
        <v>2</v>
      </c>
      <c r="R474" t="s">
        <v>3345</v>
      </c>
      <c r="T474" s="2">
        <v>0</v>
      </c>
    </row>
    <row r="475" spans="1:21">
      <c r="A475" t="s">
        <v>22</v>
      </c>
      <c r="B475" s="1">
        <f>HYPERLINK("https://cordis.europa.eu/project/id/638273", "638273")</f>
        <v>0</v>
      </c>
      <c r="C475" t="s">
        <v>398</v>
      </c>
      <c r="D475" t="s">
        <v>1212</v>
      </c>
      <c r="E475" t="s">
        <v>1805</v>
      </c>
      <c r="F475" t="s">
        <v>2221</v>
      </c>
      <c r="G475" t="s">
        <v>2473</v>
      </c>
      <c r="H475" t="s">
        <v>2548</v>
      </c>
      <c r="I475" t="s">
        <v>2556</v>
      </c>
      <c r="J475" s="1">
        <f>HYPERLINK("https://ec.europa.eu/info/funding-tenders/opportunities/portal/screen/how-to-participate/org-details/998826946", "998826946")</f>
        <v>0</v>
      </c>
      <c r="K475" t="s">
        <v>2617</v>
      </c>
      <c r="L475" t="s">
        <v>2848</v>
      </c>
      <c r="M475" t="s">
        <v>2965</v>
      </c>
      <c r="N475" t="b">
        <v>0</v>
      </c>
      <c r="O475" t="s">
        <v>3006</v>
      </c>
      <c r="P475" t="s">
        <v>3219</v>
      </c>
      <c r="Q475">
        <v>3</v>
      </c>
      <c r="R475" t="s">
        <v>3342</v>
      </c>
      <c r="S475" s="2">
        <v>60352.5</v>
      </c>
      <c r="T475" s="2">
        <v>60352.5</v>
      </c>
    </row>
    <row r="476" spans="1:21">
      <c r="A476" t="s">
        <v>22</v>
      </c>
      <c r="B476" s="1">
        <f>HYPERLINK("https://cordis.europa.eu/project/id/825775", "825775")</f>
        <v>0</v>
      </c>
      <c r="C476" t="s">
        <v>399</v>
      </c>
      <c r="D476" t="s">
        <v>1213</v>
      </c>
      <c r="E476" t="s">
        <v>1806</v>
      </c>
      <c r="F476" t="s">
        <v>2189</v>
      </c>
      <c r="G476" t="s">
        <v>2411</v>
      </c>
      <c r="H476" t="s">
        <v>2548</v>
      </c>
      <c r="I476" t="s">
        <v>2556</v>
      </c>
      <c r="J476" s="1">
        <f>HYPERLINK("https://ec.europa.eu/info/funding-tenders/opportunities/portal/screen/how-to-participate/org-details/986276989", "986276989")</f>
        <v>0</v>
      </c>
      <c r="K476" t="s">
        <v>2666</v>
      </c>
      <c r="L476" t="s">
        <v>2891</v>
      </c>
      <c r="M476" t="s">
        <v>2965</v>
      </c>
      <c r="N476" t="b">
        <v>0</v>
      </c>
      <c r="O476" t="s">
        <v>2993</v>
      </c>
      <c r="P476" t="s">
        <v>3152</v>
      </c>
      <c r="Q476">
        <v>15</v>
      </c>
      <c r="R476" t="s">
        <v>3342</v>
      </c>
      <c r="S476" s="2">
        <v>0</v>
      </c>
      <c r="T476" s="2">
        <v>0</v>
      </c>
      <c r="U476" s="2">
        <v>328000</v>
      </c>
    </row>
    <row r="477" spans="1:21">
      <c r="A477" t="s">
        <v>22</v>
      </c>
      <c r="B477" s="1">
        <f>HYPERLINK("https://cordis.europa.eu/project/id/825775", "825775")</f>
        <v>0</v>
      </c>
      <c r="C477" t="s">
        <v>399</v>
      </c>
      <c r="D477" t="s">
        <v>1213</v>
      </c>
      <c r="E477" t="s">
        <v>1806</v>
      </c>
      <c r="F477" t="s">
        <v>2189</v>
      </c>
      <c r="G477" t="s">
        <v>2411</v>
      </c>
      <c r="H477" t="s">
        <v>2548</v>
      </c>
      <c r="I477" t="s">
        <v>2556</v>
      </c>
      <c r="J477" s="1">
        <f>HYPERLINK("https://ec.europa.eu/info/funding-tenders/opportunities/portal/screen/how-to-participate/org-details/996325704", "996325704")</f>
        <v>0</v>
      </c>
      <c r="K477" t="s">
        <v>2640</v>
      </c>
      <c r="L477" t="s">
        <v>2869</v>
      </c>
      <c r="M477" t="s">
        <v>2966</v>
      </c>
      <c r="N477" t="b">
        <v>0</v>
      </c>
      <c r="O477" t="s">
        <v>2993</v>
      </c>
      <c r="P477" t="s">
        <v>3152</v>
      </c>
      <c r="Q477">
        <v>7</v>
      </c>
      <c r="R477" t="s">
        <v>3342</v>
      </c>
      <c r="S477" s="2">
        <v>0</v>
      </c>
      <c r="T477" s="2">
        <v>0</v>
      </c>
      <c r="U477" s="2">
        <v>157500</v>
      </c>
    </row>
    <row r="478" spans="1:21">
      <c r="A478" t="s">
        <v>22</v>
      </c>
      <c r="B478" s="1">
        <f>HYPERLINK("https://cordis.europa.eu/project/id/825775", "825775")</f>
        <v>0</v>
      </c>
      <c r="C478" t="s">
        <v>399</v>
      </c>
      <c r="D478" t="s">
        <v>1213</v>
      </c>
      <c r="E478" t="s">
        <v>1806</v>
      </c>
      <c r="F478" t="s">
        <v>2189</v>
      </c>
      <c r="G478" t="s">
        <v>2411</v>
      </c>
      <c r="H478" t="s">
        <v>2548</v>
      </c>
      <c r="I478" t="s">
        <v>2556</v>
      </c>
      <c r="J478" s="1">
        <f>HYPERLINK("https://ec.europa.eu/info/funding-tenders/opportunities/portal/screen/how-to-participate/org-details/998826946", "998826946")</f>
        <v>0</v>
      </c>
      <c r="K478" t="s">
        <v>2617</v>
      </c>
      <c r="L478" t="s">
        <v>2848</v>
      </c>
      <c r="M478" t="s">
        <v>2965</v>
      </c>
      <c r="N478" t="b">
        <v>0</v>
      </c>
      <c r="O478" t="s">
        <v>2993</v>
      </c>
      <c r="P478" t="s">
        <v>3152</v>
      </c>
      <c r="Q478">
        <v>6</v>
      </c>
      <c r="R478" t="s">
        <v>3342</v>
      </c>
      <c r="S478" s="2">
        <v>0</v>
      </c>
      <c r="T478" s="2">
        <v>0</v>
      </c>
      <c r="U478" s="2">
        <v>157500</v>
      </c>
    </row>
    <row r="479" spans="1:21">
      <c r="A479" t="s">
        <v>22</v>
      </c>
      <c r="B479" s="1">
        <f>HYPERLINK("https://cordis.europa.eu/project/id/679849", "679849")</f>
        <v>0</v>
      </c>
      <c r="C479" t="s">
        <v>400</v>
      </c>
      <c r="D479" t="s">
        <v>1214</v>
      </c>
      <c r="E479" t="s">
        <v>1807</v>
      </c>
      <c r="F479" t="s">
        <v>2249</v>
      </c>
      <c r="G479" t="s">
        <v>2410</v>
      </c>
      <c r="H479" t="s">
        <v>2548</v>
      </c>
      <c r="I479" t="s">
        <v>2556</v>
      </c>
      <c r="J479" s="1">
        <f>HYPERLINK("https://ec.europa.eu/info/funding-tenders/opportunities/portal/screen/how-to-participate/org-details/927323784", "927323784")</f>
        <v>0</v>
      </c>
      <c r="K479" t="s">
        <v>2733</v>
      </c>
      <c r="L479" t="s">
        <v>2733</v>
      </c>
      <c r="N479" t="b">
        <v>0</v>
      </c>
      <c r="O479" t="s">
        <v>2993</v>
      </c>
      <c r="P479" t="s">
        <v>3220</v>
      </c>
      <c r="Q479">
        <v>13</v>
      </c>
      <c r="R479" t="s">
        <v>3342</v>
      </c>
      <c r="S479" s="2">
        <v>0</v>
      </c>
      <c r="T479" s="2">
        <v>0</v>
      </c>
    </row>
    <row r="480" spans="1:21">
      <c r="A480" t="s">
        <v>22</v>
      </c>
      <c r="B480" s="1">
        <f>HYPERLINK("https://cordis.europa.eu/project/id/679849", "679849")</f>
        <v>0</v>
      </c>
      <c r="C480" t="s">
        <v>400</v>
      </c>
      <c r="D480" t="s">
        <v>1214</v>
      </c>
      <c r="E480" t="s">
        <v>1807</v>
      </c>
      <c r="F480" t="s">
        <v>2249</v>
      </c>
      <c r="G480" t="s">
        <v>2410</v>
      </c>
      <c r="H480" t="s">
        <v>2548</v>
      </c>
      <c r="I480" t="s">
        <v>2556</v>
      </c>
      <c r="J480" s="1">
        <f>HYPERLINK("https://ec.europa.eu/info/funding-tenders/opportunities/portal/screen/how-to-participate/org-details/998539535", "998539535")</f>
        <v>0</v>
      </c>
      <c r="K480" t="s">
        <v>2662</v>
      </c>
      <c r="L480" t="s">
        <v>2662</v>
      </c>
      <c r="M480" t="s">
        <v>2965</v>
      </c>
      <c r="N480" t="b">
        <v>0</v>
      </c>
      <c r="O480" t="s">
        <v>2993</v>
      </c>
      <c r="P480" t="s">
        <v>3220</v>
      </c>
      <c r="Q480">
        <v>20</v>
      </c>
      <c r="R480" t="s">
        <v>3342</v>
      </c>
      <c r="S480" s="2">
        <v>0</v>
      </c>
      <c r="T480" s="2">
        <v>0</v>
      </c>
      <c r="U480" s="2">
        <v>15500</v>
      </c>
    </row>
    <row r="481" spans="1:21">
      <c r="A481" t="s">
        <v>22</v>
      </c>
      <c r="B481" s="1">
        <f>HYPERLINK("https://cordis.europa.eu/project/id/823995", "823995")</f>
        <v>0</v>
      </c>
      <c r="C481" t="s">
        <v>401</v>
      </c>
      <c r="D481" t="s">
        <v>1215</v>
      </c>
      <c r="E481" t="s">
        <v>1808</v>
      </c>
      <c r="F481" t="s">
        <v>2235</v>
      </c>
      <c r="G481" t="s">
        <v>2428</v>
      </c>
      <c r="H481" t="s">
        <v>2548</v>
      </c>
      <c r="I481" t="s">
        <v>2556</v>
      </c>
      <c r="J481" s="1">
        <f>HYPERLINK("https://ec.europa.eu/info/funding-tenders/opportunities/portal/screen/how-to-participate/org-details/906781609", "906781609")</f>
        <v>0</v>
      </c>
      <c r="K481" t="s">
        <v>2734</v>
      </c>
      <c r="L481" t="s">
        <v>2932</v>
      </c>
      <c r="M481" t="s">
        <v>2968</v>
      </c>
      <c r="N481" t="b">
        <v>0</v>
      </c>
      <c r="O481" t="s">
        <v>3003</v>
      </c>
      <c r="P481" t="s">
        <v>3174</v>
      </c>
      <c r="Q481">
        <v>16</v>
      </c>
      <c r="R481" t="s">
        <v>3345</v>
      </c>
      <c r="T481" s="2">
        <v>0</v>
      </c>
      <c r="U481" s="2">
        <v>0</v>
      </c>
    </row>
    <row r="482" spans="1:21">
      <c r="A482" t="s">
        <v>22</v>
      </c>
      <c r="B482" s="1">
        <f>HYPERLINK("https://cordis.europa.eu/project/id/734317", "734317")</f>
        <v>0</v>
      </c>
      <c r="C482" t="s">
        <v>402</v>
      </c>
      <c r="D482" t="s">
        <v>1216</v>
      </c>
      <c r="E482" t="s">
        <v>1714</v>
      </c>
      <c r="F482" t="s">
        <v>2250</v>
      </c>
      <c r="G482" t="s">
        <v>2416</v>
      </c>
      <c r="H482" t="s">
        <v>2548</v>
      </c>
      <c r="I482" t="s">
        <v>2556</v>
      </c>
      <c r="J482" s="1">
        <f>HYPERLINK("https://ec.europa.eu/info/funding-tenders/opportunities/portal/screen/how-to-participate/org-details/999894043", "999894043")</f>
        <v>0</v>
      </c>
      <c r="K482" t="s">
        <v>2568</v>
      </c>
      <c r="L482" t="s">
        <v>2812</v>
      </c>
      <c r="M482" t="s">
        <v>2965</v>
      </c>
      <c r="N482" t="b">
        <v>0</v>
      </c>
      <c r="O482" t="s">
        <v>3003</v>
      </c>
      <c r="P482" t="s">
        <v>3177</v>
      </c>
      <c r="Q482">
        <v>21</v>
      </c>
      <c r="R482" t="s">
        <v>3345</v>
      </c>
      <c r="T482" s="2">
        <v>0</v>
      </c>
      <c r="U482" s="2">
        <v>0</v>
      </c>
    </row>
    <row r="483" spans="1:21">
      <c r="A483" t="s">
        <v>22</v>
      </c>
      <c r="B483" s="1">
        <f>HYPERLINK("https://cordis.europa.eu/project/id/734317", "734317")</f>
        <v>0</v>
      </c>
      <c r="C483" t="s">
        <v>402</v>
      </c>
      <c r="D483" t="s">
        <v>1216</v>
      </c>
      <c r="E483" t="s">
        <v>1714</v>
      </c>
      <c r="F483" t="s">
        <v>2250</v>
      </c>
      <c r="G483" t="s">
        <v>2416</v>
      </c>
      <c r="H483" t="s">
        <v>2548</v>
      </c>
      <c r="I483" t="s">
        <v>2556</v>
      </c>
      <c r="J483" s="1">
        <f>HYPERLINK("https://ec.europa.eu/info/funding-tenders/opportunities/portal/screen/how-to-participate/org-details/986276989", "986276989")</f>
        <v>0</v>
      </c>
      <c r="K483" t="s">
        <v>2666</v>
      </c>
      <c r="L483" t="s">
        <v>2891</v>
      </c>
      <c r="M483" t="s">
        <v>2965</v>
      </c>
      <c r="N483" t="b">
        <v>0</v>
      </c>
      <c r="O483" t="s">
        <v>3003</v>
      </c>
      <c r="P483" t="s">
        <v>3177</v>
      </c>
      <c r="Q483">
        <v>23</v>
      </c>
      <c r="R483" t="s">
        <v>3345</v>
      </c>
      <c r="T483" s="2">
        <v>0</v>
      </c>
      <c r="U483" s="2">
        <v>0</v>
      </c>
    </row>
    <row r="484" spans="1:21">
      <c r="A484" t="s">
        <v>22</v>
      </c>
      <c r="B484" s="1">
        <f>HYPERLINK("https://cordis.europa.eu/project/id/734317", "734317")</f>
        <v>0</v>
      </c>
      <c r="C484" t="s">
        <v>402</v>
      </c>
      <c r="D484" t="s">
        <v>1216</v>
      </c>
      <c r="E484" t="s">
        <v>1714</v>
      </c>
      <c r="F484" t="s">
        <v>2250</v>
      </c>
      <c r="G484" t="s">
        <v>2416</v>
      </c>
      <c r="H484" t="s">
        <v>2549</v>
      </c>
      <c r="I484" t="s">
        <v>2557</v>
      </c>
      <c r="J484" s="1">
        <f>HYPERLINK("https://ec.europa.eu/info/funding-tenders/opportunities/portal/screen/how-to-participate/org-details/997692046", "997692046")</f>
        <v>0</v>
      </c>
      <c r="K484" t="s">
        <v>2680</v>
      </c>
      <c r="L484" t="s">
        <v>2902</v>
      </c>
      <c r="M484" t="s">
        <v>2966</v>
      </c>
      <c r="N484" t="b">
        <v>0</v>
      </c>
      <c r="O484" t="s">
        <v>3003</v>
      </c>
      <c r="P484" t="s">
        <v>3177</v>
      </c>
      <c r="Q484">
        <v>19</v>
      </c>
      <c r="R484" t="s">
        <v>3345</v>
      </c>
      <c r="T484" s="2">
        <v>0</v>
      </c>
      <c r="U484" s="2">
        <v>0</v>
      </c>
    </row>
    <row r="485" spans="1:21">
      <c r="A485" t="s">
        <v>22</v>
      </c>
      <c r="B485" s="1">
        <f>HYPERLINK("https://cordis.europa.eu/project/id/777911", "777911")</f>
        <v>0</v>
      </c>
      <c r="C485" t="s">
        <v>403</v>
      </c>
      <c r="D485" t="s">
        <v>1217</v>
      </c>
      <c r="E485" t="s">
        <v>1809</v>
      </c>
      <c r="F485" t="s">
        <v>2247</v>
      </c>
      <c r="G485" t="s">
        <v>2435</v>
      </c>
      <c r="H485" t="s">
        <v>2548</v>
      </c>
      <c r="I485" t="s">
        <v>2556</v>
      </c>
      <c r="J485" s="1">
        <f>HYPERLINK("https://ec.europa.eu/info/funding-tenders/opportunities/portal/screen/how-to-participate/org-details/996231614", "996231614")</f>
        <v>0</v>
      </c>
      <c r="K485" t="s">
        <v>2652</v>
      </c>
      <c r="L485" t="s">
        <v>2652</v>
      </c>
      <c r="M485" t="s">
        <v>2965</v>
      </c>
      <c r="N485" t="b">
        <v>0</v>
      </c>
      <c r="O485" t="s">
        <v>3003</v>
      </c>
      <c r="P485" t="s">
        <v>3173</v>
      </c>
      <c r="Q485">
        <v>17</v>
      </c>
      <c r="R485" t="s">
        <v>3345</v>
      </c>
      <c r="T485" s="2">
        <v>0</v>
      </c>
      <c r="U485" s="2">
        <v>0</v>
      </c>
    </row>
    <row r="486" spans="1:21">
      <c r="A486" t="s">
        <v>22</v>
      </c>
      <c r="B486" s="1">
        <f>HYPERLINK("https://cordis.europa.eu/project/id/777911", "777911")</f>
        <v>0</v>
      </c>
      <c r="C486" t="s">
        <v>403</v>
      </c>
      <c r="D486" t="s">
        <v>1217</v>
      </c>
      <c r="E486" t="s">
        <v>1809</v>
      </c>
      <c r="F486" t="s">
        <v>2247</v>
      </c>
      <c r="G486" t="s">
        <v>2435</v>
      </c>
      <c r="H486" t="s">
        <v>2548</v>
      </c>
      <c r="I486" t="s">
        <v>2556</v>
      </c>
      <c r="J486" s="1">
        <f>HYPERLINK("https://ec.europa.eu/info/funding-tenders/opportunities/portal/screen/how-to-participate/org-details/997151562", "997151562")</f>
        <v>0</v>
      </c>
      <c r="K486" t="s">
        <v>2604</v>
      </c>
      <c r="M486" t="s">
        <v>2965</v>
      </c>
      <c r="N486" t="b">
        <v>0</v>
      </c>
      <c r="O486" t="s">
        <v>3003</v>
      </c>
      <c r="P486" t="s">
        <v>3173</v>
      </c>
      <c r="Q486">
        <v>15</v>
      </c>
      <c r="R486" t="s">
        <v>3345</v>
      </c>
      <c r="T486" s="2">
        <v>0</v>
      </c>
      <c r="U486" s="2">
        <v>0</v>
      </c>
    </row>
    <row r="487" spans="1:21">
      <c r="A487" t="s">
        <v>22</v>
      </c>
      <c r="B487" s="1">
        <f>HYPERLINK("https://cordis.europa.eu/project/id/733274", "733274")</f>
        <v>0</v>
      </c>
      <c r="C487" t="s">
        <v>404</v>
      </c>
      <c r="D487" t="s">
        <v>1218</v>
      </c>
      <c r="E487" t="s">
        <v>1714</v>
      </c>
      <c r="F487" t="s">
        <v>2250</v>
      </c>
      <c r="G487" t="s">
        <v>2474</v>
      </c>
      <c r="H487" t="s">
        <v>2548</v>
      </c>
      <c r="I487" t="s">
        <v>2556</v>
      </c>
      <c r="J487" s="1">
        <f>HYPERLINK("https://ec.europa.eu/info/funding-tenders/opportunities/portal/screen/how-to-participate/org-details/960368386", "960368386")</f>
        <v>0</v>
      </c>
      <c r="K487" t="s">
        <v>2622</v>
      </c>
      <c r="L487" t="s">
        <v>2853</v>
      </c>
      <c r="M487" t="s">
        <v>2969</v>
      </c>
      <c r="N487" t="b">
        <v>0</v>
      </c>
      <c r="O487" t="s">
        <v>2985</v>
      </c>
      <c r="P487" t="s">
        <v>3212</v>
      </c>
      <c r="Q487">
        <v>29</v>
      </c>
      <c r="R487" t="s">
        <v>3342</v>
      </c>
      <c r="S487" s="2">
        <v>0</v>
      </c>
      <c r="T487" s="2">
        <v>0</v>
      </c>
      <c r="U487" s="2">
        <v>30000</v>
      </c>
    </row>
    <row r="488" spans="1:21">
      <c r="A488" t="s">
        <v>22</v>
      </c>
      <c r="B488" s="1">
        <f>HYPERLINK("https://cordis.europa.eu/project/id/101007666", "101007666")</f>
        <v>0</v>
      </c>
      <c r="C488" t="s">
        <v>405</v>
      </c>
      <c r="D488" t="s">
        <v>1219</v>
      </c>
      <c r="E488" t="s">
        <v>1810</v>
      </c>
      <c r="F488" t="s">
        <v>2193</v>
      </c>
      <c r="G488" t="s">
        <v>2405</v>
      </c>
      <c r="H488" t="s">
        <v>2548</v>
      </c>
      <c r="I488" t="s">
        <v>2556</v>
      </c>
      <c r="J488" s="1">
        <f>HYPERLINK("https://ec.europa.eu/info/funding-tenders/opportunities/portal/screen/how-to-participate/org-details/895836420", "895836420")</f>
        <v>0</v>
      </c>
      <c r="K488" t="s">
        <v>2735</v>
      </c>
      <c r="M488" t="s">
        <v>2966</v>
      </c>
      <c r="N488" t="b">
        <v>0</v>
      </c>
      <c r="O488" t="s">
        <v>3003</v>
      </c>
      <c r="P488" t="s">
        <v>3216</v>
      </c>
      <c r="Q488">
        <v>19</v>
      </c>
      <c r="R488" t="s">
        <v>3345</v>
      </c>
      <c r="T488" s="2">
        <v>0</v>
      </c>
      <c r="U488" s="2">
        <v>0</v>
      </c>
    </row>
    <row r="489" spans="1:21">
      <c r="A489" t="s">
        <v>22</v>
      </c>
      <c r="B489" s="1">
        <f>HYPERLINK("https://cordis.europa.eu/project/id/823815", "823815")</f>
        <v>0</v>
      </c>
      <c r="C489" t="s">
        <v>406</v>
      </c>
      <c r="D489" t="s">
        <v>1220</v>
      </c>
      <c r="E489" t="s">
        <v>1724</v>
      </c>
      <c r="F489" t="s">
        <v>2251</v>
      </c>
      <c r="G489" t="s">
        <v>2443</v>
      </c>
      <c r="H489" t="s">
        <v>2548</v>
      </c>
      <c r="I489" t="s">
        <v>2556</v>
      </c>
      <c r="J489" s="1">
        <f>HYPERLINK("https://ec.europa.eu/info/funding-tenders/opportunities/portal/screen/how-to-participate/org-details/988059752", "988059752")</f>
        <v>0</v>
      </c>
      <c r="K489" t="s">
        <v>2564</v>
      </c>
      <c r="L489" t="s">
        <v>2809</v>
      </c>
      <c r="M489" t="s">
        <v>2965</v>
      </c>
      <c r="N489" t="b">
        <v>0</v>
      </c>
      <c r="O489" t="s">
        <v>3003</v>
      </c>
      <c r="P489" t="s">
        <v>3174</v>
      </c>
      <c r="Q489">
        <v>8</v>
      </c>
      <c r="R489" t="s">
        <v>3345</v>
      </c>
      <c r="T489" s="2">
        <v>0</v>
      </c>
      <c r="U489" s="2">
        <v>0</v>
      </c>
    </row>
    <row r="490" spans="1:21">
      <c r="A490" t="s">
        <v>22</v>
      </c>
      <c r="B490" s="1">
        <f>HYPERLINK("https://cordis.europa.eu/project/id/797805", "797805")</f>
        <v>0</v>
      </c>
      <c r="C490" t="s">
        <v>407</v>
      </c>
      <c r="D490" t="s">
        <v>1221</v>
      </c>
      <c r="E490" t="s">
        <v>1811</v>
      </c>
      <c r="F490" t="s">
        <v>2192</v>
      </c>
      <c r="G490" t="s">
        <v>2421</v>
      </c>
      <c r="H490" t="s">
        <v>2548</v>
      </c>
      <c r="I490" t="s">
        <v>2556</v>
      </c>
      <c r="J490" s="1">
        <f>HYPERLINK("https://ec.europa.eu/info/funding-tenders/opportunities/portal/screen/how-to-participate/org-details/999902773", "999902773")</f>
        <v>0</v>
      </c>
      <c r="K490" t="s">
        <v>2571</v>
      </c>
      <c r="L490" t="s">
        <v>2814</v>
      </c>
      <c r="M490" t="s">
        <v>2965</v>
      </c>
      <c r="N490" t="b">
        <v>0</v>
      </c>
      <c r="O490" t="s">
        <v>2997</v>
      </c>
      <c r="P490" t="s">
        <v>3160</v>
      </c>
      <c r="Q490">
        <v>2</v>
      </c>
      <c r="R490" t="s">
        <v>3345</v>
      </c>
      <c r="T490" s="2">
        <v>0</v>
      </c>
    </row>
    <row r="491" spans="1:21">
      <c r="A491" t="s">
        <v>22</v>
      </c>
      <c r="B491" s="1">
        <f>HYPERLINK("https://cordis.europa.eu/project/id/874477", "874477")</f>
        <v>0</v>
      </c>
      <c r="C491" t="s">
        <v>408</v>
      </c>
      <c r="D491" t="s">
        <v>1222</v>
      </c>
      <c r="E491" t="s">
        <v>1812</v>
      </c>
      <c r="F491" t="s">
        <v>2232</v>
      </c>
      <c r="G491" t="s">
        <v>2411</v>
      </c>
      <c r="H491" t="s">
        <v>2548</v>
      </c>
      <c r="I491" t="s">
        <v>2556</v>
      </c>
      <c r="J491" s="1">
        <f>HYPERLINK("https://ec.europa.eu/info/funding-tenders/opportunities/portal/screen/how-to-participate/org-details/924404957", "924404957")</f>
        <v>0</v>
      </c>
      <c r="K491" t="s">
        <v>2736</v>
      </c>
      <c r="M491" t="s">
        <v>2968</v>
      </c>
      <c r="N491" t="b">
        <v>0</v>
      </c>
      <c r="O491" t="s">
        <v>2993</v>
      </c>
      <c r="P491" t="s">
        <v>3179</v>
      </c>
      <c r="Q491">
        <v>8</v>
      </c>
      <c r="R491" t="s">
        <v>3346</v>
      </c>
      <c r="S491" s="2">
        <v>0</v>
      </c>
      <c r="T491" s="2">
        <v>280000</v>
      </c>
      <c r="U491" s="2">
        <v>400000</v>
      </c>
    </row>
    <row r="492" spans="1:21">
      <c r="A492" t="s">
        <v>22</v>
      </c>
      <c r="B492" s="1">
        <f>HYPERLINK("https://cordis.europa.eu/project/id/874477", "874477")</f>
        <v>0</v>
      </c>
      <c r="C492" t="s">
        <v>408</v>
      </c>
      <c r="D492" t="s">
        <v>1222</v>
      </c>
      <c r="E492" t="s">
        <v>1812</v>
      </c>
      <c r="F492" t="s">
        <v>2232</v>
      </c>
      <c r="G492" t="s">
        <v>2411</v>
      </c>
      <c r="H492" t="s">
        <v>2548</v>
      </c>
      <c r="I492" t="s">
        <v>2556</v>
      </c>
      <c r="J492" s="1">
        <f>HYPERLINK("https://ec.europa.eu/info/funding-tenders/opportunities/portal/screen/how-to-participate/org-details/917947861", "917947861")</f>
        <v>0</v>
      </c>
      <c r="K492" t="s">
        <v>2737</v>
      </c>
      <c r="M492" t="s">
        <v>2967</v>
      </c>
      <c r="N492" t="b">
        <v>0</v>
      </c>
      <c r="O492" t="s">
        <v>2993</v>
      </c>
      <c r="P492" t="s">
        <v>3179</v>
      </c>
      <c r="Q492">
        <v>18</v>
      </c>
      <c r="R492" t="s">
        <v>3346</v>
      </c>
      <c r="S492" s="2">
        <v>0</v>
      </c>
      <c r="T492" s="2">
        <v>0</v>
      </c>
      <c r="U492" s="2">
        <v>0</v>
      </c>
    </row>
    <row r="493" spans="1:21">
      <c r="A493" t="s">
        <v>22</v>
      </c>
      <c r="B493" s="1">
        <f>HYPERLINK("https://cordis.europa.eu/project/id/734153", "734153")</f>
        <v>0</v>
      </c>
      <c r="C493" t="s">
        <v>409</v>
      </c>
      <c r="D493" t="s">
        <v>1223</v>
      </c>
      <c r="E493" t="s">
        <v>1813</v>
      </c>
      <c r="F493" t="s">
        <v>2250</v>
      </c>
      <c r="G493" t="s">
        <v>2436</v>
      </c>
      <c r="H493" t="s">
        <v>2548</v>
      </c>
      <c r="I493" t="s">
        <v>2556</v>
      </c>
      <c r="J493" s="1">
        <f>HYPERLINK("https://ec.europa.eu/info/funding-tenders/opportunities/portal/screen/how-to-participate/org-details/924404957", "924404957")</f>
        <v>0</v>
      </c>
      <c r="K493" t="s">
        <v>2736</v>
      </c>
      <c r="M493" t="s">
        <v>2968</v>
      </c>
      <c r="N493" t="b">
        <v>0</v>
      </c>
      <c r="O493" t="s">
        <v>3007</v>
      </c>
      <c r="P493" t="s">
        <v>3221</v>
      </c>
      <c r="Q493">
        <v>1</v>
      </c>
      <c r="R493" t="s">
        <v>3346</v>
      </c>
      <c r="S493" s="2">
        <v>0</v>
      </c>
      <c r="T493" s="2">
        <v>0</v>
      </c>
      <c r="U493" s="2">
        <v>0</v>
      </c>
    </row>
    <row r="494" spans="1:21">
      <c r="A494" t="s">
        <v>22</v>
      </c>
      <c r="B494" s="1">
        <f>HYPERLINK("https://cordis.europa.eu/project/id/730195", "730195")</f>
        <v>0</v>
      </c>
      <c r="C494" t="s">
        <v>410</v>
      </c>
      <c r="D494" t="s">
        <v>1224</v>
      </c>
      <c r="E494" t="s">
        <v>1814</v>
      </c>
      <c r="F494" t="s">
        <v>2194</v>
      </c>
      <c r="G494" t="s">
        <v>2475</v>
      </c>
      <c r="H494" t="s">
        <v>2548</v>
      </c>
      <c r="I494" t="s">
        <v>2556</v>
      </c>
      <c r="J494" s="1">
        <f>HYPERLINK("https://ec.europa.eu/info/funding-tenders/opportunities/portal/screen/how-to-participate/org-details/924404957", "924404957")</f>
        <v>0</v>
      </c>
      <c r="K494" t="s">
        <v>2736</v>
      </c>
      <c r="M494" t="s">
        <v>2968</v>
      </c>
      <c r="N494" t="b">
        <v>0</v>
      </c>
      <c r="O494" t="s">
        <v>3007</v>
      </c>
      <c r="P494" t="s">
        <v>3221</v>
      </c>
      <c r="Q494">
        <v>13</v>
      </c>
      <c r="R494" t="s">
        <v>3346</v>
      </c>
      <c r="S494" s="2">
        <v>0</v>
      </c>
      <c r="T494" s="2">
        <v>84000</v>
      </c>
      <c r="U494" s="2">
        <v>120000</v>
      </c>
    </row>
    <row r="495" spans="1:21">
      <c r="A495" t="s">
        <v>22</v>
      </c>
      <c r="B495" s="1">
        <f>HYPERLINK("https://cordis.europa.eu/project/id/730195", "730195")</f>
        <v>0</v>
      </c>
      <c r="C495" t="s">
        <v>410</v>
      </c>
      <c r="D495" t="s">
        <v>1224</v>
      </c>
      <c r="E495" t="s">
        <v>1814</v>
      </c>
      <c r="F495" t="s">
        <v>2194</v>
      </c>
      <c r="G495" t="s">
        <v>2475</v>
      </c>
      <c r="H495" t="s">
        <v>2548</v>
      </c>
      <c r="I495" t="s">
        <v>2556</v>
      </c>
      <c r="J495" s="1">
        <f>HYPERLINK("https://ec.europa.eu/info/funding-tenders/opportunities/portal/screen/how-to-participate/org-details/917947861", "917947861")</f>
        <v>0</v>
      </c>
      <c r="K495" t="s">
        <v>2737</v>
      </c>
      <c r="M495" t="s">
        <v>2967</v>
      </c>
      <c r="N495" t="b">
        <v>0</v>
      </c>
      <c r="O495" t="s">
        <v>3007</v>
      </c>
      <c r="P495" t="s">
        <v>3221</v>
      </c>
      <c r="Q495">
        <v>30</v>
      </c>
      <c r="R495" t="s">
        <v>3346</v>
      </c>
      <c r="S495" s="2">
        <v>0</v>
      </c>
      <c r="T495" s="2">
        <v>0</v>
      </c>
      <c r="U495" s="2">
        <v>0</v>
      </c>
    </row>
    <row r="496" spans="1:21">
      <c r="A496" t="s">
        <v>22</v>
      </c>
      <c r="B496" s="1">
        <f>HYPERLINK("https://cordis.europa.eu/project/id/101016848", "101016848")</f>
        <v>0</v>
      </c>
      <c r="C496" t="s">
        <v>411</v>
      </c>
      <c r="D496" t="s">
        <v>1225</v>
      </c>
      <c r="E496" t="s">
        <v>1815</v>
      </c>
      <c r="F496" t="s">
        <v>2193</v>
      </c>
      <c r="G496" t="s">
        <v>2443</v>
      </c>
      <c r="H496" t="s">
        <v>2548</v>
      </c>
      <c r="I496" t="s">
        <v>2556</v>
      </c>
      <c r="J496" s="1">
        <f>HYPERLINK("https://ec.europa.eu/info/funding-tenders/opportunities/portal/screen/how-to-participate/org-details/998225740", "998225740")</f>
        <v>0</v>
      </c>
      <c r="K496" t="s">
        <v>2637</v>
      </c>
      <c r="M496" t="s">
        <v>2965</v>
      </c>
      <c r="N496" t="b">
        <v>0</v>
      </c>
      <c r="O496" t="s">
        <v>2993</v>
      </c>
      <c r="P496" t="s">
        <v>3222</v>
      </c>
      <c r="Q496">
        <v>5</v>
      </c>
      <c r="R496" t="s">
        <v>3342</v>
      </c>
      <c r="S496" s="2">
        <v>0</v>
      </c>
      <c r="T496" s="2">
        <v>0</v>
      </c>
    </row>
    <row r="497" spans="1:21">
      <c r="A497" t="s">
        <v>22</v>
      </c>
      <c r="B497" s="1">
        <f>HYPERLINK("https://cordis.europa.eu/project/id/101016848", "101016848")</f>
        <v>0</v>
      </c>
      <c r="C497" t="s">
        <v>411</v>
      </c>
      <c r="D497" t="s">
        <v>1225</v>
      </c>
      <c r="E497" t="s">
        <v>1815</v>
      </c>
      <c r="F497" t="s">
        <v>2193</v>
      </c>
      <c r="G497" t="s">
        <v>2443</v>
      </c>
      <c r="H497" t="s">
        <v>2548</v>
      </c>
      <c r="I497" t="s">
        <v>2556</v>
      </c>
      <c r="J497" s="1">
        <f>HYPERLINK("https://ec.europa.eu/info/funding-tenders/opportunities/portal/screen/how-to-participate/org-details/893794861", "893794861")</f>
        <v>0</v>
      </c>
      <c r="K497" t="s">
        <v>2738</v>
      </c>
      <c r="M497" t="s">
        <v>2967</v>
      </c>
      <c r="N497" t="b">
        <v>0</v>
      </c>
      <c r="O497" t="s">
        <v>2993</v>
      </c>
      <c r="P497" t="s">
        <v>3222</v>
      </c>
      <c r="Q497">
        <v>6</v>
      </c>
      <c r="R497" t="s">
        <v>3342</v>
      </c>
      <c r="S497" s="2">
        <v>0</v>
      </c>
      <c r="T497" s="2">
        <v>0</v>
      </c>
    </row>
    <row r="498" spans="1:21">
      <c r="A498" t="s">
        <v>22</v>
      </c>
      <c r="B498" s="1">
        <f>HYPERLINK("https://cordis.europa.eu/project/id/731781", "731781")</f>
        <v>0</v>
      </c>
      <c r="C498" t="s">
        <v>412</v>
      </c>
      <c r="D498" t="s">
        <v>1226</v>
      </c>
      <c r="E498" t="s">
        <v>1790</v>
      </c>
      <c r="F498" t="s">
        <v>2250</v>
      </c>
      <c r="G498" t="s">
        <v>1679</v>
      </c>
      <c r="H498" t="s">
        <v>2548</v>
      </c>
      <c r="I498" t="s">
        <v>2556</v>
      </c>
      <c r="J498" s="1">
        <f>HYPERLINK("https://ec.europa.eu/info/funding-tenders/opportunities/portal/screen/how-to-participate/org-details/917947861", "917947861")</f>
        <v>0</v>
      </c>
      <c r="K498" t="s">
        <v>2737</v>
      </c>
      <c r="M498" t="s">
        <v>2967</v>
      </c>
      <c r="N498" t="b">
        <v>0</v>
      </c>
      <c r="O498" t="s">
        <v>2993</v>
      </c>
      <c r="P498" t="s">
        <v>3221</v>
      </c>
      <c r="Q498">
        <v>17</v>
      </c>
      <c r="R498" t="s">
        <v>3346</v>
      </c>
      <c r="S498" s="2">
        <v>0</v>
      </c>
      <c r="T498" s="2">
        <v>391562.5</v>
      </c>
      <c r="U498" s="2">
        <v>559375</v>
      </c>
    </row>
    <row r="499" spans="1:21">
      <c r="A499" t="s">
        <v>22</v>
      </c>
      <c r="B499" s="1">
        <f>HYPERLINK("https://cordis.europa.eu/project/id/824077", "824077")</f>
        <v>0</v>
      </c>
      <c r="C499" t="s">
        <v>413</v>
      </c>
      <c r="D499" t="s">
        <v>1227</v>
      </c>
      <c r="E499" t="s">
        <v>1816</v>
      </c>
      <c r="F499" t="s">
        <v>2233</v>
      </c>
      <c r="G499" t="s">
        <v>2451</v>
      </c>
      <c r="H499" t="s">
        <v>2548</v>
      </c>
      <c r="I499" t="s">
        <v>2556</v>
      </c>
      <c r="J499" s="1">
        <f>HYPERLINK("https://ec.europa.eu/info/funding-tenders/opportunities/portal/screen/how-to-participate/org-details/969848487", "969848487")</f>
        <v>0</v>
      </c>
      <c r="K499" t="s">
        <v>2574</v>
      </c>
      <c r="L499" t="s">
        <v>2816</v>
      </c>
      <c r="M499" t="s">
        <v>2965</v>
      </c>
      <c r="N499" t="b">
        <v>0</v>
      </c>
      <c r="O499" t="s">
        <v>2993</v>
      </c>
      <c r="P499" t="s">
        <v>3223</v>
      </c>
      <c r="Q499">
        <v>41</v>
      </c>
      <c r="R499" t="s">
        <v>3342</v>
      </c>
      <c r="S499" s="2">
        <v>175800</v>
      </c>
      <c r="T499" s="2">
        <v>175800</v>
      </c>
      <c r="U499" s="2">
        <v>175800</v>
      </c>
    </row>
    <row r="500" spans="1:21">
      <c r="A500" t="s">
        <v>22</v>
      </c>
      <c r="B500" s="1">
        <f>HYPERLINK("https://cordis.europa.eu/project/id/824077", "824077")</f>
        <v>0</v>
      </c>
      <c r="C500" t="s">
        <v>413</v>
      </c>
      <c r="D500" t="s">
        <v>1227</v>
      </c>
      <c r="E500" t="s">
        <v>1816</v>
      </c>
      <c r="F500" t="s">
        <v>2233</v>
      </c>
      <c r="G500" t="s">
        <v>2451</v>
      </c>
      <c r="H500" t="s">
        <v>2549</v>
      </c>
      <c r="I500" t="s">
        <v>2557</v>
      </c>
      <c r="J500" s="1">
        <f>HYPERLINK("https://ec.europa.eu/info/funding-tenders/opportunities/portal/screen/how-to-participate/org-details/997692046", "997692046")</f>
        <v>0</v>
      </c>
      <c r="K500" t="s">
        <v>2680</v>
      </c>
      <c r="L500" t="s">
        <v>2902</v>
      </c>
      <c r="M500" t="s">
        <v>2966</v>
      </c>
      <c r="N500" t="b">
        <v>0</v>
      </c>
      <c r="O500" t="s">
        <v>2993</v>
      </c>
      <c r="P500" t="s">
        <v>3223</v>
      </c>
      <c r="Q500">
        <v>33</v>
      </c>
      <c r="R500" t="s">
        <v>3342</v>
      </c>
      <c r="S500" s="2">
        <v>466922.5</v>
      </c>
      <c r="T500" s="2">
        <v>466922.5</v>
      </c>
    </row>
    <row r="501" spans="1:21">
      <c r="A501" t="s">
        <v>22</v>
      </c>
      <c r="B501" s="1">
        <f>HYPERLINK("https://cordis.europa.eu/project/id/818368", "818368")</f>
        <v>0</v>
      </c>
      <c r="C501" t="s">
        <v>292</v>
      </c>
      <c r="D501" t="s">
        <v>1228</v>
      </c>
      <c r="E501" t="s">
        <v>1817</v>
      </c>
      <c r="F501" t="s">
        <v>2252</v>
      </c>
      <c r="G501" t="s">
        <v>2284</v>
      </c>
      <c r="H501" t="s">
        <v>2548</v>
      </c>
      <c r="I501" t="s">
        <v>2556</v>
      </c>
      <c r="J501" s="1">
        <f>HYPERLINK("https://ec.europa.eu/info/funding-tenders/opportunities/portal/screen/how-to-participate/org-details/998354750", "998354750")</f>
        <v>0</v>
      </c>
      <c r="K501" t="s">
        <v>2596</v>
      </c>
      <c r="L501" t="s">
        <v>2834</v>
      </c>
      <c r="M501" t="s">
        <v>2969</v>
      </c>
      <c r="N501" t="b">
        <v>0</v>
      </c>
      <c r="O501" t="s">
        <v>2994</v>
      </c>
      <c r="P501" t="s">
        <v>3224</v>
      </c>
      <c r="Q501">
        <v>1</v>
      </c>
      <c r="R501" t="s">
        <v>3346</v>
      </c>
      <c r="S501" s="2">
        <v>0</v>
      </c>
      <c r="T501" s="2">
        <v>0</v>
      </c>
    </row>
    <row r="502" spans="1:21">
      <c r="A502" t="s">
        <v>22</v>
      </c>
      <c r="B502" s="1">
        <f>HYPERLINK("https://cordis.europa.eu/project/id/795792", "795792")</f>
        <v>0</v>
      </c>
      <c r="C502" t="s">
        <v>414</v>
      </c>
      <c r="D502" t="s">
        <v>1229</v>
      </c>
      <c r="E502" t="s">
        <v>1818</v>
      </c>
      <c r="F502" t="s">
        <v>2227</v>
      </c>
      <c r="G502" t="s">
        <v>2476</v>
      </c>
      <c r="H502" t="s">
        <v>2548</v>
      </c>
      <c r="I502" t="s">
        <v>2556</v>
      </c>
      <c r="J502" s="1">
        <f>HYPERLINK("https://ec.europa.eu/info/funding-tenders/opportunities/portal/screen/how-to-participate/org-details/999845252", "999845252")</f>
        <v>0</v>
      </c>
      <c r="K502" t="s">
        <v>2687</v>
      </c>
      <c r="L502" t="s">
        <v>2908</v>
      </c>
      <c r="M502" t="s">
        <v>2965</v>
      </c>
      <c r="N502" t="b">
        <v>0</v>
      </c>
      <c r="O502" t="s">
        <v>2997</v>
      </c>
      <c r="P502" t="s">
        <v>3160</v>
      </c>
      <c r="Q502">
        <v>2</v>
      </c>
      <c r="R502" t="s">
        <v>3345</v>
      </c>
      <c r="T502" s="2">
        <v>0</v>
      </c>
    </row>
    <row r="503" spans="1:21">
      <c r="A503" t="s">
        <v>22</v>
      </c>
      <c r="B503" s="1">
        <f>HYPERLINK("https://cordis.europa.eu/project/id/731016", "731016")</f>
        <v>0</v>
      </c>
      <c r="C503" t="s">
        <v>415</v>
      </c>
      <c r="D503" t="s">
        <v>1230</v>
      </c>
      <c r="E503" t="s">
        <v>1819</v>
      </c>
      <c r="F503" t="s">
        <v>2223</v>
      </c>
      <c r="G503" t="s">
        <v>2436</v>
      </c>
      <c r="H503" t="s">
        <v>2549</v>
      </c>
      <c r="I503" t="s">
        <v>2557</v>
      </c>
      <c r="J503" s="1">
        <f>HYPERLINK("https://ec.europa.eu/info/funding-tenders/opportunities/portal/screen/how-to-participate/org-details/998295580", "998295580")</f>
        <v>0</v>
      </c>
      <c r="K503" t="s">
        <v>2686</v>
      </c>
      <c r="L503" t="s">
        <v>2907</v>
      </c>
      <c r="M503" t="s">
        <v>2966</v>
      </c>
      <c r="N503" t="b">
        <v>0</v>
      </c>
      <c r="O503" t="s">
        <v>2993</v>
      </c>
      <c r="P503" t="s">
        <v>3225</v>
      </c>
      <c r="Q503">
        <v>24</v>
      </c>
      <c r="R503" t="s">
        <v>3342</v>
      </c>
      <c r="S503" s="2">
        <v>0</v>
      </c>
      <c r="T503" s="2">
        <v>0</v>
      </c>
      <c r="U503" s="2">
        <v>0</v>
      </c>
    </row>
    <row r="504" spans="1:21">
      <c r="A504" t="s">
        <v>22</v>
      </c>
      <c r="B504" s="1">
        <f>HYPERLINK("https://cordis.europa.eu/project/id/691070", "691070")</f>
        <v>0</v>
      </c>
      <c r="C504" t="s">
        <v>416</v>
      </c>
      <c r="D504" t="s">
        <v>1231</v>
      </c>
      <c r="E504" t="s">
        <v>1820</v>
      </c>
      <c r="F504" t="s">
        <v>2188</v>
      </c>
      <c r="G504" t="s">
        <v>2436</v>
      </c>
      <c r="H504" t="s">
        <v>2549</v>
      </c>
      <c r="I504" t="s">
        <v>2557</v>
      </c>
      <c r="J504" s="1">
        <f>HYPERLINK("https://ec.europa.eu/info/funding-tenders/opportunities/portal/screen/how-to-participate/org-details/992582086", "992582086")</f>
        <v>0</v>
      </c>
      <c r="K504" t="s">
        <v>2678</v>
      </c>
      <c r="L504" t="s">
        <v>2900</v>
      </c>
      <c r="M504" t="s">
        <v>2965</v>
      </c>
      <c r="N504" t="b">
        <v>0</v>
      </c>
      <c r="O504" t="s">
        <v>3003</v>
      </c>
      <c r="P504" t="s">
        <v>3176</v>
      </c>
      <c r="Q504">
        <v>6</v>
      </c>
      <c r="R504" t="s">
        <v>3345</v>
      </c>
      <c r="T504" s="2">
        <v>0</v>
      </c>
      <c r="U504" s="2">
        <v>31500</v>
      </c>
    </row>
    <row r="505" spans="1:21">
      <c r="A505" t="s">
        <v>22</v>
      </c>
      <c r="B505" s="1">
        <f>HYPERLINK("https://cordis.europa.eu/project/id/825410", "825410")</f>
        <v>0</v>
      </c>
      <c r="C505" t="s">
        <v>417</v>
      </c>
      <c r="D505" t="s">
        <v>1232</v>
      </c>
      <c r="E505" t="s">
        <v>1664</v>
      </c>
      <c r="F505" t="s">
        <v>2189</v>
      </c>
      <c r="G505" t="s">
        <v>2467</v>
      </c>
      <c r="H505" t="s">
        <v>2548</v>
      </c>
      <c r="I505" t="s">
        <v>2556</v>
      </c>
      <c r="J505" s="1">
        <f>HYPERLINK("https://ec.europa.eu/info/funding-tenders/opportunities/portal/screen/how-to-participate/org-details/929100339", "929100339")</f>
        <v>0</v>
      </c>
      <c r="K505" t="s">
        <v>2739</v>
      </c>
      <c r="L505" t="s">
        <v>2739</v>
      </c>
      <c r="M505" t="s">
        <v>2969</v>
      </c>
      <c r="N505" t="b">
        <v>0</v>
      </c>
      <c r="O505" t="s">
        <v>2993</v>
      </c>
      <c r="P505" t="s">
        <v>3152</v>
      </c>
      <c r="Q505">
        <v>11</v>
      </c>
      <c r="R505" t="s">
        <v>3342</v>
      </c>
      <c r="S505" s="2">
        <v>0</v>
      </c>
      <c r="T505" s="2">
        <v>0</v>
      </c>
      <c r="U505" s="2">
        <v>46960</v>
      </c>
    </row>
    <row r="506" spans="1:21">
      <c r="A506" t="s">
        <v>22</v>
      </c>
      <c r="B506" s="1">
        <f>HYPERLINK("https://cordis.europa.eu/project/id/690904", "690904")</f>
        <v>0</v>
      </c>
      <c r="C506" t="s">
        <v>418</v>
      </c>
      <c r="D506" t="s">
        <v>1233</v>
      </c>
      <c r="E506" t="s">
        <v>1821</v>
      </c>
      <c r="F506" t="s">
        <v>2188</v>
      </c>
      <c r="G506" t="s">
        <v>2436</v>
      </c>
      <c r="H506" t="s">
        <v>2548</v>
      </c>
      <c r="I506" t="s">
        <v>2556</v>
      </c>
      <c r="J506" s="1">
        <f>HYPERLINK("https://ec.europa.eu/info/funding-tenders/opportunities/portal/screen/how-to-participate/org-details/973812489", "973812489")</f>
        <v>0</v>
      </c>
      <c r="K506" t="s">
        <v>2697</v>
      </c>
      <c r="L506" t="s">
        <v>2914</v>
      </c>
      <c r="M506" t="s">
        <v>2966</v>
      </c>
      <c r="N506" t="b">
        <v>0</v>
      </c>
      <c r="O506" t="s">
        <v>3003</v>
      </c>
      <c r="P506" t="s">
        <v>3176</v>
      </c>
      <c r="Q506">
        <v>7</v>
      </c>
      <c r="R506" t="s">
        <v>3345</v>
      </c>
      <c r="T506" s="2">
        <v>0</v>
      </c>
      <c r="U506" s="2">
        <v>0</v>
      </c>
    </row>
    <row r="507" spans="1:21">
      <c r="A507" t="s">
        <v>22</v>
      </c>
      <c r="B507" s="1">
        <f>HYPERLINK("https://cordis.europa.eu/project/id/765911", "765911")</f>
        <v>0</v>
      </c>
      <c r="C507" t="s">
        <v>419</v>
      </c>
      <c r="D507" t="s">
        <v>1234</v>
      </c>
      <c r="E507" t="s">
        <v>1822</v>
      </c>
      <c r="F507" t="s">
        <v>2199</v>
      </c>
      <c r="G507" t="s">
        <v>2068</v>
      </c>
      <c r="H507" t="s">
        <v>2548</v>
      </c>
      <c r="I507" t="s">
        <v>2556</v>
      </c>
      <c r="J507" s="1">
        <f>HYPERLINK("https://ec.europa.eu/info/funding-tenders/opportunities/portal/screen/how-to-participate/org-details/998225740", "998225740")</f>
        <v>0</v>
      </c>
      <c r="K507" t="s">
        <v>2637</v>
      </c>
      <c r="M507" t="s">
        <v>2965</v>
      </c>
      <c r="N507" t="b">
        <v>0</v>
      </c>
      <c r="O507" t="s">
        <v>3005</v>
      </c>
      <c r="P507" t="s">
        <v>3163</v>
      </c>
      <c r="Q507">
        <v>16</v>
      </c>
      <c r="R507" t="s">
        <v>3345</v>
      </c>
      <c r="T507" s="2">
        <v>0</v>
      </c>
      <c r="U507" s="2">
        <v>0</v>
      </c>
    </row>
    <row r="508" spans="1:21">
      <c r="A508" t="s">
        <v>22</v>
      </c>
      <c r="B508" s="1">
        <f>HYPERLINK("https://cordis.europa.eu/project/id/681109", "681109")</f>
        <v>0</v>
      </c>
      <c r="C508" t="s">
        <v>420</v>
      </c>
      <c r="D508" t="s">
        <v>1235</v>
      </c>
      <c r="E508" t="s">
        <v>1823</v>
      </c>
      <c r="F508" t="s">
        <v>2188</v>
      </c>
      <c r="G508" t="s">
        <v>2387</v>
      </c>
      <c r="H508" t="s">
        <v>2548</v>
      </c>
      <c r="I508" t="s">
        <v>2556</v>
      </c>
      <c r="J508" s="1">
        <f>HYPERLINK("https://ec.europa.eu/info/funding-tenders/opportunities/portal/screen/how-to-participate/org-details/996231614", "996231614")</f>
        <v>0</v>
      </c>
      <c r="K508" t="s">
        <v>2652</v>
      </c>
      <c r="L508" t="s">
        <v>2652</v>
      </c>
      <c r="M508" t="s">
        <v>2965</v>
      </c>
      <c r="N508" t="b">
        <v>0</v>
      </c>
      <c r="O508" t="s">
        <v>2993</v>
      </c>
      <c r="P508" t="s">
        <v>3226</v>
      </c>
      <c r="Q508">
        <v>8</v>
      </c>
      <c r="R508" t="s">
        <v>3342</v>
      </c>
      <c r="S508" s="2">
        <v>0</v>
      </c>
      <c r="T508" s="2">
        <v>0</v>
      </c>
      <c r="U508" s="2">
        <v>270000</v>
      </c>
    </row>
    <row r="509" spans="1:21">
      <c r="A509" t="s">
        <v>22</v>
      </c>
      <c r="B509" s="1">
        <f>HYPERLINK("https://cordis.europa.eu/project/id/101007922", "101007922")</f>
        <v>0</v>
      </c>
      <c r="C509" t="s">
        <v>421</v>
      </c>
      <c r="D509" t="s">
        <v>1236</v>
      </c>
      <c r="E509" t="s">
        <v>1824</v>
      </c>
      <c r="F509" t="s">
        <v>2216</v>
      </c>
      <c r="G509" t="s">
        <v>2405</v>
      </c>
      <c r="H509" t="s">
        <v>2548</v>
      </c>
      <c r="I509" t="s">
        <v>2556</v>
      </c>
      <c r="J509" s="1">
        <f>HYPERLINK("https://ec.europa.eu/info/funding-tenders/opportunities/portal/screen/how-to-participate/org-details/996491768", "996491768")</f>
        <v>0</v>
      </c>
      <c r="K509" t="s">
        <v>2625</v>
      </c>
      <c r="L509" t="s">
        <v>2856</v>
      </c>
      <c r="M509" t="s">
        <v>2966</v>
      </c>
      <c r="N509" t="b">
        <v>0</v>
      </c>
      <c r="O509" t="s">
        <v>3003</v>
      </c>
      <c r="P509" t="s">
        <v>3216</v>
      </c>
      <c r="Q509">
        <v>12</v>
      </c>
      <c r="R509" t="s">
        <v>3345</v>
      </c>
      <c r="T509" s="2">
        <v>0</v>
      </c>
      <c r="U509" s="2">
        <v>9200</v>
      </c>
    </row>
    <row r="510" spans="1:21">
      <c r="A510" t="s">
        <v>22</v>
      </c>
      <c r="B510" s="1">
        <f>HYPERLINK("https://cordis.europa.eu/project/id/633784", "633784")</f>
        <v>0</v>
      </c>
      <c r="C510" t="s">
        <v>422</v>
      </c>
      <c r="D510" t="s">
        <v>1237</v>
      </c>
      <c r="E510" t="s">
        <v>1825</v>
      </c>
      <c r="F510" t="s">
        <v>2236</v>
      </c>
      <c r="G510" t="s">
        <v>2458</v>
      </c>
      <c r="H510" t="s">
        <v>2548</v>
      </c>
      <c r="I510" t="s">
        <v>2556</v>
      </c>
      <c r="J510" s="1">
        <f>HYPERLINK("https://ec.europa.eu/info/funding-tenders/opportunities/portal/screen/how-to-participate/org-details/998082180", "998082180")</f>
        <v>0</v>
      </c>
      <c r="K510" t="s">
        <v>2565</v>
      </c>
      <c r="M510" t="s">
        <v>2965</v>
      </c>
      <c r="N510" t="b">
        <v>0</v>
      </c>
      <c r="O510" t="s">
        <v>2993</v>
      </c>
      <c r="P510" t="s">
        <v>3227</v>
      </c>
      <c r="Q510">
        <v>10</v>
      </c>
      <c r="R510" t="s">
        <v>3342</v>
      </c>
      <c r="S510" s="2">
        <v>0</v>
      </c>
      <c r="T510" s="2">
        <v>0</v>
      </c>
      <c r="U510" s="2">
        <v>37500</v>
      </c>
    </row>
    <row r="511" spans="1:21">
      <c r="A511" t="s">
        <v>22</v>
      </c>
      <c r="B511" s="1">
        <f>HYPERLINK("https://cordis.europa.eu/project/id/773701", "773701")</f>
        <v>0</v>
      </c>
      <c r="C511" t="s">
        <v>423</v>
      </c>
      <c r="D511" t="s">
        <v>1238</v>
      </c>
      <c r="E511" t="s">
        <v>1826</v>
      </c>
      <c r="F511" t="s">
        <v>2253</v>
      </c>
      <c r="G511" t="s">
        <v>2401</v>
      </c>
      <c r="H511" t="s">
        <v>2548</v>
      </c>
      <c r="I511" t="s">
        <v>2556</v>
      </c>
      <c r="J511" s="1">
        <f>HYPERLINK("https://ec.europa.eu/info/funding-tenders/opportunities/portal/screen/how-to-participate/org-details/983338374", "983338374")</f>
        <v>0</v>
      </c>
      <c r="K511" t="s">
        <v>2740</v>
      </c>
      <c r="L511" t="s">
        <v>2933</v>
      </c>
      <c r="M511" t="s">
        <v>2969</v>
      </c>
      <c r="N511" t="b">
        <v>0</v>
      </c>
      <c r="O511" t="s">
        <v>2993</v>
      </c>
      <c r="P511" t="s">
        <v>3184</v>
      </c>
      <c r="Q511">
        <v>1</v>
      </c>
      <c r="R511" t="s">
        <v>3344</v>
      </c>
      <c r="S511" s="2">
        <v>0</v>
      </c>
      <c r="T511" s="2">
        <v>0</v>
      </c>
      <c r="U511" s="2">
        <v>6250</v>
      </c>
    </row>
    <row r="512" spans="1:21">
      <c r="A512" t="s">
        <v>22</v>
      </c>
      <c r="B512" s="1">
        <f>HYPERLINK("https://cordis.europa.eu/project/id/750969", "750969")</f>
        <v>0</v>
      </c>
      <c r="C512" t="s">
        <v>424</v>
      </c>
      <c r="D512" t="s">
        <v>1239</v>
      </c>
      <c r="E512" t="s">
        <v>1827</v>
      </c>
      <c r="F512" t="s">
        <v>2209</v>
      </c>
      <c r="G512" t="s">
        <v>2477</v>
      </c>
      <c r="H512" t="s">
        <v>2548</v>
      </c>
      <c r="I512" t="s">
        <v>2556</v>
      </c>
      <c r="J512" s="1">
        <f>HYPERLINK("https://ec.europa.eu/info/funding-tenders/opportunities/portal/screen/how-to-participate/org-details/999845252", "999845252")</f>
        <v>0</v>
      </c>
      <c r="K512" t="s">
        <v>2687</v>
      </c>
      <c r="L512" t="s">
        <v>2908</v>
      </c>
      <c r="M512" t="s">
        <v>2965</v>
      </c>
      <c r="N512" t="b">
        <v>0</v>
      </c>
      <c r="O512" t="s">
        <v>2997</v>
      </c>
      <c r="P512" t="s">
        <v>3159</v>
      </c>
      <c r="Q512">
        <v>2</v>
      </c>
      <c r="R512" t="s">
        <v>3345</v>
      </c>
      <c r="T512" s="2">
        <v>0</v>
      </c>
    </row>
    <row r="513" spans="1:21">
      <c r="A513" t="s">
        <v>22</v>
      </c>
      <c r="B513" s="1">
        <f>HYPERLINK("https://cordis.europa.eu/project/id/101024772", "101024772")</f>
        <v>0</v>
      </c>
      <c r="C513" t="s">
        <v>425</v>
      </c>
      <c r="D513" t="s">
        <v>1240</v>
      </c>
      <c r="E513" t="s">
        <v>1775</v>
      </c>
      <c r="F513" t="s">
        <v>2254</v>
      </c>
      <c r="G513" t="s">
        <v>2478</v>
      </c>
      <c r="H513" t="s">
        <v>2548</v>
      </c>
      <c r="I513" t="s">
        <v>2556</v>
      </c>
      <c r="J513" s="1">
        <f>HYPERLINK("https://ec.europa.eu/info/funding-tenders/opportunities/portal/screen/how-to-participate/org-details/998040955", "998040955")</f>
        <v>0</v>
      </c>
      <c r="K513" t="s">
        <v>2602</v>
      </c>
      <c r="M513" t="s">
        <v>2965</v>
      </c>
      <c r="N513" t="b">
        <v>0</v>
      </c>
      <c r="O513" t="s">
        <v>2997</v>
      </c>
      <c r="P513" t="s">
        <v>3166</v>
      </c>
      <c r="Q513">
        <v>2</v>
      </c>
      <c r="R513" t="s">
        <v>3345</v>
      </c>
      <c r="T513" s="2">
        <v>0</v>
      </c>
    </row>
    <row r="514" spans="1:21">
      <c r="A514" t="s">
        <v>22</v>
      </c>
      <c r="B514" s="1">
        <f>HYPERLINK("https://cordis.europa.eu/project/id/667421", "667421")</f>
        <v>0</v>
      </c>
      <c r="C514" t="s">
        <v>426</v>
      </c>
      <c r="D514" t="s">
        <v>1241</v>
      </c>
      <c r="E514" t="s">
        <v>1713</v>
      </c>
      <c r="F514" t="s">
        <v>2255</v>
      </c>
      <c r="G514" t="s">
        <v>2198</v>
      </c>
      <c r="H514" t="s">
        <v>2548</v>
      </c>
      <c r="I514" t="s">
        <v>2556</v>
      </c>
      <c r="J514" s="1">
        <f>HYPERLINK("https://ec.europa.eu/info/funding-tenders/opportunities/portal/screen/how-to-participate/org-details/931718951", "931718951")</f>
        <v>0</v>
      </c>
      <c r="K514" t="s">
        <v>2741</v>
      </c>
      <c r="L514" t="s">
        <v>2741</v>
      </c>
      <c r="M514" t="s">
        <v>2967</v>
      </c>
      <c r="N514" t="b">
        <v>1</v>
      </c>
      <c r="O514" t="s">
        <v>2993</v>
      </c>
      <c r="P514" t="s">
        <v>3228</v>
      </c>
      <c r="Q514">
        <v>5</v>
      </c>
      <c r="R514" t="s">
        <v>3342</v>
      </c>
      <c r="S514" s="2">
        <v>944177.5</v>
      </c>
      <c r="T514" s="2">
        <v>944177.5</v>
      </c>
    </row>
    <row r="515" spans="1:21">
      <c r="A515" t="s">
        <v>22</v>
      </c>
      <c r="B515" s="1">
        <f>HYPERLINK("https://cordis.europa.eu/project/id/101000224", "101000224")</f>
        <v>0</v>
      </c>
      <c r="C515" t="s">
        <v>427</v>
      </c>
      <c r="D515" t="s">
        <v>1242</v>
      </c>
      <c r="E515" t="s">
        <v>1743</v>
      </c>
      <c r="F515" t="s">
        <v>2213</v>
      </c>
      <c r="G515" t="s">
        <v>2403</v>
      </c>
      <c r="H515" t="s">
        <v>2549</v>
      </c>
      <c r="I515" t="s">
        <v>2557</v>
      </c>
      <c r="J515" s="1">
        <f>HYPERLINK("https://ec.europa.eu/info/funding-tenders/opportunities/portal/screen/how-to-participate/org-details/999851654", "999851654")</f>
        <v>0</v>
      </c>
      <c r="K515" t="s">
        <v>2594</v>
      </c>
      <c r="M515" t="s">
        <v>2965</v>
      </c>
      <c r="N515" t="b">
        <v>0</v>
      </c>
      <c r="O515" t="s">
        <v>2993</v>
      </c>
      <c r="P515" t="s">
        <v>3229</v>
      </c>
      <c r="Q515">
        <v>9</v>
      </c>
      <c r="R515" t="s">
        <v>3342</v>
      </c>
      <c r="S515" s="2">
        <v>0</v>
      </c>
      <c r="T515" s="2">
        <v>0</v>
      </c>
    </row>
    <row r="516" spans="1:21">
      <c r="A516" t="s">
        <v>22</v>
      </c>
      <c r="B516" s="1">
        <f>HYPERLINK("https://cordis.europa.eu/project/id/643238", "643238")</f>
        <v>0</v>
      </c>
      <c r="C516" t="s">
        <v>428</v>
      </c>
      <c r="D516" t="s">
        <v>1243</v>
      </c>
      <c r="E516" t="s">
        <v>1828</v>
      </c>
      <c r="F516" t="s">
        <v>2222</v>
      </c>
      <c r="G516" t="s">
        <v>2436</v>
      </c>
      <c r="H516" t="s">
        <v>2548</v>
      </c>
      <c r="I516" t="s">
        <v>2556</v>
      </c>
      <c r="J516" s="1">
        <f>HYPERLINK("https://ec.europa.eu/info/funding-tenders/opportunities/portal/screen/how-to-participate/org-details/999902773", "999902773")</f>
        <v>0</v>
      </c>
      <c r="K516" t="s">
        <v>2571</v>
      </c>
      <c r="L516" t="s">
        <v>2814</v>
      </c>
      <c r="M516" t="s">
        <v>2965</v>
      </c>
      <c r="N516" t="b">
        <v>0</v>
      </c>
      <c r="O516" t="s">
        <v>3002</v>
      </c>
      <c r="P516" t="s">
        <v>3188</v>
      </c>
      <c r="Q516">
        <v>13</v>
      </c>
      <c r="R516" t="s">
        <v>3345</v>
      </c>
      <c r="T516" s="2">
        <v>0</v>
      </c>
      <c r="U516" s="2">
        <v>0</v>
      </c>
    </row>
    <row r="517" spans="1:21">
      <c r="A517" t="s">
        <v>22</v>
      </c>
      <c r="B517" s="1">
        <f>HYPERLINK("https://cordis.europa.eu/project/id/795206", "795206")</f>
        <v>0</v>
      </c>
      <c r="C517" t="s">
        <v>429</v>
      </c>
      <c r="D517" t="s">
        <v>1244</v>
      </c>
      <c r="E517" t="s">
        <v>1829</v>
      </c>
      <c r="F517" t="s">
        <v>2247</v>
      </c>
      <c r="G517" t="s">
        <v>2206</v>
      </c>
      <c r="H517" t="s">
        <v>2548</v>
      </c>
      <c r="I517" t="s">
        <v>2556</v>
      </c>
      <c r="J517" s="1">
        <f>HYPERLINK("https://ec.europa.eu/info/funding-tenders/opportunities/portal/screen/how-to-participate/org-details/999845252", "999845252")</f>
        <v>0</v>
      </c>
      <c r="K517" t="s">
        <v>2687</v>
      </c>
      <c r="L517" t="s">
        <v>2908</v>
      </c>
      <c r="M517" t="s">
        <v>2965</v>
      </c>
      <c r="N517" t="b">
        <v>0</v>
      </c>
      <c r="O517" t="s">
        <v>2998</v>
      </c>
      <c r="P517" t="s">
        <v>3160</v>
      </c>
      <c r="Q517">
        <v>3</v>
      </c>
      <c r="R517" t="s">
        <v>3345</v>
      </c>
      <c r="T517" s="2">
        <v>0</v>
      </c>
    </row>
    <row r="518" spans="1:21">
      <c r="A518" t="s">
        <v>22</v>
      </c>
      <c r="B518" s="1">
        <f>HYPERLINK("https://cordis.europa.eu/project/id/641822", "641822")</f>
        <v>0</v>
      </c>
      <c r="C518" t="s">
        <v>430</v>
      </c>
      <c r="D518" t="s">
        <v>1245</v>
      </c>
      <c r="E518" t="s">
        <v>1659</v>
      </c>
      <c r="F518" t="s">
        <v>2222</v>
      </c>
      <c r="G518" t="s">
        <v>2387</v>
      </c>
      <c r="H518" t="s">
        <v>2548</v>
      </c>
      <c r="I518" t="s">
        <v>2556</v>
      </c>
      <c r="J518" s="1">
        <f>HYPERLINK("https://ec.europa.eu/info/funding-tenders/opportunities/portal/screen/how-to-participate/org-details/888896717", "888896717")</f>
        <v>0</v>
      </c>
      <c r="K518" t="s">
        <v>2742</v>
      </c>
      <c r="M518" t="s">
        <v>2965</v>
      </c>
      <c r="N518" t="b">
        <v>0</v>
      </c>
      <c r="O518" t="s">
        <v>3002</v>
      </c>
      <c r="P518" t="s">
        <v>3188</v>
      </c>
      <c r="Q518">
        <v>14</v>
      </c>
      <c r="R518" t="s">
        <v>3345</v>
      </c>
      <c r="T518" s="2">
        <v>0</v>
      </c>
      <c r="U518" s="2">
        <v>0</v>
      </c>
    </row>
    <row r="519" spans="1:21">
      <c r="A519" t="s">
        <v>22</v>
      </c>
      <c r="B519" s="1">
        <f>HYPERLINK("https://cordis.europa.eu/project/id/641822", "641822")</f>
        <v>0</v>
      </c>
      <c r="C519" t="s">
        <v>430</v>
      </c>
      <c r="D519" t="s">
        <v>1245</v>
      </c>
      <c r="E519" t="s">
        <v>1659</v>
      </c>
      <c r="F519" t="s">
        <v>2222</v>
      </c>
      <c r="G519" t="s">
        <v>2387</v>
      </c>
      <c r="H519" t="s">
        <v>2549</v>
      </c>
      <c r="I519" t="s">
        <v>2557</v>
      </c>
      <c r="J519" s="1">
        <f>HYPERLINK("https://ec.europa.eu/info/funding-tenders/opportunities/portal/screen/how-to-participate/org-details/999613131", "999613131")</f>
        <v>0</v>
      </c>
      <c r="K519" t="s">
        <v>2591</v>
      </c>
      <c r="L519" t="s">
        <v>2831</v>
      </c>
      <c r="M519" t="s">
        <v>2965</v>
      </c>
      <c r="N519" t="b">
        <v>0</v>
      </c>
      <c r="O519" t="s">
        <v>3002</v>
      </c>
      <c r="P519" t="s">
        <v>3188</v>
      </c>
      <c r="Q519">
        <v>16</v>
      </c>
      <c r="R519" t="s">
        <v>3345</v>
      </c>
      <c r="T519" s="2">
        <v>0</v>
      </c>
      <c r="U519" s="2">
        <v>0</v>
      </c>
    </row>
    <row r="520" spans="1:21">
      <c r="A520" t="s">
        <v>22</v>
      </c>
      <c r="B520" s="1">
        <f>HYPERLINK("https://cordis.europa.eu/project/id/690323", "690323")</f>
        <v>0</v>
      </c>
      <c r="C520" t="s">
        <v>431</v>
      </c>
      <c r="D520" t="s">
        <v>1246</v>
      </c>
      <c r="E520" t="s">
        <v>1830</v>
      </c>
      <c r="F520" t="s">
        <v>2256</v>
      </c>
      <c r="G520" t="s">
        <v>2449</v>
      </c>
      <c r="H520" t="s">
        <v>2548</v>
      </c>
      <c r="I520" t="s">
        <v>2556</v>
      </c>
      <c r="J520" s="1">
        <f>HYPERLINK("https://ec.europa.eu/info/funding-tenders/opportunities/portal/screen/how-to-participate/org-details/918154762", "918154762")</f>
        <v>0</v>
      </c>
      <c r="K520" t="s">
        <v>2743</v>
      </c>
      <c r="M520" t="s">
        <v>2967</v>
      </c>
      <c r="N520" t="b">
        <v>0</v>
      </c>
      <c r="O520" t="s">
        <v>2994</v>
      </c>
      <c r="P520" t="s">
        <v>3230</v>
      </c>
      <c r="Q520">
        <v>14</v>
      </c>
      <c r="R520" t="s">
        <v>3346</v>
      </c>
      <c r="S520" s="2">
        <v>0</v>
      </c>
      <c r="T520" s="2">
        <v>0</v>
      </c>
      <c r="U520" s="2">
        <v>37500</v>
      </c>
    </row>
    <row r="521" spans="1:21">
      <c r="A521" t="s">
        <v>22</v>
      </c>
      <c r="B521" s="1">
        <f>HYPERLINK("https://cordis.europa.eu/project/id/773330", "773330")</f>
        <v>0</v>
      </c>
      <c r="C521" t="s">
        <v>432</v>
      </c>
      <c r="D521" t="s">
        <v>1247</v>
      </c>
      <c r="E521" t="s">
        <v>1796</v>
      </c>
      <c r="F521" t="s">
        <v>2257</v>
      </c>
      <c r="G521" t="s">
        <v>2402</v>
      </c>
      <c r="H521" t="s">
        <v>2548</v>
      </c>
      <c r="I521" t="s">
        <v>2556</v>
      </c>
      <c r="J521" s="1">
        <f>HYPERLINK("https://ec.europa.eu/info/funding-tenders/opportunities/portal/screen/how-to-participate/org-details/998539535", "998539535")</f>
        <v>0</v>
      </c>
      <c r="K521" t="s">
        <v>2662</v>
      </c>
      <c r="L521" t="s">
        <v>2662</v>
      </c>
      <c r="M521" t="s">
        <v>2965</v>
      </c>
      <c r="N521" t="b">
        <v>0</v>
      </c>
      <c r="O521" t="s">
        <v>2993</v>
      </c>
      <c r="P521" t="s">
        <v>3184</v>
      </c>
      <c r="Q521">
        <v>19</v>
      </c>
      <c r="R521" t="s">
        <v>3342</v>
      </c>
      <c r="S521" s="2">
        <v>0</v>
      </c>
      <c r="T521" s="2">
        <v>0</v>
      </c>
      <c r="U521" s="2">
        <v>72500</v>
      </c>
    </row>
    <row r="522" spans="1:21">
      <c r="A522" t="s">
        <v>22</v>
      </c>
      <c r="B522" s="1">
        <f>HYPERLINK("https://cordis.europa.eu/project/id/101029688", "101029688")</f>
        <v>0</v>
      </c>
      <c r="C522" t="s">
        <v>433</v>
      </c>
      <c r="D522" t="s">
        <v>1248</v>
      </c>
      <c r="E522" t="s">
        <v>1831</v>
      </c>
      <c r="F522" t="s">
        <v>2258</v>
      </c>
      <c r="G522" t="s">
        <v>2292</v>
      </c>
      <c r="H522" t="s">
        <v>2548</v>
      </c>
      <c r="I522" t="s">
        <v>2556</v>
      </c>
      <c r="J522" s="1">
        <f>HYPERLINK("https://ec.europa.eu/info/funding-tenders/opportunities/portal/screen/how-to-participate/org-details/997151562", "997151562")</f>
        <v>0</v>
      </c>
      <c r="K522" t="s">
        <v>2604</v>
      </c>
      <c r="M522" t="s">
        <v>2965</v>
      </c>
      <c r="N522" t="b">
        <v>0</v>
      </c>
      <c r="O522" t="s">
        <v>2997</v>
      </c>
      <c r="P522" t="s">
        <v>3166</v>
      </c>
      <c r="Q522">
        <v>2</v>
      </c>
      <c r="R522" t="s">
        <v>3345</v>
      </c>
      <c r="T522" s="2">
        <v>0</v>
      </c>
      <c r="U522" s="2">
        <v>0</v>
      </c>
    </row>
    <row r="523" spans="1:21">
      <c r="A523" t="s">
        <v>22</v>
      </c>
      <c r="B523" s="1">
        <f>HYPERLINK("https://cordis.europa.eu/project/id/778068", "778068")</f>
        <v>0</v>
      </c>
      <c r="C523" t="s">
        <v>434</v>
      </c>
      <c r="D523" t="s">
        <v>1249</v>
      </c>
      <c r="E523" t="s">
        <v>1832</v>
      </c>
      <c r="F523" t="s">
        <v>2207</v>
      </c>
      <c r="G523" t="s">
        <v>2417</v>
      </c>
      <c r="H523" t="s">
        <v>2549</v>
      </c>
      <c r="I523" t="s">
        <v>2557</v>
      </c>
      <c r="J523" s="1">
        <f>HYPERLINK("https://ec.europa.eu/info/funding-tenders/opportunities/portal/screen/how-to-participate/org-details/991108074", "991108074")</f>
        <v>0</v>
      </c>
      <c r="K523" t="s">
        <v>2695</v>
      </c>
      <c r="L523" t="s">
        <v>2912</v>
      </c>
      <c r="M523" t="s">
        <v>2967</v>
      </c>
      <c r="N523" t="b">
        <v>0</v>
      </c>
      <c r="O523" t="s">
        <v>3003</v>
      </c>
      <c r="P523" t="s">
        <v>3173</v>
      </c>
      <c r="Q523">
        <v>16</v>
      </c>
      <c r="R523" t="s">
        <v>3345</v>
      </c>
      <c r="T523" s="2">
        <v>0</v>
      </c>
      <c r="U523" s="2">
        <v>0</v>
      </c>
    </row>
    <row r="524" spans="1:21">
      <c r="A524" t="s">
        <v>22</v>
      </c>
      <c r="B524" s="1">
        <f>HYPERLINK("https://cordis.europa.eu/project/id/776622", "776622")</f>
        <v>0</v>
      </c>
      <c r="C524" t="s">
        <v>435</v>
      </c>
      <c r="D524" t="s">
        <v>1250</v>
      </c>
      <c r="E524" t="s">
        <v>1740</v>
      </c>
      <c r="F524" t="s">
        <v>2253</v>
      </c>
      <c r="G524" t="s">
        <v>2479</v>
      </c>
      <c r="H524" t="s">
        <v>2548</v>
      </c>
      <c r="I524" t="s">
        <v>2556</v>
      </c>
      <c r="J524" s="1">
        <f>HYPERLINK("https://ec.europa.eu/info/funding-tenders/opportunities/portal/screen/how-to-participate/org-details/907988192", "907988192")</f>
        <v>0</v>
      </c>
      <c r="K524" t="s">
        <v>2744</v>
      </c>
      <c r="L524" t="s">
        <v>2744</v>
      </c>
      <c r="M524" t="s">
        <v>2967</v>
      </c>
      <c r="N524" t="b">
        <v>0</v>
      </c>
      <c r="O524" t="s">
        <v>2993</v>
      </c>
      <c r="P524" t="s">
        <v>3231</v>
      </c>
      <c r="Q524">
        <v>3</v>
      </c>
      <c r="R524" t="s">
        <v>3342</v>
      </c>
      <c r="S524" s="2">
        <v>0</v>
      </c>
      <c r="T524" s="2">
        <v>0</v>
      </c>
    </row>
    <row r="525" spans="1:21">
      <c r="A525" t="s">
        <v>22</v>
      </c>
      <c r="B525" s="1">
        <f>HYPERLINK("https://cordis.europa.eu/project/id/776622", "776622")</f>
        <v>0</v>
      </c>
      <c r="C525" t="s">
        <v>435</v>
      </c>
      <c r="D525" t="s">
        <v>1250</v>
      </c>
      <c r="E525" t="s">
        <v>1740</v>
      </c>
      <c r="F525" t="s">
        <v>2253</v>
      </c>
      <c r="G525" t="s">
        <v>2479</v>
      </c>
      <c r="H525" t="s">
        <v>2548</v>
      </c>
      <c r="I525" t="s">
        <v>2556</v>
      </c>
      <c r="J525" s="1">
        <f>HYPERLINK("https://ec.europa.eu/info/funding-tenders/opportunities/portal/screen/how-to-participate/org-details/897591538", "897591538")</f>
        <v>0</v>
      </c>
      <c r="K525" t="s">
        <v>2745</v>
      </c>
      <c r="L525" t="s">
        <v>2745</v>
      </c>
      <c r="M525" t="s">
        <v>2967</v>
      </c>
      <c r="N525" t="b">
        <v>0</v>
      </c>
      <c r="O525" t="s">
        <v>2993</v>
      </c>
      <c r="P525" t="s">
        <v>3231</v>
      </c>
      <c r="Q525">
        <v>10</v>
      </c>
      <c r="R525" t="s">
        <v>3342</v>
      </c>
      <c r="S525" s="2">
        <v>0</v>
      </c>
      <c r="T525" s="2">
        <v>0</v>
      </c>
    </row>
    <row r="526" spans="1:21">
      <c r="A526" t="s">
        <v>22</v>
      </c>
      <c r="B526" s="1">
        <f>HYPERLINK("https://cordis.europa.eu/project/id/730038", "730038")</f>
        <v>0</v>
      </c>
      <c r="C526" t="s">
        <v>436</v>
      </c>
      <c r="D526" t="s">
        <v>1251</v>
      </c>
      <c r="E526" t="s">
        <v>1833</v>
      </c>
      <c r="F526" t="s">
        <v>2250</v>
      </c>
      <c r="G526" t="s">
        <v>2399</v>
      </c>
      <c r="H526" t="s">
        <v>2548</v>
      </c>
      <c r="I526" t="s">
        <v>2556</v>
      </c>
      <c r="J526" s="1">
        <f>HYPERLINK("https://ec.europa.eu/info/funding-tenders/opportunities/portal/screen/how-to-participate/org-details/998083247", "998083247")</f>
        <v>0</v>
      </c>
      <c r="K526" t="s">
        <v>2605</v>
      </c>
      <c r="M526" t="s">
        <v>2965</v>
      </c>
      <c r="N526" t="b">
        <v>0</v>
      </c>
      <c r="O526" t="s">
        <v>2993</v>
      </c>
      <c r="P526" t="s">
        <v>3232</v>
      </c>
      <c r="Q526">
        <v>6</v>
      </c>
      <c r="R526" t="s">
        <v>3342</v>
      </c>
      <c r="S526" s="2">
        <v>24250</v>
      </c>
      <c r="T526" s="2">
        <v>0</v>
      </c>
      <c r="U526" s="2">
        <v>84340</v>
      </c>
    </row>
    <row r="527" spans="1:21">
      <c r="A527" t="s">
        <v>22</v>
      </c>
      <c r="B527" s="1">
        <f>HYPERLINK("https://cordis.europa.eu/project/id/722401", "722401")</f>
        <v>0</v>
      </c>
      <c r="C527" t="s">
        <v>437</v>
      </c>
      <c r="D527" t="s">
        <v>1252</v>
      </c>
      <c r="E527" t="s">
        <v>1834</v>
      </c>
      <c r="F527" t="s">
        <v>2223</v>
      </c>
      <c r="G527" t="s">
        <v>2410</v>
      </c>
      <c r="H527" t="s">
        <v>2548</v>
      </c>
      <c r="I527" t="s">
        <v>2556</v>
      </c>
      <c r="J527" s="1">
        <f>HYPERLINK("https://ec.europa.eu/info/funding-tenders/opportunities/portal/screen/how-to-participate/org-details/998083247", "998083247")</f>
        <v>0</v>
      </c>
      <c r="K527" t="s">
        <v>2605</v>
      </c>
      <c r="M527" t="s">
        <v>2965</v>
      </c>
      <c r="N527" t="b">
        <v>0</v>
      </c>
      <c r="O527" t="s">
        <v>3002</v>
      </c>
      <c r="P527" t="s">
        <v>3171</v>
      </c>
      <c r="Q527">
        <v>23</v>
      </c>
      <c r="R527" t="s">
        <v>3345</v>
      </c>
      <c r="T527" s="2">
        <v>0</v>
      </c>
      <c r="U527" s="2">
        <v>0</v>
      </c>
    </row>
    <row r="528" spans="1:21">
      <c r="A528" t="s">
        <v>22</v>
      </c>
      <c r="B528" s="1">
        <f>HYPERLINK("https://cordis.europa.eu/project/id/734720", "734720")</f>
        <v>0</v>
      </c>
      <c r="C528" t="s">
        <v>438</v>
      </c>
      <c r="D528" t="s">
        <v>1253</v>
      </c>
      <c r="E528" t="s">
        <v>1835</v>
      </c>
      <c r="F528" t="s">
        <v>2223</v>
      </c>
      <c r="G528" t="s">
        <v>2480</v>
      </c>
      <c r="H528" t="s">
        <v>2548</v>
      </c>
      <c r="I528" t="s">
        <v>2556</v>
      </c>
      <c r="J528" s="1">
        <f>HYPERLINK("https://ec.europa.eu/info/funding-tenders/opportunities/portal/screen/how-to-participate/org-details/922444781", "922444781")</f>
        <v>0</v>
      </c>
      <c r="K528" t="s">
        <v>2701</v>
      </c>
      <c r="M528" t="s">
        <v>2968</v>
      </c>
      <c r="N528" t="b">
        <v>0</v>
      </c>
      <c r="O528" t="s">
        <v>3003</v>
      </c>
      <c r="P528" t="s">
        <v>3177</v>
      </c>
      <c r="Q528">
        <v>17</v>
      </c>
      <c r="R528" t="s">
        <v>3345</v>
      </c>
      <c r="T528" s="2">
        <v>0</v>
      </c>
      <c r="U528" s="2">
        <v>4500</v>
      </c>
    </row>
    <row r="529" spans="1:21">
      <c r="A529" t="s">
        <v>22</v>
      </c>
      <c r="B529" s="1">
        <f>HYPERLINK("https://cordis.europa.eu/project/id/823937", "823937")</f>
        <v>0</v>
      </c>
      <c r="C529" t="s">
        <v>439</v>
      </c>
      <c r="D529" t="s">
        <v>1254</v>
      </c>
      <c r="E529" t="s">
        <v>1836</v>
      </c>
      <c r="F529" t="s">
        <v>2259</v>
      </c>
      <c r="G529" t="s">
        <v>2443</v>
      </c>
      <c r="H529" t="s">
        <v>2549</v>
      </c>
      <c r="I529" t="s">
        <v>2557</v>
      </c>
      <c r="J529" s="1">
        <f>HYPERLINK("https://ec.europa.eu/info/funding-tenders/opportunities/portal/screen/how-to-participate/org-details/999613131", "999613131")</f>
        <v>0</v>
      </c>
      <c r="K529" t="s">
        <v>2591</v>
      </c>
      <c r="L529" t="s">
        <v>2831</v>
      </c>
      <c r="M529" t="s">
        <v>2965</v>
      </c>
      <c r="N529" t="b">
        <v>0</v>
      </c>
      <c r="O529" t="s">
        <v>3003</v>
      </c>
      <c r="P529" t="s">
        <v>3174</v>
      </c>
      <c r="Q529">
        <v>9</v>
      </c>
      <c r="R529" t="s">
        <v>3345</v>
      </c>
      <c r="T529" s="2">
        <v>0</v>
      </c>
      <c r="U529" s="2">
        <v>0</v>
      </c>
    </row>
    <row r="530" spans="1:21">
      <c r="A530" t="s">
        <v>22</v>
      </c>
      <c r="B530" s="1">
        <f>HYPERLINK("https://cordis.europa.eu/project/id/872539", "872539")</f>
        <v>0</v>
      </c>
      <c r="C530" t="s">
        <v>440</v>
      </c>
      <c r="D530" t="s">
        <v>1255</v>
      </c>
      <c r="E530" t="s">
        <v>1837</v>
      </c>
      <c r="F530" t="s">
        <v>2180</v>
      </c>
      <c r="G530" t="s">
        <v>2403</v>
      </c>
      <c r="H530" t="s">
        <v>2548</v>
      </c>
      <c r="I530" t="s">
        <v>2556</v>
      </c>
      <c r="J530" s="1">
        <f>HYPERLINK("https://ec.europa.eu/info/funding-tenders/opportunities/portal/screen/how-to-participate/org-details/986276989", "986276989")</f>
        <v>0</v>
      </c>
      <c r="K530" t="s">
        <v>2666</v>
      </c>
      <c r="L530" t="s">
        <v>2891</v>
      </c>
      <c r="M530" t="s">
        <v>2965</v>
      </c>
      <c r="N530" t="b">
        <v>0</v>
      </c>
      <c r="O530" t="s">
        <v>3003</v>
      </c>
      <c r="P530" t="s">
        <v>3189</v>
      </c>
      <c r="Q530">
        <v>10</v>
      </c>
      <c r="R530" t="s">
        <v>3345</v>
      </c>
      <c r="T530" s="2">
        <v>0</v>
      </c>
      <c r="U530" s="2">
        <v>0</v>
      </c>
    </row>
    <row r="531" spans="1:21">
      <c r="A531" t="s">
        <v>22</v>
      </c>
      <c r="B531" s="1">
        <f>HYPERLINK("https://cordis.europa.eu/project/id/846181", "846181")</f>
        <v>0</v>
      </c>
      <c r="C531" t="s">
        <v>441</v>
      </c>
      <c r="D531" t="s">
        <v>1256</v>
      </c>
      <c r="E531" t="s">
        <v>1838</v>
      </c>
      <c r="F531" t="s">
        <v>2260</v>
      </c>
      <c r="G531" t="s">
        <v>2481</v>
      </c>
      <c r="H531" t="s">
        <v>2548</v>
      </c>
      <c r="I531" t="s">
        <v>2556</v>
      </c>
      <c r="J531" s="1">
        <f>HYPERLINK("https://ec.europa.eu/info/funding-tenders/opportunities/portal/screen/how-to-participate/org-details/998225740", "998225740")</f>
        <v>0</v>
      </c>
      <c r="K531" t="s">
        <v>2637</v>
      </c>
      <c r="M531" t="s">
        <v>2965</v>
      </c>
      <c r="N531" t="b">
        <v>0</v>
      </c>
      <c r="O531" t="s">
        <v>2998</v>
      </c>
      <c r="P531" t="s">
        <v>3158</v>
      </c>
      <c r="Q531">
        <v>2</v>
      </c>
      <c r="R531" t="s">
        <v>3345</v>
      </c>
      <c r="T531" s="2">
        <v>0</v>
      </c>
    </row>
    <row r="532" spans="1:21">
      <c r="A532" t="s">
        <v>22</v>
      </c>
      <c r="B532" s="1">
        <f>HYPERLINK("https://cordis.europa.eu/project/id/645722", "645722")</f>
        <v>0</v>
      </c>
      <c r="C532" t="s">
        <v>442</v>
      </c>
      <c r="D532" t="s">
        <v>1257</v>
      </c>
      <c r="E532" t="s">
        <v>1839</v>
      </c>
      <c r="F532" t="s">
        <v>2226</v>
      </c>
      <c r="G532" t="s">
        <v>2482</v>
      </c>
      <c r="H532" t="s">
        <v>2548</v>
      </c>
      <c r="I532" t="s">
        <v>2556</v>
      </c>
      <c r="J532" s="1">
        <f>HYPERLINK("https://ec.europa.eu/info/funding-tenders/opportunities/portal/screen/how-to-participate/org-details/999879978", "999879978")</f>
        <v>0</v>
      </c>
      <c r="K532" t="s">
        <v>2615</v>
      </c>
      <c r="M532" t="s">
        <v>2965</v>
      </c>
      <c r="N532" t="b">
        <v>0</v>
      </c>
      <c r="O532" t="s">
        <v>3003</v>
      </c>
      <c r="P532" t="s">
        <v>3175</v>
      </c>
      <c r="Q532">
        <v>6</v>
      </c>
      <c r="R532" t="s">
        <v>3345</v>
      </c>
      <c r="T532" s="2">
        <v>0</v>
      </c>
      <c r="U532" s="2">
        <v>9000</v>
      </c>
    </row>
    <row r="533" spans="1:21">
      <c r="A533" t="s">
        <v>22</v>
      </c>
      <c r="B533" s="1">
        <f>HYPERLINK("https://cordis.europa.eu/project/id/825575", "825575")</f>
        <v>0</v>
      </c>
      <c r="C533" t="s">
        <v>443</v>
      </c>
      <c r="D533" t="s">
        <v>1258</v>
      </c>
      <c r="E533" t="s">
        <v>1667</v>
      </c>
      <c r="F533" t="s">
        <v>2189</v>
      </c>
      <c r="G533" t="s">
        <v>2428</v>
      </c>
      <c r="H533" t="s">
        <v>2548</v>
      </c>
      <c r="I533" t="s">
        <v>2556</v>
      </c>
      <c r="J533" s="1">
        <f>HYPERLINK("https://ec.europa.eu/info/funding-tenders/opportunities/portal/screen/how-to-participate/org-details/960368386", "960368386")</f>
        <v>0</v>
      </c>
      <c r="K533" t="s">
        <v>2622</v>
      </c>
      <c r="L533" t="s">
        <v>2853</v>
      </c>
      <c r="M533" t="s">
        <v>2969</v>
      </c>
      <c r="N533" t="b">
        <v>0</v>
      </c>
      <c r="O533" t="s">
        <v>3008</v>
      </c>
      <c r="P533" t="s">
        <v>3152</v>
      </c>
      <c r="Q533">
        <v>84</v>
      </c>
      <c r="R533" t="s">
        <v>3342</v>
      </c>
      <c r="S533" s="2">
        <v>0</v>
      </c>
      <c r="T533" s="2">
        <v>0</v>
      </c>
      <c r="U533" s="2">
        <v>2000000</v>
      </c>
    </row>
    <row r="534" spans="1:21">
      <c r="A534" t="s">
        <v>22</v>
      </c>
      <c r="B534" s="1">
        <f>HYPERLINK("https://cordis.europa.eu/project/id/825575", "825575")</f>
        <v>0</v>
      </c>
      <c r="C534" t="s">
        <v>443</v>
      </c>
      <c r="D534" t="s">
        <v>1258</v>
      </c>
      <c r="E534" t="s">
        <v>1667</v>
      </c>
      <c r="F534" t="s">
        <v>2189</v>
      </c>
      <c r="G534" t="s">
        <v>2428</v>
      </c>
      <c r="H534" t="s">
        <v>2548</v>
      </c>
      <c r="I534" t="s">
        <v>2556</v>
      </c>
      <c r="J534" s="1">
        <f>HYPERLINK("https://ec.europa.eu/info/funding-tenders/opportunities/portal/screen/how-to-participate/org-details/963122410", "963122410")</f>
        <v>0</v>
      </c>
      <c r="K534" t="s">
        <v>2629</v>
      </c>
      <c r="L534" t="s">
        <v>2859</v>
      </c>
      <c r="M534" t="s">
        <v>2968</v>
      </c>
      <c r="N534" t="b">
        <v>0</v>
      </c>
      <c r="O534" t="s">
        <v>3008</v>
      </c>
      <c r="P534" t="s">
        <v>3152</v>
      </c>
      <c r="Q534">
        <v>85</v>
      </c>
      <c r="R534" t="s">
        <v>3342</v>
      </c>
      <c r="S534" s="2">
        <v>0</v>
      </c>
      <c r="T534" s="2">
        <v>0</v>
      </c>
      <c r="U534" s="2">
        <v>660000</v>
      </c>
    </row>
    <row r="535" spans="1:21">
      <c r="A535" t="s">
        <v>22</v>
      </c>
      <c r="B535" s="1">
        <f>HYPERLINK("https://cordis.europa.eu/project/id/823745", "823745")</f>
        <v>0</v>
      </c>
      <c r="C535" t="s">
        <v>444</v>
      </c>
      <c r="D535" t="s">
        <v>1259</v>
      </c>
      <c r="E535" t="s">
        <v>1840</v>
      </c>
      <c r="F535" t="s">
        <v>2189</v>
      </c>
      <c r="G535" t="s">
        <v>2417</v>
      </c>
      <c r="H535" t="s">
        <v>2548</v>
      </c>
      <c r="I535" t="s">
        <v>2556</v>
      </c>
      <c r="J535" s="1">
        <f>HYPERLINK("https://ec.europa.eu/info/funding-tenders/opportunities/portal/screen/how-to-participate/org-details/998804636", "998804636")</f>
        <v>0</v>
      </c>
      <c r="K535" t="s">
        <v>2612</v>
      </c>
      <c r="L535" t="s">
        <v>2845</v>
      </c>
      <c r="M535" t="s">
        <v>2965</v>
      </c>
      <c r="N535" t="b">
        <v>0</v>
      </c>
      <c r="O535" t="s">
        <v>3003</v>
      </c>
      <c r="P535" t="s">
        <v>3174</v>
      </c>
      <c r="Q535">
        <v>17</v>
      </c>
      <c r="R535" t="s">
        <v>3345</v>
      </c>
      <c r="T535" s="2">
        <v>0</v>
      </c>
      <c r="U535" s="2">
        <v>0</v>
      </c>
    </row>
    <row r="536" spans="1:21">
      <c r="A536" t="s">
        <v>22</v>
      </c>
      <c r="B536" s="1">
        <f>HYPERLINK("https://cordis.europa.eu/project/id/823745", "823745")</f>
        <v>0</v>
      </c>
      <c r="C536" t="s">
        <v>444</v>
      </c>
      <c r="D536" t="s">
        <v>1259</v>
      </c>
      <c r="E536" t="s">
        <v>1840</v>
      </c>
      <c r="F536" t="s">
        <v>2189</v>
      </c>
      <c r="G536" t="s">
        <v>2417</v>
      </c>
      <c r="H536" t="s">
        <v>2548</v>
      </c>
      <c r="I536" t="s">
        <v>2556</v>
      </c>
      <c r="J536" s="1">
        <f>HYPERLINK("https://ec.europa.eu/info/funding-tenders/opportunities/portal/screen/how-to-participate/org-details/919611896", "919611896")</f>
        <v>0</v>
      </c>
      <c r="K536" t="s">
        <v>2726</v>
      </c>
      <c r="M536" t="s">
        <v>2965</v>
      </c>
      <c r="N536" t="b">
        <v>0</v>
      </c>
      <c r="O536" t="s">
        <v>3003</v>
      </c>
      <c r="P536" t="s">
        <v>3174</v>
      </c>
      <c r="Q536">
        <v>16</v>
      </c>
      <c r="R536" t="s">
        <v>3345</v>
      </c>
      <c r="T536" s="2">
        <v>0</v>
      </c>
      <c r="U536" s="2">
        <v>0</v>
      </c>
    </row>
    <row r="537" spans="1:21">
      <c r="A537" t="s">
        <v>22</v>
      </c>
      <c r="B537" s="1">
        <f>HYPERLINK("https://cordis.europa.eu/project/id/679266", "679266")</f>
        <v>0</v>
      </c>
      <c r="C537" t="s">
        <v>445</v>
      </c>
      <c r="D537" t="s">
        <v>1260</v>
      </c>
      <c r="E537" t="s">
        <v>1807</v>
      </c>
      <c r="F537" t="s">
        <v>2249</v>
      </c>
      <c r="G537" t="s">
        <v>2351</v>
      </c>
      <c r="H537" t="s">
        <v>2548</v>
      </c>
      <c r="I537" t="s">
        <v>2556</v>
      </c>
      <c r="J537" s="1">
        <f>HYPERLINK("https://ec.europa.eu/info/funding-tenders/opportunities/portal/screen/how-to-participate/org-details/998711419", "998711419")</f>
        <v>0</v>
      </c>
      <c r="K537" t="s">
        <v>2628</v>
      </c>
      <c r="M537" t="s">
        <v>2965</v>
      </c>
      <c r="N537" t="b">
        <v>0</v>
      </c>
      <c r="O537" t="s">
        <v>2993</v>
      </c>
      <c r="P537" t="s">
        <v>3220</v>
      </c>
      <c r="Q537">
        <v>13</v>
      </c>
      <c r="R537" t="s">
        <v>3342</v>
      </c>
      <c r="S537" s="2">
        <v>0</v>
      </c>
      <c r="T537" s="2">
        <v>0</v>
      </c>
      <c r="U537" s="2">
        <v>235695</v>
      </c>
    </row>
    <row r="538" spans="1:21">
      <c r="A538" t="s">
        <v>22</v>
      </c>
      <c r="B538" s="1">
        <f>HYPERLINK("https://cordis.europa.eu/project/id/101037564", "101037564")</f>
        <v>0</v>
      </c>
      <c r="C538" t="s">
        <v>446</v>
      </c>
      <c r="D538" t="s">
        <v>1261</v>
      </c>
      <c r="E538" t="s">
        <v>1841</v>
      </c>
      <c r="F538" t="s">
        <v>2187</v>
      </c>
      <c r="G538" t="s">
        <v>2398</v>
      </c>
      <c r="H538" t="s">
        <v>2548</v>
      </c>
      <c r="I538" t="s">
        <v>2556</v>
      </c>
      <c r="J538" s="1">
        <f>HYPERLINK("https://ec.europa.eu/info/funding-tenders/opportunities/portal/screen/how-to-participate/org-details/902912958", "902912958")</f>
        <v>0</v>
      </c>
      <c r="K538" t="s">
        <v>2708</v>
      </c>
      <c r="L538" t="s">
        <v>2919</v>
      </c>
      <c r="M538" t="s">
        <v>2969</v>
      </c>
      <c r="N538" t="b">
        <v>0</v>
      </c>
      <c r="O538" t="s">
        <v>2994</v>
      </c>
      <c r="P538" t="s">
        <v>3233</v>
      </c>
      <c r="Q538">
        <v>1</v>
      </c>
      <c r="R538" t="s">
        <v>3344</v>
      </c>
      <c r="S538" s="2">
        <v>0</v>
      </c>
      <c r="T538" s="2">
        <v>0</v>
      </c>
      <c r="U538" s="2">
        <v>200000</v>
      </c>
    </row>
    <row r="539" spans="1:21">
      <c r="A539" t="s">
        <v>22</v>
      </c>
      <c r="B539" s="1">
        <f>HYPERLINK("https://cordis.europa.eu/project/id/649439", "649439")</f>
        <v>0</v>
      </c>
      <c r="C539" t="s">
        <v>447</v>
      </c>
      <c r="D539" t="s">
        <v>1262</v>
      </c>
      <c r="E539" t="s">
        <v>1842</v>
      </c>
      <c r="F539" t="s">
        <v>2179</v>
      </c>
      <c r="G539" t="s">
        <v>2468</v>
      </c>
      <c r="H539" t="s">
        <v>2548</v>
      </c>
      <c r="I539" t="s">
        <v>2556</v>
      </c>
      <c r="J539" s="1">
        <f>HYPERLINK("https://ec.europa.eu/info/funding-tenders/opportunities/portal/screen/how-to-participate/org-details/997151562", "997151562")</f>
        <v>0</v>
      </c>
      <c r="K539" t="s">
        <v>2604</v>
      </c>
      <c r="M539" t="s">
        <v>2965</v>
      </c>
      <c r="N539" t="b">
        <v>0</v>
      </c>
      <c r="O539" t="s">
        <v>2993</v>
      </c>
      <c r="P539" t="s">
        <v>3234</v>
      </c>
      <c r="Q539">
        <v>10</v>
      </c>
      <c r="R539" t="s">
        <v>3342</v>
      </c>
      <c r="S539" s="2">
        <v>0</v>
      </c>
      <c r="T539" s="2">
        <v>0</v>
      </c>
      <c r="U539" s="2">
        <v>225750</v>
      </c>
    </row>
    <row r="540" spans="1:21">
      <c r="A540" t="s">
        <v>22</v>
      </c>
      <c r="B540" s="1">
        <f>HYPERLINK("https://cordis.europa.eu/project/id/869154", "869154")</f>
        <v>0</v>
      </c>
      <c r="C540" t="s">
        <v>448</v>
      </c>
      <c r="D540" t="s">
        <v>1263</v>
      </c>
      <c r="E540" t="s">
        <v>1843</v>
      </c>
      <c r="F540" t="s">
        <v>2208</v>
      </c>
      <c r="G540" t="s">
        <v>2483</v>
      </c>
      <c r="H540" t="s">
        <v>2548</v>
      </c>
      <c r="I540" t="s">
        <v>2556</v>
      </c>
      <c r="J540" s="1">
        <f>HYPERLINK("https://ec.europa.eu/info/funding-tenders/opportunities/portal/screen/how-to-participate/org-details/901976326", "901976326")</f>
        <v>0</v>
      </c>
      <c r="K540" t="s">
        <v>2746</v>
      </c>
      <c r="L540" t="s">
        <v>2934</v>
      </c>
      <c r="M540" t="s">
        <v>2966</v>
      </c>
      <c r="N540" t="b">
        <v>0</v>
      </c>
      <c r="O540" t="s">
        <v>2993</v>
      </c>
      <c r="P540" t="s">
        <v>3198</v>
      </c>
      <c r="Q540">
        <v>12</v>
      </c>
      <c r="R540" t="s">
        <v>3342</v>
      </c>
      <c r="S540" s="2">
        <v>0</v>
      </c>
      <c r="T540" s="2">
        <v>0</v>
      </c>
      <c r="U540" s="2">
        <v>88750</v>
      </c>
    </row>
    <row r="541" spans="1:21">
      <c r="A541" t="s">
        <v>22</v>
      </c>
      <c r="B541" s="1">
        <f>HYPERLINK("https://cordis.europa.eu/project/id/823862", "823862")</f>
        <v>0</v>
      </c>
      <c r="C541" t="s">
        <v>449</v>
      </c>
      <c r="D541" t="s">
        <v>1264</v>
      </c>
      <c r="E541" t="s">
        <v>1668</v>
      </c>
      <c r="F541" t="s">
        <v>2189</v>
      </c>
      <c r="G541" t="s">
        <v>2433</v>
      </c>
      <c r="H541" t="s">
        <v>2548</v>
      </c>
      <c r="I541" t="s">
        <v>2556</v>
      </c>
      <c r="J541" s="1">
        <f>HYPERLINK("https://ec.europa.eu/info/funding-tenders/opportunities/portal/screen/how-to-participate/org-details/998826946", "998826946")</f>
        <v>0</v>
      </c>
      <c r="K541" t="s">
        <v>2617</v>
      </c>
      <c r="L541" t="s">
        <v>2848</v>
      </c>
      <c r="M541" t="s">
        <v>2965</v>
      </c>
      <c r="N541" t="b">
        <v>0</v>
      </c>
      <c r="O541" t="s">
        <v>3003</v>
      </c>
      <c r="P541" t="s">
        <v>3174</v>
      </c>
      <c r="Q541">
        <v>10</v>
      </c>
      <c r="R541" t="s">
        <v>3345</v>
      </c>
      <c r="T541" s="2">
        <v>0</v>
      </c>
      <c r="U541" s="2">
        <v>0</v>
      </c>
    </row>
    <row r="542" spans="1:21">
      <c r="A542" t="s">
        <v>22</v>
      </c>
      <c r="B542" s="1">
        <f>HYPERLINK("https://cordis.europa.eu/project/id/823862", "823862")</f>
        <v>0</v>
      </c>
      <c r="C542" t="s">
        <v>449</v>
      </c>
      <c r="D542" t="s">
        <v>1264</v>
      </c>
      <c r="E542" t="s">
        <v>1668</v>
      </c>
      <c r="F542" t="s">
        <v>2189</v>
      </c>
      <c r="G542" t="s">
        <v>2433</v>
      </c>
      <c r="H542" t="s">
        <v>2548</v>
      </c>
      <c r="I542" t="s">
        <v>2556</v>
      </c>
      <c r="J542" s="1">
        <f>HYPERLINK("https://ec.europa.eu/info/funding-tenders/opportunities/portal/screen/how-to-participate/org-details/986119267", "986119267")</f>
        <v>0</v>
      </c>
      <c r="K542" t="s">
        <v>2572</v>
      </c>
      <c r="L542" t="s">
        <v>2815</v>
      </c>
      <c r="M542" t="s">
        <v>2965</v>
      </c>
      <c r="N542" t="b">
        <v>0</v>
      </c>
      <c r="O542" t="s">
        <v>3003</v>
      </c>
      <c r="P542" t="s">
        <v>3174</v>
      </c>
      <c r="Q542">
        <v>11</v>
      </c>
      <c r="R542" t="s">
        <v>3345</v>
      </c>
      <c r="T542" s="2">
        <v>0</v>
      </c>
      <c r="U542" s="2">
        <v>0</v>
      </c>
    </row>
    <row r="543" spans="1:21">
      <c r="A543" t="s">
        <v>22</v>
      </c>
      <c r="B543" s="1">
        <f>HYPERLINK("https://cordis.europa.eu/project/id/633190", "633190")</f>
        <v>0</v>
      </c>
      <c r="C543" t="s">
        <v>450</v>
      </c>
      <c r="D543" t="s">
        <v>1265</v>
      </c>
      <c r="E543" t="s">
        <v>1844</v>
      </c>
      <c r="F543" t="s">
        <v>2221</v>
      </c>
      <c r="G543" t="s">
        <v>2402</v>
      </c>
      <c r="H543" t="s">
        <v>2548</v>
      </c>
      <c r="I543" t="s">
        <v>2556</v>
      </c>
      <c r="J543" s="1">
        <f>HYPERLINK("https://ec.europa.eu/info/funding-tenders/opportunities/portal/screen/how-to-participate/org-details/984772131", "984772131")</f>
        <v>0</v>
      </c>
      <c r="K543" t="s">
        <v>2601</v>
      </c>
      <c r="L543" t="s">
        <v>2839</v>
      </c>
      <c r="M543" t="s">
        <v>2968</v>
      </c>
      <c r="N543" t="b">
        <v>0</v>
      </c>
      <c r="O543" t="s">
        <v>2993</v>
      </c>
      <c r="P543" t="s">
        <v>3227</v>
      </c>
      <c r="Q543">
        <v>5</v>
      </c>
      <c r="R543" t="s">
        <v>3342</v>
      </c>
      <c r="S543" s="2">
        <v>0</v>
      </c>
      <c r="T543" s="2">
        <v>0</v>
      </c>
    </row>
    <row r="544" spans="1:21">
      <c r="A544" t="s">
        <v>22</v>
      </c>
      <c r="B544" s="1">
        <f>HYPERLINK("https://cordis.europa.eu/project/id/730970", "730970")</f>
        <v>0</v>
      </c>
      <c r="C544" t="s">
        <v>451</v>
      </c>
      <c r="D544" t="s">
        <v>1266</v>
      </c>
      <c r="E544" t="s">
        <v>1845</v>
      </c>
      <c r="F544" t="s">
        <v>2199</v>
      </c>
      <c r="G544" t="s">
        <v>2406</v>
      </c>
      <c r="H544" t="s">
        <v>2548</v>
      </c>
      <c r="I544" t="s">
        <v>2556</v>
      </c>
      <c r="J544" s="1">
        <f>HYPERLINK("https://ec.europa.eu/info/funding-tenders/opportunities/portal/screen/how-to-participate/org-details/919628968", "919628968")</f>
        <v>0</v>
      </c>
      <c r="K544" t="s">
        <v>2747</v>
      </c>
      <c r="L544" t="s">
        <v>2935</v>
      </c>
      <c r="M544" t="s">
        <v>2969</v>
      </c>
      <c r="N544" t="b">
        <v>0</v>
      </c>
      <c r="O544" t="s">
        <v>2993</v>
      </c>
      <c r="P544" t="s">
        <v>3194</v>
      </c>
      <c r="Q544">
        <v>5</v>
      </c>
      <c r="R544" t="s">
        <v>3342</v>
      </c>
      <c r="S544" s="2">
        <v>0</v>
      </c>
      <c r="T544" s="2">
        <v>0</v>
      </c>
    </row>
    <row r="545" spans="1:21">
      <c r="A545" t="s">
        <v>22</v>
      </c>
      <c r="B545" s="1">
        <f>HYPERLINK("https://cordis.europa.eu/project/id/711859", "711859")</f>
        <v>0</v>
      </c>
      <c r="C545" t="s">
        <v>452</v>
      </c>
      <c r="D545" t="s">
        <v>1267</v>
      </c>
      <c r="E545" t="s">
        <v>1846</v>
      </c>
      <c r="F545" t="s">
        <v>2194</v>
      </c>
      <c r="G545" t="s">
        <v>2459</v>
      </c>
      <c r="H545" t="s">
        <v>2548</v>
      </c>
      <c r="I545" t="s">
        <v>2556</v>
      </c>
      <c r="J545" s="1">
        <f>HYPERLINK("https://ec.europa.eu/info/funding-tenders/opportunities/portal/screen/how-to-participate/org-details/998804927", "998804927")</f>
        <v>0</v>
      </c>
      <c r="K545" t="s">
        <v>2613</v>
      </c>
      <c r="M545" t="s">
        <v>2965</v>
      </c>
      <c r="N545" t="b">
        <v>0</v>
      </c>
      <c r="O545" t="s">
        <v>2999</v>
      </c>
      <c r="P545" t="s">
        <v>3235</v>
      </c>
      <c r="Q545">
        <v>9</v>
      </c>
      <c r="R545" t="s">
        <v>3345</v>
      </c>
      <c r="T545" s="2">
        <v>0</v>
      </c>
      <c r="U545" s="2">
        <v>0</v>
      </c>
    </row>
    <row r="546" spans="1:21">
      <c r="A546" t="s">
        <v>22</v>
      </c>
      <c r="B546" s="1">
        <f>HYPERLINK("https://cordis.europa.eu/project/id/818123", "818123")</f>
        <v>0</v>
      </c>
      <c r="C546" t="s">
        <v>453</v>
      </c>
      <c r="D546" t="s">
        <v>1268</v>
      </c>
      <c r="E546" t="s">
        <v>1847</v>
      </c>
      <c r="F546" t="s">
        <v>2186</v>
      </c>
      <c r="G546" t="s">
        <v>2435</v>
      </c>
      <c r="H546" t="s">
        <v>2548</v>
      </c>
      <c r="I546" t="s">
        <v>2556</v>
      </c>
      <c r="J546" s="1">
        <f>HYPERLINK("https://ec.europa.eu/info/funding-tenders/opportunities/portal/screen/how-to-participate/org-details/998539535", "998539535")</f>
        <v>0</v>
      </c>
      <c r="K546" t="s">
        <v>2662</v>
      </c>
      <c r="L546" t="s">
        <v>2662</v>
      </c>
      <c r="M546" t="s">
        <v>2965</v>
      </c>
      <c r="N546" t="b">
        <v>0</v>
      </c>
      <c r="O546" t="s">
        <v>2993</v>
      </c>
      <c r="P546" t="s">
        <v>3236</v>
      </c>
      <c r="Q546">
        <v>1</v>
      </c>
      <c r="R546" t="s">
        <v>3344</v>
      </c>
      <c r="S546" s="2">
        <v>0</v>
      </c>
      <c r="T546" s="2">
        <v>0</v>
      </c>
      <c r="U546" s="2">
        <v>5000</v>
      </c>
    </row>
    <row r="547" spans="1:21">
      <c r="A547" t="s">
        <v>22</v>
      </c>
      <c r="B547" s="1">
        <f>HYPERLINK("https://cordis.europa.eu/project/id/818123", "818123")</f>
        <v>0</v>
      </c>
      <c r="C547" t="s">
        <v>453</v>
      </c>
      <c r="D547" t="s">
        <v>1268</v>
      </c>
      <c r="E547" t="s">
        <v>1847</v>
      </c>
      <c r="F547" t="s">
        <v>2186</v>
      </c>
      <c r="G547" t="s">
        <v>2435</v>
      </c>
      <c r="H547" t="s">
        <v>2548</v>
      </c>
      <c r="I547" t="s">
        <v>2556</v>
      </c>
      <c r="J547" s="1">
        <f>HYPERLINK("https://ec.europa.eu/info/funding-tenders/opportunities/portal/screen/how-to-participate/org-details/932863163", "932863163")</f>
        <v>0</v>
      </c>
      <c r="K547" t="s">
        <v>2748</v>
      </c>
      <c r="M547" t="s">
        <v>2969</v>
      </c>
      <c r="N547" t="b">
        <v>0</v>
      </c>
      <c r="O547" t="s">
        <v>2993</v>
      </c>
      <c r="P547" t="s">
        <v>3236</v>
      </c>
      <c r="Q547">
        <v>1</v>
      </c>
      <c r="R547" t="s">
        <v>3344</v>
      </c>
      <c r="S547" s="2">
        <v>0</v>
      </c>
      <c r="T547" s="2">
        <v>0</v>
      </c>
      <c r="U547" s="2">
        <v>30000</v>
      </c>
    </row>
    <row r="548" spans="1:21">
      <c r="A548" t="s">
        <v>22</v>
      </c>
      <c r="B548" s="1">
        <f>HYPERLINK("https://cordis.europa.eu/project/id/818123", "818123")</f>
        <v>0</v>
      </c>
      <c r="C548" t="s">
        <v>453</v>
      </c>
      <c r="D548" t="s">
        <v>1268</v>
      </c>
      <c r="E548" t="s">
        <v>1847</v>
      </c>
      <c r="F548" t="s">
        <v>2186</v>
      </c>
      <c r="G548" t="s">
        <v>2435</v>
      </c>
      <c r="H548" t="s">
        <v>2548</v>
      </c>
      <c r="I548" t="s">
        <v>2556</v>
      </c>
      <c r="J548" s="1">
        <f>HYPERLINK("https://ec.europa.eu/info/funding-tenders/opportunities/portal/screen/how-to-participate/org-details/999902773", "999902773")</f>
        <v>0</v>
      </c>
      <c r="K548" t="s">
        <v>2571</v>
      </c>
      <c r="L548" t="s">
        <v>2814</v>
      </c>
      <c r="M548" t="s">
        <v>2965</v>
      </c>
      <c r="N548" t="b">
        <v>0</v>
      </c>
      <c r="O548" t="s">
        <v>2993</v>
      </c>
      <c r="P548" t="s">
        <v>3236</v>
      </c>
      <c r="Q548">
        <v>1</v>
      </c>
      <c r="R548" t="s">
        <v>3344</v>
      </c>
      <c r="S548" s="2">
        <v>0</v>
      </c>
      <c r="T548" s="2">
        <v>0</v>
      </c>
      <c r="U548" s="2">
        <v>5000</v>
      </c>
    </row>
    <row r="549" spans="1:21">
      <c r="A549" t="s">
        <v>22</v>
      </c>
      <c r="B549" s="1">
        <f>HYPERLINK("https://cordis.europa.eu/project/id/818123", "818123")</f>
        <v>0</v>
      </c>
      <c r="C549" t="s">
        <v>453</v>
      </c>
      <c r="D549" t="s">
        <v>1268</v>
      </c>
      <c r="E549" t="s">
        <v>1847</v>
      </c>
      <c r="F549" t="s">
        <v>2186</v>
      </c>
      <c r="G549" t="s">
        <v>2435</v>
      </c>
      <c r="H549" t="s">
        <v>2548</v>
      </c>
      <c r="I549" t="s">
        <v>2556</v>
      </c>
      <c r="J549" s="1">
        <f>HYPERLINK("https://ec.europa.eu/info/funding-tenders/opportunities/portal/screen/how-to-participate/org-details/998908426", "998908426")</f>
        <v>0</v>
      </c>
      <c r="K549" t="s">
        <v>2569</v>
      </c>
      <c r="M549" t="s">
        <v>2965</v>
      </c>
      <c r="N549" t="b">
        <v>0</v>
      </c>
      <c r="O549" t="s">
        <v>2993</v>
      </c>
      <c r="P549" t="s">
        <v>3236</v>
      </c>
      <c r="Q549">
        <v>8</v>
      </c>
      <c r="R549" t="s">
        <v>3344</v>
      </c>
      <c r="S549" s="2">
        <v>0</v>
      </c>
      <c r="T549" s="2">
        <v>0</v>
      </c>
      <c r="U549" s="2">
        <v>0</v>
      </c>
    </row>
    <row r="550" spans="1:21">
      <c r="A550" t="s">
        <v>22</v>
      </c>
      <c r="B550" s="1">
        <f>HYPERLINK("https://cordis.europa.eu/project/id/818123", "818123")</f>
        <v>0</v>
      </c>
      <c r="C550" t="s">
        <v>453</v>
      </c>
      <c r="D550" t="s">
        <v>1268</v>
      </c>
      <c r="E550" t="s">
        <v>1847</v>
      </c>
      <c r="F550" t="s">
        <v>2186</v>
      </c>
      <c r="G550" t="s">
        <v>2435</v>
      </c>
      <c r="H550" t="s">
        <v>2548</v>
      </c>
      <c r="I550" t="s">
        <v>2556</v>
      </c>
      <c r="J550" s="1">
        <f>HYPERLINK("https://ec.europa.eu/info/funding-tenders/opportunities/portal/screen/how-to-participate/org-details/901379194", "901379194")</f>
        <v>0</v>
      </c>
      <c r="K550" t="s">
        <v>2749</v>
      </c>
      <c r="L550" t="s">
        <v>2749</v>
      </c>
      <c r="M550" t="s">
        <v>2969</v>
      </c>
      <c r="N550" t="b">
        <v>0</v>
      </c>
      <c r="O550" t="s">
        <v>2993</v>
      </c>
      <c r="P550" t="s">
        <v>3236</v>
      </c>
      <c r="Q550">
        <v>8</v>
      </c>
      <c r="R550" t="s">
        <v>3344</v>
      </c>
      <c r="S550" s="2">
        <v>0</v>
      </c>
      <c r="T550" s="2">
        <v>0</v>
      </c>
      <c r="U550" s="2">
        <v>0</v>
      </c>
    </row>
    <row r="551" spans="1:21">
      <c r="A551" t="s">
        <v>22</v>
      </c>
      <c r="B551" s="1">
        <f>HYPERLINK("https://cordis.europa.eu/project/id/713600", "713600")</f>
        <v>0</v>
      </c>
      <c r="C551" t="s">
        <v>454</v>
      </c>
      <c r="D551" t="s">
        <v>1269</v>
      </c>
      <c r="E551" t="s">
        <v>1848</v>
      </c>
      <c r="F551" t="s">
        <v>2225</v>
      </c>
      <c r="G551" t="s">
        <v>2465</v>
      </c>
      <c r="H551" t="s">
        <v>2548</v>
      </c>
      <c r="I551" t="s">
        <v>2556</v>
      </c>
      <c r="J551" s="1">
        <f>HYPERLINK("https://ec.europa.eu/info/funding-tenders/opportunities/portal/screen/how-to-participate/org-details/999845252", "999845252")</f>
        <v>0</v>
      </c>
      <c r="K551" t="s">
        <v>2687</v>
      </c>
      <c r="L551" t="s">
        <v>2908</v>
      </c>
      <c r="M551" t="s">
        <v>2965</v>
      </c>
      <c r="N551" t="b">
        <v>0</v>
      </c>
      <c r="O551" t="s">
        <v>2999</v>
      </c>
      <c r="P551" t="s">
        <v>3235</v>
      </c>
      <c r="Q551">
        <v>5</v>
      </c>
      <c r="R551" t="s">
        <v>3345</v>
      </c>
      <c r="T551" s="2">
        <v>0</v>
      </c>
      <c r="U551" s="2">
        <v>0</v>
      </c>
    </row>
    <row r="552" spans="1:21">
      <c r="A552" t="s">
        <v>22</v>
      </c>
      <c r="B552" s="1">
        <f>HYPERLINK("https://cordis.europa.eu/project/id/734922", "734922")</f>
        <v>0</v>
      </c>
      <c r="C552" t="s">
        <v>455</v>
      </c>
      <c r="D552" t="s">
        <v>1270</v>
      </c>
      <c r="E552" t="s">
        <v>1849</v>
      </c>
      <c r="F552" t="s">
        <v>2223</v>
      </c>
      <c r="G552" t="s">
        <v>2472</v>
      </c>
      <c r="H552" t="s">
        <v>2548</v>
      </c>
      <c r="I552" t="s">
        <v>2556</v>
      </c>
      <c r="J552" s="1">
        <f>HYPERLINK("https://ec.europa.eu/info/funding-tenders/opportunities/portal/screen/how-to-participate/org-details/999879978", "999879978")</f>
        <v>0</v>
      </c>
      <c r="K552" t="s">
        <v>2615</v>
      </c>
      <c r="M552" t="s">
        <v>2965</v>
      </c>
      <c r="N552" t="b">
        <v>0</v>
      </c>
      <c r="O552" t="s">
        <v>3003</v>
      </c>
      <c r="P552" t="s">
        <v>3177</v>
      </c>
      <c r="Q552">
        <v>13</v>
      </c>
      <c r="R552" t="s">
        <v>3345</v>
      </c>
      <c r="T552" s="2">
        <v>0</v>
      </c>
      <c r="U552" s="2">
        <v>0</v>
      </c>
    </row>
    <row r="553" spans="1:21">
      <c r="A553" t="s">
        <v>22</v>
      </c>
      <c r="B553" s="1">
        <f>HYPERLINK("https://cordis.europa.eu/project/id/847593", "847593")</f>
        <v>0</v>
      </c>
      <c r="C553" t="s">
        <v>456</v>
      </c>
      <c r="D553" t="s">
        <v>1271</v>
      </c>
      <c r="E553" t="s">
        <v>1850</v>
      </c>
      <c r="F553" t="s">
        <v>2186</v>
      </c>
      <c r="G553" t="s">
        <v>2445</v>
      </c>
      <c r="H553" t="s">
        <v>2548</v>
      </c>
      <c r="I553" t="s">
        <v>2556</v>
      </c>
      <c r="J553" s="1">
        <f>HYPERLINK("https://ec.europa.eu/info/funding-tenders/opportunities/portal/screen/how-to-participate/org-details/991429920", "991429920")</f>
        <v>0</v>
      </c>
      <c r="K553" t="s">
        <v>2750</v>
      </c>
      <c r="M553" t="s">
        <v>2967</v>
      </c>
      <c r="O553" t="s">
        <v>3008</v>
      </c>
      <c r="P553" t="s">
        <v>3200</v>
      </c>
      <c r="Q553">
        <v>27</v>
      </c>
      <c r="R553" t="s">
        <v>3344</v>
      </c>
      <c r="S553" s="2">
        <v>0</v>
      </c>
      <c r="T553" s="2">
        <v>0</v>
      </c>
      <c r="U553" s="2">
        <v>1350000</v>
      </c>
    </row>
    <row r="554" spans="1:21">
      <c r="A554" t="s">
        <v>22</v>
      </c>
      <c r="B554" s="1">
        <f>HYPERLINK("https://cordis.europa.eu/project/id/101008126", "101008126")</f>
        <v>0</v>
      </c>
      <c r="C554" t="s">
        <v>457</v>
      </c>
      <c r="D554" t="s">
        <v>1272</v>
      </c>
      <c r="E554" t="s">
        <v>1851</v>
      </c>
      <c r="F554" t="s">
        <v>2261</v>
      </c>
      <c r="G554" t="s">
        <v>2413</v>
      </c>
      <c r="H554" t="s">
        <v>2548</v>
      </c>
      <c r="I554" t="s">
        <v>2556</v>
      </c>
      <c r="J554" s="1">
        <f>HYPERLINK("https://ec.europa.eu/info/funding-tenders/opportunities/portal/screen/how-to-participate/org-details/950071060", "950071060")</f>
        <v>0</v>
      </c>
      <c r="K554" t="s">
        <v>2698</v>
      </c>
      <c r="M554" t="s">
        <v>2966</v>
      </c>
      <c r="N554" t="b">
        <v>0</v>
      </c>
      <c r="O554" t="s">
        <v>2993</v>
      </c>
      <c r="P554" t="s">
        <v>3237</v>
      </c>
      <c r="Q554">
        <v>5</v>
      </c>
      <c r="R554" t="s">
        <v>3342</v>
      </c>
      <c r="S554" s="2">
        <v>143925</v>
      </c>
      <c r="T554" s="2">
        <v>143925</v>
      </c>
      <c r="U554" s="2">
        <v>143925</v>
      </c>
    </row>
    <row r="555" spans="1:21">
      <c r="A555" t="s">
        <v>22</v>
      </c>
      <c r="B555" s="1">
        <f>HYPERLINK("https://cordis.europa.eu/project/id/951541", "951541")</f>
        <v>0</v>
      </c>
      <c r="C555" t="s">
        <v>458</v>
      </c>
      <c r="D555" t="s">
        <v>1273</v>
      </c>
      <c r="E555" t="s">
        <v>1852</v>
      </c>
      <c r="F555" t="s">
        <v>2213</v>
      </c>
      <c r="G555" t="s">
        <v>2484</v>
      </c>
      <c r="H555" t="s">
        <v>2548</v>
      </c>
      <c r="I555" t="s">
        <v>2556</v>
      </c>
      <c r="J555" s="1">
        <f>HYPERLINK("https://ec.europa.eu/info/funding-tenders/opportunities/portal/screen/how-to-participate/org-details/998804636", "998804636")</f>
        <v>0</v>
      </c>
      <c r="K555" t="s">
        <v>2612</v>
      </c>
      <c r="L555" t="s">
        <v>2845</v>
      </c>
      <c r="M555" t="s">
        <v>2965</v>
      </c>
      <c r="N555" t="b">
        <v>0</v>
      </c>
      <c r="O555" t="s">
        <v>3009</v>
      </c>
      <c r="P555" t="s">
        <v>3238</v>
      </c>
      <c r="Q555">
        <v>3</v>
      </c>
      <c r="R555" t="s">
        <v>3342</v>
      </c>
      <c r="S555" s="2">
        <v>2663750</v>
      </c>
      <c r="T555" s="2">
        <v>2663750</v>
      </c>
      <c r="U555" s="2">
        <v>2663750</v>
      </c>
    </row>
    <row r="556" spans="1:21">
      <c r="A556" t="s">
        <v>22</v>
      </c>
      <c r="B556" s="1">
        <f>HYPERLINK("https://cordis.europa.eu/project/id/727852", "727852")</f>
        <v>0</v>
      </c>
      <c r="C556" t="s">
        <v>459</v>
      </c>
      <c r="D556" t="s">
        <v>1274</v>
      </c>
      <c r="E556" t="s">
        <v>1853</v>
      </c>
      <c r="F556" t="s">
        <v>2250</v>
      </c>
      <c r="G556" t="s">
        <v>2399</v>
      </c>
      <c r="H556" t="s">
        <v>2548</v>
      </c>
      <c r="I556" t="s">
        <v>2556</v>
      </c>
      <c r="J556" s="1">
        <f>HYPERLINK("https://ec.europa.eu/info/funding-tenders/opportunities/portal/screen/how-to-participate/org-details/947660901", "947660901")</f>
        <v>0</v>
      </c>
      <c r="K556" t="s">
        <v>2751</v>
      </c>
      <c r="L556" t="s">
        <v>2936</v>
      </c>
      <c r="M556" t="s">
        <v>2968</v>
      </c>
      <c r="N556" t="b">
        <v>0</v>
      </c>
      <c r="O556" t="s">
        <v>2993</v>
      </c>
      <c r="P556" t="s">
        <v>3239</v>
      </c>
      <c r="Q556">
        <v>19</v>
      </c>
      <c r="R556" t="s">
        <v>3342</v>
      </c>
      <c r="S556" s="2">
        <v>0</v>
      </c>
      <c r="T556" s="2">
        <v>0</v>
      </c>
      <c r="U556" s="2">
        <v>40625</v>
      </c>
    </row>
    <row r="557" spans="1:21">
      <c r="A557" t="s">
        <v>22</v>
      </c>
      <c r="B557" s="1">
        <f>HYPERLINK("https://cordis.europa.eu/project/id/869367", "869367")</f>
        <v>0</v>
      </c>
      <c r="C557" t="s">
        <v>460</v>
      </c>
      <c r="D557" t="s">
        <v>1275</v>
      </c>
      <c r="E557" t="s">
        <v>1759</v>
      </c>
      <c r="F557" t="s">
        <v>2262</v>
      </c>
      <c r="G557" t="s">
        <v>2467</v>
      </c>
      <c r="H557" t="s">
        <v>2548</v>
      </c>
      <c r="I557" t="s">
        <v>2556</v>
      </c>
      <c r="J557" s="1">
        <f>HYPERLINK("https://ec.europa.eu/info/funding-tenders/opportunities/portal/screen/how-to-participate/org-details/898703643", "898703643")</f>
        <v>0</v>
      </c>
      <c r="K557" t="s">
        <v>2752</v>
      </c>
      <c r="L557" t="s">
        <v>2937</v>
      </c>
      <c r="M557" t="s">
        <v>2968</v>
      </c>
      <c r="N557" t="b">
        <v>0</v>
      </c>
      <c r="O557" t="s">
        <v>2993</v>
      </c>
      <c r="P557" t="s">
        <v>3198</v>
      </c>
      <c r="Q557">
        <v>16</v>
      </c>
      <c r="R557" t="s">
        <v>3342</v>
      </c>
      <c r="S557" s="2">
        <v>0</v>
      </c>
      <c r="T557" s="2">
        <v>0</v>
      </c>
      <c r="U557" s="2">
        <v>63000</v>
      </c>
    </row>
    <row r="558" spans="1:21">
      <c r="A558" t="s">
        <v>22</v>
      </c>
      <c r="B558" s="1">
        <f>HYPERLINK("https://cordis.europa.eu/project/id/634453", "634453")</f>
        <v>0</v>
      </c>
      <c r="C558" t="s">
        <v>461</v>
      </c>
      <c r="D558" t="s">
        <v>1276</v>
      </c>
      <c r="E558" t="s">
        <v>1854</v>
      </c>
      <c r="F558" t="s">
        <v>2226</v>
      </c>
      <c r="G558" t="s">
        <v>2396</v>
      </c>
      <c r="H558" t="s">
        <v>2548</v>
      </c>
      <c r="I558" t="s">
        <v>2556</v>
      </c>
      <c r="J558" s="1">
        <f>HYPERLINK("https://ec.europa.eu/info/funding-tenders/opportunities/portal/screen/how-to-participate/org-details/937307994", "937307994")</f>
        <v>0</v>
      </c>
      <c r="K558" t="s">
        <v>2753</v>
      </c>
      <c r="L558" t="s">
        <v>2938</v>
      </c>
      <c r="M558" t="s">
        <v>2968</v>
      </c>
      <c r="N558" t="b">
        <v>0</v>
      </c>
      <c r="O558" t="s">
        <v>2993</v>
      </c>
      <c r="P558" t="s">
        <v>3227</v>
      </c>
      <c r="Q558">
        <v>3</v>
      </c>
      <c r="R558" t="s">
        <v>3342</v>
      </c>
      <c r="S558" s="2">
        <v>13973.58</v>
      </c>
      <c r="T558" s="2">
        <v>13973.58</v>
      </c>
    </row>
    <row r="559" spans="1:21">
      <c r="A559" t="s">
        <v>22</v>
      </c>
      <c r="B559" s="1">
        <f>HYPERLINK("https://cordis.europa.eu/project/id/101022791", "101022791")</f>
        <v>0</v>
      </c>
      <c r="C559" t="s">
        <v>462</v>
      </c>
      <c r="D559" t="s">
        <v>1277</v>
      </c>
      <c r="E559" t="s">
        <v>1855</v>
      </c>
      <c r="F559" t="s">
        <v>2261</v>
      </c>
      <c r="G559" t="s">
        <v>2445</v>
      </c>
      <c r="H559" t="s">
        <v>2548</v>
      </c>
      <c r="I559" t="s">
        <v>2556</v>
      </c>
      <c r="J559" s="1">
        <f>HYPERLINK("https://ec.europa.eu/info/funding-tenders/opportunities/portal/screen/how-to-participate/org-details/998385014", "998385014")</f>
        <v>0</v>
      </c>
      <c r="K559" t="s">
        <v>2618</v>
      </c>
      <c r="L559" t="s">
        <v>2849</v>
      </c>
      <c r="M559" t="s">
        <v>2965</v>
      </c>
      <c r="N559" t="b">
        <v>0</v>
      </c>
      <c r="O559" t="s">
        <v>2993</v>
      </c>
      <c r="P559" t="s">
        <v>3167</v>
      </c>
      <c r="Q559">
        <v>13</v>
      </c>
      <c r="R559" t="s">
        <v>3342</v>
      </c>
      <c r="S559" s="2">
        <v>0</v>
      </c>
      <c r="T559" s="2">
        <v>0</v>
      </c>
      <c r="U559" s="2">
        <v>0</v>
      </c>
    </row>
    <row r="560" spans="1:21">
      <c r="A560" t="s">
        <v>22</v>
      </c>
      <c r="B560" s="1">
        <f>HYPERLINK("https://cordis.europa.eu/project/id/101022791", "101022791")</f>
        <v>0</v>
      </c>
      <c r="C560" t="s">
        <v>462</v>
      </c>
      <c r="D560" t="s">
        <v>1277</v>
      </c>
      <c r="E560" t="s">
        <v>1855</v>
      </c>
      <c r="F560" t="s">
        <v>2261</v>
      </c>
      <c r="G560" t="s">
        <v>2445</v>
      </c>
      <c r="H560" t="s">
        <v>2548</v>
      </c>
      <c r="I560" t="s">
        <v>2556</v>
      </c>
      <c r="J560" s="1">
        <f>HYPERLINK("https://ec.europa.eu/info/funding-tenders/opportunities/portal/screen/how-to-participate/org-details/986196188", "986196188")</f>
        <v>0</v>
      </c>
      <c r="K560" t="s">
        <v>2709</v>
      </c>
      <c r="L560" t="s">
        <v>2920</v>
      </c>
      <c r="M560" t="s">
        <v>2965</v>
      </c>
      <c r="N560" t="b">
        <v>0</v>
      </c>
      <c r="O560" t="s">
        <v>2993</v>
      </c>
      <c r="P560" t="s">
        <v>3167</v>
      </c>
      <c r="Q560">
        <v>14</v>
      </c>
      <c r="R560" t="s">
        <v>3342</v>
      </c>
      <c r="S560" s="2">
        <v>0</v>
      </c>
      <c r="T560" s="2">
        <v>0</v>
      </c>
      <c r="U560" s="2">
        <v>240000</v>
      </c>
    </row>
    <row r="561" spans="1:21">
      <c r="A561" t="s">
        <v>22</v>
      </c>
      <c r="B561" s="1">
        <f>HYPERLINK("https://cordis.europa.eu/project/id/870245", "870245")</f>
        <v>0</v>
      </c>
      <c r="C561" t="s">
        <v>463</v>
      </c>
      <c r="D561" t="s">
        <v>1278</v>
      </c>
      <c r="E561" t="s">
        <v>1800</v>
      </c>
      <c r="F561" t="s">
        <v>2254</v>
      </c>
      <c r="G561" t="s">
        <v>2485</v>
      </c>
      <c r="H561" t="s">
        <v>2549</v>
      </c>
      <c r="I561" t="s">
        <v>2557</v>
      </c>
      <c r="J561" s="1">
        <f>HYPERLINK("https://ec.europa.eu/info/funding-tenders/opportunities/portal/screen/how-to-participate/org-details/999613131", "999613131")</f>
        <v>0</v>
      </c>
      <c r="K561" t="s">
        <v>2591</v>
      </c>
      <c r="L561" t="s">
        <v>2831</v>
      </c>
      <c r="M561" t="s">
        <v>2965</v>
      </c>
      <c r="N561" t="b">
        <v>0</v>
      </c>
      <c r="O561" t="s">
        <v>3003</v>
      </c>
      <c r="P561" t="s">
        <v>3189</v>
      </c>
      <c r="Q561">
        <v>19</v>
      </c>
      <c r="R561" t="s">
        <v>3345</v>
      </c>
      <c r="T561" s="2">
        <v>0</v>
      </c>
      <c r="U561" s="2">
        <v>96600</v>
      </c>
    </row>
    <row r="562" spans="1:21">
      <c r="A562" t="s">
        <v>22</v>
      </c>
      <c r="B562" s="1">
        <f>HYPERLINK("https://cordis.europa.eu/project/id/870245", "870245")</f>
        <v>0</v>
      </c>
      <c r="C562" t="s">
        <v>463</v>
      </c>
      <c r="D562" t="s">
        <v>1278</v>
      </c>
      <c r="E562" t="s">
        <v>1800</v>
      </c>
      <c r="F562" t="s">
        <v>2254</v>
      </c>
      <c r="G562" t="s">
        <v>2485</v>
      </c>
      <c r="H562" t="s">
        <v>2548</v>
      </c>
      <c r="I562" t="s">
        <v>2556</v>
      </c>
      <c r="J562" s="1">
        <f>HYPERLINK("https://ec.europa.eu/info/funding-tenders/opportunities/portal/screen/how-to-participate/org-details/998826946", "998826946")</f>
        <v>0</v>
      </c>
      <c r="K562" t="s">
        <v>2617</v>
      </c>
      <c r="L562" t="s">
        <v>2848</v>
      </c>
      <c r="M562" t="s">
        <v>2965</v>
      </c>
      <c r="N562" t="b">
        <v>0</v>
      </c>
      <c r="O562" t="s">
        <v>3003</v>
      </c>
      <c r="P562" t="s">
        <v>3189</v>
      </c>
      <c r="Q562">
        <v>17</v>
      </c>
      <c r="R562" t="s">
        <v>3345</v>
      </c>
      <c r="T562" s="2">
        <v>0</v>
      </c>
      <c r="U562" s="2">
        <v>27600</v>
      </c>
    </row>
    <row r="563" spans="1:21">
      <c r="A563" t="s">
        <v>22</v>
      </c>
      <c r="B563" s="1">
        <f>HYPERLINK("https://cordis.europa.eu/project/id/815668", "815668")</f>
        <v>0</v>
      </c>
      <c r="C563" t="s">
        <v>464</v>
      </c>
      <c r="D563" t="s">
        <v>1279</v>
      </c>
      <c r="E563" t="s">
        <v>1856</v>
      </c>
      <c r="F563" t="s">
        <v>2227</v>
      </c>
      <c r="G563" t="s">
        <v>2404</v>
      </c>
      <c r="H563" t="s">
        <v>2548</v>
      </c>
      <c r="I563" t="s">
        <v>2556</v>
      </c>
      <c r="J563" s="1">
        <f>HYPERLINK("https://ec.europa.eu/info/funding-tenders/opportunities/portal/screen/how-to-participate/org-details/999894043", "999894043")</f>
        <v>0</v>
      </c>
      <c r="K563" t="s">
        <v>2568</v>
      </c>
      <c r="L563" t="s">
        <v>2812</v>
      </c>
      <c r="M563" t="s">
        <v>2965</v>
      </c>
      <c r="N563" t="b">
        <v>0</v>
      </c>
      <c r="O563" t="s">
        <v>2993</v>
      </c>
      <c r="P563" t="s">
        <v>3240</v>
      </c>
      <c r="Q563">
        <v>14</v>
      </c>
      <c r="R563" t="s">
        <v>3342</v>
      </c>
      <c r="S563" s="2">
        <v>46625</v>
      </c>
      <c r="T563" s="2">
        <v>46625</v>
      </c>
      <c r="U563" s="2">
        <v>46625</v>
      </c>
    </row>
    <row r="564" spans="1:21">
      <c r="A564" t="s">
        <v>22</v>
      </c>
      <c r="B564" s="1">
        <f>HYPERLINK("https://cordis.europa.eu/project/id/101003722", "101003722")</f>
        <v>0</v>
      </c>
      <c r="C564" t="s">
        <v>465</v>
      </c>
      <c r="D564" t="s">
        <v>1280</v>
      </c>
      <c r="E564" t="s">
        <v>1857</v>
      </c>
      <c r="F564" t="s">
        <v>2261</v>
      </c>
      <c r="G564" t="s">
        <v>2413</v>
      </c>
      <c r="H564" t="s">
        <v>2548</v>
      </c>
      <c r="I564" t="s">
        <v>2556</v>
      </c>
      <c r="J564" s="1">
        <f>HYPERLINK("https://ec.europa.eu/info/funding-tenders/opportunities/portal/screen/how-to-participate/org-details/998082180", "998082180")</f>
        <v>0</v>
      </c>
      <c r="K564" t="s">
        <v>2565</v>
      </c>
      <c r="M564" t="s">
        <v>2965</v>
      </c>
      <c r="N564" t="b">
        <v>0</v>
      </c>
      <c r="O564" t="s">
        <v>2993</v>
      </c>
      <c r="P564" t="s">
        <v>3241</v>
      </c>
      <c r="Q564">
        <v>12</v>
      </c>
      <c r="R564" t="s">
        <v>3342</v>
      </c>
      <c r="S564" s="2">
        <v>0</v>
      </c>
      <c r="T564" s="2">
        <v>0</v>
      </c>
      <c r="U564" s="2">
        <v>417200</v>
      </c>
    </row>
    <row r="565" spans="1:21">
      <c r="A565" t="s">
        <v>22</v>
      </c>
      <c r="B565" s="1">
        <f>HYPERLINK("https://cordis.europa.eu/project/id/835466", "835466")</f>
        <v>0</v>
      </c>
      <c r="C565" t="s">
        <v>466</v>
      </c>
      <c r="D565" t="s">
        <v>1281</v>
      </c>
      <c r="E565" t="s">
        <v>1838</v>
      </c>
      <c r="F565" t="s">
        <v>2205</v>
      </c>
      <c r="G565" t="s">
        <v>2442</v>
      </c>
      <c r="H565" t="s">
        <v>2548</v>
      </c>
      <c r="I565" t="s">
        <v>2556</v>
      </c>
      <c r="J565" s="1">
        <f>HYPERLINK("https://ec.europa.eu/info/funding-tenders/opportunities/portal/screen/how-to-participate/org-details/997292018", "997292018")</f>
        <v>0</v>
      </c>
      <c r="K565" t="s">
        <v>2606</v>
      </c>
      <c r="L565" t="s">
        <v>2841</v>
      </c>
      <c r="M565" t="s">
        <v>2965</v>
      </c>
      <c r="N565" t="b">
        <v>0</v>
      </c>
      <c r="O565" t="s">
        <v>2997</v>
      </c>
      <c r="P565" t="s">
        <v>3158</v>
      </c>
      <c r="Q565">
        <v>2</v>
      </c>
      <c r="R565" t="s">
        <v>3345</v>
      </c>
      <c r="T565" s="2">
        <v>0</v>
      </c>
    </row>
    <row r="566" spans="1:21">
      <c r="A566" t="s">
        <v>22</v>
      </c>
      <c r="B566" s="1">
        <f>HYPERLINK("https://cordis.europa.eu/project/id/796197", "796197")</f>
        <v>0</v>
      </c>
      <c r="C566" t="s">
        <v>467</v>
      </c>
      <c r="D566" t="s">
        <v>1282</v>
      </c>
      <c r="E566" t="s">
        <v>1858</v>
      </c>
      <c r="F566" t="s">
        <v>2251</v>
      </c>
      <c r="G566" t="s">
        <v>2479</v>
      </c>
      <c r="H566" t="s">
        <v>2548</v>
      </c>
      <c r="I566" t="s">
        <v>2556</v>
      </c>
      <c r="J566" s="1">
        <f>HYPERLINK("https://ec.europa.eu/info/funding-tenders/opportunities/portal/screen/how-to-participate/org-details/999845252", "999845252")</f>
        <v>0</v>
      </c>
      <c r="K566" t="s">
        <v>2687</v>
      </c>
      <c r="L566" t="s">
        <v>2908</v>
      </c>
      <c r="M566" t="s">
        <v>2965</v>
      </c>
      <c r="N566" t="b">
        <v>0</v>
      </c>
      <c r="O566" t="s">
        <v>2998</v>
      </c>
      <c r="P566" t="s">
        <v>3160</v>
      </c>
      <c r="Q566">
        <v>2</v>
      </c>
      <c r="R566" t="s">
        <v>3345</v>
      </c>
      <c r="T566" s="2">
        <v>0</v>
      </c>
    </row>
    <row r="567" spans="1:21">
      <c r="A567" t="s">
        <v>22</v>
      </c>
      <c r="B567" s="1">
        <f>HYPERLINK("https://cordis.europa.eu/project/id/101032326", "101032326")</f>
        <v>0</v>
      </c>
      <c r="C567" t="s">
        <v>468</v>
      </c>
      <c r="D567" t="s">
        <v>1283</v>
      </c>
      <c r="E567" t="s">
        <v>1783</v>
      </c>
      <c r="F567" t="s">
        <v>2187</v>
      </c>
      <c r="G567" t="s">
        <v>2443</v>
      </c>
      <c r="H567" t="s">
        <v>2548</v>
      </c>
      <c r="I567" t="s">
        <v>2556</v>
      </c>
      <c r="J567" s="1">
        <f>HYPERLINK("https://ec.europa.eu/info/funding-tenders/opportunities/portal/screen/how-to-participate/org-details/999902773", "999902773")</f>
        <v>0</v>
      </c>
      <c r="K567" t="s">
        <v>2571</v>
      </c>
      <c r="L567" t="s">
        <v>2814</v>
      </c>
      <c r="M567" t="s">
        <v>2965</v>
      </c>
      <c r="N567" t="b">
        <v>0</v>
      </c>
      <c r="O567" t="s">
        <v>2997</v>
      </c>
      <c r="P567" t="s">
        <v>3166</v>
      </c>
      <c r="Q567">
        <v>2</v>
      </c>
      <c r="R567" t="s">
        <v>3345</v>
      </c>
      <c r="T567" s="2">
        <v>0</v>
      </c>
    </row>
    <row r="568" spans="1:21">
      <c r="A568" t="s">
        <v>22</v>
      </c>
      <c r="B568" s="1">
        <f>HYPERLINK("https://cordis.europa.eu/project/id/101004714", "101004714")</f>
        <v>0</v>
      </c>
      <c r="C568" t="s">
        <v>469</v>
      </c>
      <c r="D568" t="s">
        <v>1284</v>
      </c>
      <c r="E568" t="s">
        <v>1859</v>
      </c>
      <c r="F568" t="s">
        <v>2193</v>
      </c>
      <c r="G568" t="s">
        <v>2467</v>
      </c>
      <c r="H568" t="s">
        <v>2548</v>
      </c>
      <c r="I568" t="s">
        <v>2556</v>
      </c>
      <c r="J568" s="1">
        <f>HYPERLINK("https://ec.europa.eu/info/funding-tenders/opportunities/portal/screen/how-to-participate/org-details/998385014", "998385014")</f>
        <v>0</v>
      </c>
      <c r="K568" t="s">
        <v>2618</v>
      </c>
      <c r="L568" t="s">
        <v>2849</v>
      </c>
      <c r="M568" t="s">
        <v>2965</v>
      </c>
      <c r="N568" t="b">
        <v>0</v>
      </c>
      <c r="O568" t="s">
        <v>2993</v>
      </c>
      <c r="P568" t="s">
        <v>3209</v>
      </c>
      <c r="Q568">
        <v>12</v>
      </c>
      <c r="R568" t="s">
        <v>3342</v>
      </c>
      <c r="S568" s="2">
        <v>0</v>
      </c>
      <c r="T568" s="2">
        <v>0</v>
      </c>
    </row>
    <row r="569" spans="1:21">
      <c r="A569" t="s">
        <v>22</v>
      </c>
      <c r="B569" s="1">
        <f>HYPERLINK("https://cordis.europa.eu/project/id/870761", "870761")</f>
        <v>0</v>
      </c>
      <c r="C569" t="s">
        <v>470</v>
      </c>
      <c r="D569" t="s">
        <v>1285</v>
      </c>
      <c r="E569" t="s">
        <v>1687</v>
      </c>
      <c r="F569" t="s">
        <v>2196</v>
      </c>
      <c r="G569" t="s">
        <v>2450</v>
      </c>
      <c r="H569" t="s">
        <v>2548</v>
      </c>
      <c r="I569" t="s">
        <v>2556</v>
      </c>
      <c r="J569" s="1">
        <f>HYPERLINK("https://ec.europa.eu/info/funding-tenders/opportunities/portal/screen/how-to-participate/org-details/998040955", "998040955")</f>
        <v>0</v>
      </c>
      <c r="K569" t="s">
        <v>2602</v>
      </c>
      <c r="M569" t="s">
        <v>2965</v>
      </c>
      <c r="N569" t="b">
        <v>0</v>
      </c>
      <c r="O569" t="s">
        <v>2993</v>
      </c>
      <c r="P569" t="s">
        <v>3242</v>
      </c>
      <c r="Q569">
        <v>7</v>
      </c>
      <c r="R569" t="s">
        <v>3342</v>
      </c>
      <c r="S569" s="2">
        <v>0</v>
      </c>
      <c r="T569" s="2">
        <v>0</v>
      </c>
      <c r="U569" s="2">
        <v>137515</v>
      </c>
    </row>
    <row r="570" spans="1:21">
      <c r="A570" t="s">
        <v>22</v>
      </c>
      <c r="B570" s="1">
        <f>HYPERLINK("https://cordis.europa.eu/project/id/870299", "870299")</f>
        <v>0</v>
      </c>
      <c r="C570" t="s">
        <v>471</v>
      </c>
      <c r="D570" t="s">
        <v>1286</v>
      </c>
      <c r="E570" t="s">
        <v>1687</v>
      </c>
      <c r="F570" t="s">
        <v>2196</v>
      </c>
      <c r="G570" t="s">
        <v>2486</v>
      </c>
      <c r="H570" t="s">
        <v>2548</v>
      </c>
      <c r="I570" t="s">
        <v>2556</v>
      </c>
      <c r="J570" s="1">
        <f>HYPERLINK("https://ec.europa.eu/info/funding-tenders/opportunities/portal/screen/how-to-participate/org-details/997292018", "997292018")</f>
        <v>0</v>
      </c>
      <c r="K570" t="s">
        <v>2606</v>
      </c>
      <c r="L570" t="s">
        <v>2841</v>
      </c>
      <c r="M570" t="s">
        <v>2965</v>
      </c>
      <c r="N570" t="b">
        <v>0</v>
      </c>
      <c r="O570" t="s">
        <v>2993</v>
      </c>
      <c r="P570" t="s">
        <v>3242</v>
      </c>
      <c r="Q570">
        <v>3</v>
      </c>
      <c r="R570" t="s">
        <v>3344</v>
      </c>
      <c r="S570" s="2">
        <v>0</v>
      </c>
      <c r="T570" s="2">
        <v>0</v>
      </c>
      <c r="U570" s="2">
        <v>163869</v>
      </c>
    </row>
    <row r="571" spans="1:21">
      <c r="A571" t="s">
        <v>22</v>
      </c>
      <c r="B571" s="1">
        <f>HYPERLINK("https://cordis.europa.eu/project/id/101022484", "101022484")</f>
        <v>0</v>
      </c>
      <c r="C571" t="s">
        <v>472</v>
      </c>
      <c r="D571" t="s">
        <v>1287</v>
      </c>
      <c r="E571" t="s">
        <v>1860</v>
      </c>
      <c r="F571" t="s">
        <v>2218</v>
      </c>
      <c r="G571" t="s">
        <v>2487</v>
      </c>
      <c r="H571" t="s">
        <v>2548</v>
      </c>
      <c r="I571" t="s">
        <v>2556</v>
      </c>
      <c r="J571" s="1">
        <f>HYPERLINK("https://ec.europa.eu/info/funding-tenders/opportunities/portal/screen/how-to-participate/org-details/998757203", "998757203")</f>
        <v>0</v>
      </c>
      <c r="K571" t="s">
        <v>2575</v>
      </c>
      <c r="L571" t="s">
        <v>2817</v>
      </c>
      <c r="M571" t="s">
        <v>2965</v>
      </c>
      <c r="N571" t="b">
        <v>0</v>
      </c>
      <c r="O571" t="s">
        <v>2994</v>
      </c>
      <c r="P571" t="s">
        <v>3243</v>
      </c>
      <c r="Q571">
        <v>17</v>
      </c>
      <c r="R571" t="s">
        <v>3342</v>
      </c>
      <c r="S571" s="2">
        <v>0</v>
      </c>
      <c r="T571" s="2">
        <v>0</v>
      </c>
      <c r="U571" s="2">
        <v>45000</v>
      </c>
    </row>
    <row r="572" spans="1:21">
      <c r="A572" t="s">
        <v>22</v>
      </c>
      <c r="B572" s="1">
        <f>HYPERLINK("https://cordis.europa.eu/project/id/690917", "690917")</f>
        <v>0</v>
      </c>
      <c r="C572" t="s">
        <v>473</v>
      </c>
      <c r="D572" t="s">
        <v>1288</v>
      </c>
      <c r="E572" t="s">
        <v>1861</v>
      </c>
      <c r="F572" t="s">
        <v>2185</v>
      </c>
      <c r="G572" t="s">
        <v>2438</v>
      </c>
      <c r="H572" t="s">
        <v>2548</v>
      </c>
      <c r="I572" t="s">
        <v>2556</v>
      </c>
      <c r="J572" s="1">
        <f>HYPERLINK("https://ec.europa.eu/info/funding-tenders/opportunities/portal/screen/how-to-participate/org-details/928609422", "928609422")</f>
        <v>0</v>
      </c>
      <c r="K572" t="s">
        <v>2754</v>
      </c>
      <c r="L572" t="s">
        <v>2754</v>
      </c>
      <c r="M572" t="s">
        <v>2965</v>
      </c>
      <c r="N572" t="b">
        <v>0</v>
      </c>
      <c r="O572" t="s">
        <v>3003</v>
      </c>
      <c r="P572" t="s">
        <v>3176</v>
      </c>
      <c r="Q572">
        <v>3</v>
      </c>
      <c r="R572" t="s">
        <v>3345</v>
      </c>
      <c r="T572" s="2">
        <v>0</v>
      </c>
      <c r="U572" s="2">
        <v>99000</v>
      </c>
    </row>
    <row r="573" spans="1:21">
      <c r="A573" t="s">
        <v>22</v>
      </c>
      <c r="B573" s="1">
        <f>HYPERLINK("https://cordis.europa.eu/project/id/101007584", "101007584")</f>
        <v>0</v>
      </c>
      <c r="C573" t="s">
        <v>474</v>
      </c>
      <c r="D573" t="s">
        <v>1289</v>
      </c>
      <c r="E573" t="s">
        <v>1792</v>
      </c>
      <c r="F573" t="s">
        <v>2218</v>
      </c>
      <c r="G573" t="s">
        <v>2488</v>
      </c>
      <c r="H573" t="s">
        <v>2549</v>
      </c>
      <c r="I573" t="s">
        <v>2557</v>
      </c>
      <c r="J573" s="1">
        <f>HYPERLINK("https://ec.europa.eu/info/funding-tenders/opportunities/portal/screen/how-to-participate/org-details/991108074", "991108074")</f>
        <v>0</v>
      </c>
      <c r="K573" t="s">
        <v>2695</v>
      </c>
      <c r="L573" t="s">
        <v>2912</v>
      </c>
      <c r="M573" t="s">
        <v>2967</v>
      </c>
      <c r="N573" t="b">
        <v>0</v>
      </c>
      <c r="O573" t="s">
        <v>3003</v>
      </c>
      <c r="P573" t="s">
        <v>3216</v>
      </c>
      <c r="Q573">
        <v>7</v>
      </c>
      <c r="R573" t="s">
        <v>3345</v>
      </c>
      <c r="T573" s="2">
        <v>0</v>
      </c>
      <c r="U573" s="2">
        <v>9200</v>
      </c>
    </row>
    <row r="574" spans="1:21">
      <c r="A574" t="s">
        <v>22</v>
      </c>
      <c r="B574" s="1">
        <f>HYPERLINK("https://cordis.europa.eu/project/id/798205", "798205")</f>
        <v>0</v>
      </c>
      <c r="C574" t="s">
        <v>475</v>
      </c>
      <c r="D574" t="s">
        <v>1290</v>
      </c>
      <c r="E574" t="s">
        <v>1740</v>
      </c>
      <c r="F574" t="s">
        <v>2263</v>
      </c>
      <c r="G574" t="s">
        <v>2391</v>
      </c>
      <c r="H574" t="s">
        <v>2548</v>
      </c>
      <c r="I574" t="s">
        <v>2556</v>
      </c>
      <c r="J574" s="1">
        <f>HYPERLINK("https://ec.europa.eu/info/funding-tenders/opportunities/portal/screen/how-to-participate/org-details/997292018", "997292018")</f>
        <v>0</v>
      </c>
      <c r="K574" t="s">
        <v>2606</v>
      </c>
      <c r="L574" t="s">
        <v>2841</v>
      </c>
      <c r="M574" t="s">
        <v>2965</v>
      </c>
      <c r="N574" t="b">
        <v>0</v>
      </c>
      <c r="O574" t="s">
        <v>2997</v>
      </c>
      <c r="P574" t="s">
        <v>3160</v>
      </c>
      <c r="Q574">
        <v>2</v>
      </c>
      <c r="R574" t="s">
        <v>3345</v>
      </c>
      <c r="T574" s="2">
        <v>0</v>
      </c>
    </row>
    <row r="575" spans="1:21">
      <c r="A575" t="s">
        <v>22</v>
      </c>
      <c r="B575" s="1">
        <f>HYPERLINK("https://cordis.europa.eu/project/id/676338", "676338")</f>
        <v>0</v>
      </c>
      <c r="C575" t="s">
        <v>476</v>
      </c>
      <c r="D575" t="s">
        <v>1291</v>
      </c>
      <c r="E575" t="s">
        <v>1862</v>
      </c>
      <c r="F575" t="s">
        <v>2185</v>
      </c>
      <c r="G575" t="s">
        <v>2438</v>
      </c>
      <c r="H575" t="s">
        <v>2548</v>
      </c>
      <c r="I575" t="s">
        <v>2556</v>
      </c>
      <c r="J575" s="1">
        <f>HYPERLINK("https://ec.europa.eu/info/funding-tenders/opportunities/portal/screen/how-to-participate/org-details/888889730", "888889730")</f>
        <v>0</v>
      </c>
      <c r="K575" t="s">
        <v>2755</v>
      </c>
      <c r="M575" t="s">
        <v>2967</v>
      </c>
      <c r="N575" t="b">
        <v>0</v>
      </c>
      <c r="O575" t="s">
        <v>3002</v>
      </c>
      <c r="P575" t="s">
        <v>3195</v>
      </c>
      <c r="Q575">
        <v>16</v>
      </c>
      <c r="R575" t="s">
        <v>3345</v>
      </c>
      <c r="T575" s="2">
        <v>0</v>
      </c>
      <c r="U575" s="2">
        <v>0</v>
      </c>
    </row>
    <row r="576" spans="1:21">
      <c r="A576" t="s">
        <v>22</v>
      </c>
      <c r="B576" s="1">
        <f>HYPERLINK("https://cordis.europa.eu/project/id/645551", "645551")</f>
        <v>0</v>
      </c>
      <c r="C576" t="s">
        <v>477</v>
      </c>
      <c r="D576" t="s">
        <v>1292</v>
      </c>
      <c r="E576" t="s">
        <v>1863</v>
      </c>
      <c r="F576" t="s">
        <v>2222</v>
      </c>
      <c r="G576" t="s">
        <v>2387</v>
      </c>
      <c r="H576" t="s">
        <v>2548</v>
      </c>
      <c r="I576" t="s">
        <v>2556</v>
      </c>
      <c r="J576" s="1">
        <f>HYPERLINK("https://ec.europa.eu/info/funding-tenders/opportunities/portal/screen/how-to-participate/org-details/998826946", "998826946")</f>
        <v>0</v>
      </c>
      <c r="K576" t="s">
        <v>2617</v>
      </c>
      <c r="L576" t="s">
        <v>2848</v>
      </c>
      <c r="M576" t="s">
        <v>2965</v>
      </c>
      <c r="N576" t="b">
        <v>0</v>
      </c>
      <c r="O576" t="s">
        <v>3003</v>
      </c>
      <c r="P576" t="s">
        <v>3175</v>
      </c>
      <c r="Q576">
        <v>8</v>
      </c>
      <c r="R576" t="s">
        <v>3345</v>
      </c>
      <c r="T576" s="2">
        <v>0</v>
      </c>
      <c r="U576" s="2">
        <v>27000</v>
      </c>
    </row>
    <row r="577" spans="1:21">
      <c r="A577" t="s">
        <v>22</v>
      </c>
      <c r="B577" s="1">
        <f>HYPERLINK("https://cordis.europa.eu/project/id/873077", "873077")</f>
        <v>0</v>
      </c>
      <c r="C577" t="s">
        <v>478</v>
      </c>
      <c r="D577" t="s">
        <v>1293</v>
      </c>
      <c r="E577" t="s">
        <v>1800</v>
      </c>
      <c r="F577" t="s">
        <v>2180</v>
      </c>
      <c r="G577" t="s">
        <v>2489</v>
      </c>
      <c r="H577" t="s">
        <v>2548</v>
      </c>
      <c r="I577" t="s">
        <v>2556</v>
      </c>
      <c r="J577" s="1">
        <f>HYPERLINK("https://ec.europa.eu/info/funding-tenders/opportunities/portal/screen/how-to-participate/org-details/998040955", "998040955")</f>
        <v>0</v>
      </c>
      <c r="K577" t="s">
        <v>2602</v>
      </c>
      <c r="M577" t="s">
        <v>2965</v>
      </c>
      <c r="N577" t="b">
        <v>0</v>
      </c>
      <c r="O577" t="s">
        <v>3003</v>
      </c>
      <c r="P577" t="s">
        <v>3189</v>
      </c>
      <c r="Q577">
        <v>13</v>
      </c>
      <c r="R577" t="s">
        <v>3345</v>
      </c>
      <c r="T577" s="2">
        <v>0</v>
      </c>
      <c r="U577" s="2">
        <v>18400</v>
      </c>
    </row>
    <row r="578" spans="1:21">
      <c r="A578" t="s">
        <v>22</v>
      </c>
      <c r="B578" s="1">
        <f>HYPERLINK("https://cordis.europa.eu/project/id/873077", "873077")</f>
        <v>0</v>
      </c>
      <c r="C578" t="s">
        <v>478</v>
      </c>
      <c r="D578" t="s">
        <v>1293</v>
      </c>
      <c r="E578" t="s">
        <v>1800</v>
      </c>
      <c r="F578" t="s">
        <v>2180</v>
      </c>
      <c r="G578" t="s">
        <v>2489</v>
      </c>
      <c r="H578" t="s">
        <v>2549</v>
      </c>
      <c r="I578" t="s">
        <v>2557</v>
      </c>
      <c r="J578" s="1">
        <f>HYPERLINK("https://ec.europa.eu/info/funding-tenders/opportunities/portal/screen/how-to-participate/org-details/999613131", "999613131")</f>
        <v>0</v>
      </c>
      <c r="K578" t="s">
        <v>2591</v>
      </c>
      <c r="L578" t="s">
        <v>2831</v>
      </c>
      <c r="M578" t="s">
        <v>2965</v>
      </c>
      <c r="N578" t="b">
        <v>0</v>
      </c>
      <c r="O578" t="s">
        <v>3003</v>
      </c>
      <c r="P578" t="s">
        <v>3189</v>
      </c>
      <c r="Q578">
        <v>8</v>
      </c>
      <c r="R578" t="s">
        <v>3345</v>
      </c>
      <c r="T578" s="2">
        <v>0</v>
      </c>
      <c r="U578" s="2">
        <v>9200</v>
      </c>
    </row>
    <row r="579" spans="1:21">
      <c r="A579" t="s">
        <v>22</v>
      </c>
      <c r="B579" s="1">
        <f>HYPERLINK("https://cordis.europa.eu/project/id/873077", "873077")</f>
        <v>0</v>
      </c>
      <c r="C579" t="s">
        <v>478</v>
      </c>
      <c r="D579" t="s">
        <v>1293</v>
      </c>
      <c r="E579" t="s">
        <v>1800</v>
      </c>
      <c r="F579" t="s">
        <v>2180</v>
      </c>
      <c r="G579" t="s">
        <v>2489</v>
      </c>
      <c r="H579" t="s">
        <v>2549</v>
      </c>
      <c r="I579" t="s">
        <v>2557</v>
      </c>
      <c r="J579" s="1">
        <f>HYPERLINK("https://ec.europa.eu/info/funding-tenders/opportunities/portal/screen/how-to-participate/org-details/985512435", "985512435")</f>
        <v>0</v>
      </c>
      <c r="K579" t="s">
        <v>2567</v>
      </c>
      <c r="L579" t="s">
        <v>2811</v>
      </c>
      <c r="M579" t="s">
        <v>2965</v>
      </c>
      <c r="N579" t="b">
        <v>0</v>
      </c>
      <c r="O579" t="s">
        <v>3003</v>
      </c>
      <c r="P579" t="s">
        <v>3189</v>
      </c>
      <c r="Q579">
        <v>14</v>
      </c>
      <c r="R579" t="s">
        <v>3345</v>
      </c>
      <c r="T579" s="2">
        <v>0</v>
      </c>
      <c r="U579" s="2">
        <v>4600</v>
      </c>
    </row>
    <row r="580" spans="1:21">
      <c r="A580" t="s">
        <v>22</v>
      </c>
      <c r="B580" s="1">
        <f>HYPERLINK("https://cordis.europa.eu/project/id/875006", "875006")</f>
        <v>0</v>
      </c>
      <c r="C580" t="s">
        <v>479</v>
      </c>
      <c r="D580" t="s">
        <v>1294</v>
      </c>
      <c r="E580" t="s">
        <v>1864</v>
      </c>
      <c r="F580" t="s">
        <v>2180</v>
      </c>
      <c r="G580" t="s">
        <v>2467</v>
      </c>
      <c r="H580" t="s">
        <v>2548</v>
      </c>
      <c r="I580" t="s">
        <v>2556</v>
      </c>
      <c r="J580" s="1">
        <f>HYPERLINK("https://ec.europa.eu/info/funding-tenders/opportunities/portal/screen/how-to-participate/org-details/999561042", "999561042")</f>
        <v>0</v>
      </c>
      <c r="K580" t="s">
        <v>2566</v>
      </c>
      <c r="L580" t="s">
        <v>2810</v>
      </c>
      <c r="M580" t="s">
        <v>2966</v>
      </c>
      <c r="N580" t="b">
        <v>0</v>
      </c>
      <c r="O580" t="s">
        <v>2993</v>
      </c>
      <c r="P580" t="s">
        <v>3244</v>
      </c>
      <c r="Q580">
        <v>34</v>
      </c>
      <c r="R580" t="s">
        <v>3342</v>
      </c>
      <c r="S580" s="2">
        <v>0</v>
      </c>
      <c r="T580" s="2">
        <v>0</v>
      </c>
      <c r="U580" s="2">
        <v>381250</v>
      </c>
    </row>
    <row r="581" spans="1:21">
      <c r="A581" t="s">
        <v>22</v>
      </c>
      <c r="B581" s="1">
        <f>HYPERLINK("https://cordis.europa.eu/project/id/875006", "875006")</f>
        <v>0</v>
      </c>
      <c r="C581" t="s">
        <v>479</v>
      </c>
      <c r="D581" t="s">
        <v>1294</v>
      </c>
      <c r="E581" t="s">
        <v>1864</v>
      </c>
      <c r="F581" t="s">
        <v>2180</v>
      </c>
      <c r="G581" t="s">
        <v>2467</v>
      </c>
      <c r="H581" t="s">
        <v>2548</v>
      </c>
      <c r="I581" t="s">
        <v>2556</v>
      </c>
      <c r="J581" s="1">
        <f>HYPERLINK("https://ec.europa.eu/info/funding-tenders/opportunities/portal/screen/how-to-participate/org-details/999845252", "999845252")</f>
        <v>0</v>
      </c>
      <c r="K581" t="s">
        <v>2687</v>
      </c>
      <c r="L581" t="s">
        <v>2908</v>
      </c>
      <c r="M581" t="s">
        <v>2965</v>
      </c>
      <c r="N581" t="b">
        <v>0</v>
      </c>
      <c r="O581" t="s">
        <v>2993</v>
      </c>
      <c r="P581" t="s">
        <v>3244</v>
      </c>
      <c r="Q581">
        <v>35</v>
      </c>
      <c r="R581" t="s">
        <v>3342</v>
      </c>
      <c r="S581" s="2">
        <v>0</v>
      </c>
      <c r="T581" s="2">
        <v>0</v>
      </c>
      <c r="U581" s="2">
        <v>73100</v>
      </c>
    </row>
    <row r="582" spans="1:21">
      <c r="A582" t="s">
        <v>22</v>
      </c>
      <c r="B582" s="1">
        <f>HYPERLINK("https://cordis.europa.eu/project/id/820989", "820989")</f>
        <v>0</v>
      </c>
      <c r="C582" t="s">
        <v>480</v>
      </c>
      <c r="D582" t="s">
        <v>1295</v>
      </c>
      <c r="E582" t="s">
        <v>1847</v>
      </c>
      <c r="F582" t="s">
        <v>2227</v>
      </c>
      <c r="G582" t="s">
        <v>2412</v>
      </c>
      <c r="H582" t="s">
        <v>2548</v>
      </c>
      <c r="I582" t="s">
        <v>2556</v>
      </c>
      <c r="J582" s="1">
        <f>HYPERLINK("https://ec.europa.eu/info/funding-tenders/opportunities/portal/screen/how-to-participate/org-details/998539535", "998539535")</f>
        <v>0</v>
      </c>
      <c r="K582" t="s">
        <v>2662</v>
      </c>
      <c r="L582" t="s">
        <v>2662</v>
      </c>
      <c r="M582" t="s">
        <v>2965</v>
      </c>
      <c r="N582" t="b">
        <v>0</v>
      </c>
      <c r="O582" t="s">
        <v>2993</v>
      </c>
      <c r="P582" t="s">
        <v>3245</v>
      </c>
      <c r="Q582">
        <v>30</v>
      </c>
      <c r="R582" t="s">
        <v>3342</v>
      </c>
      <c r="S582" s="2">
        <v>0</v>
      </c>
      <c r="T582" s="2">
        <v>0</v>
      </c>
      <c r="U582" s="2">
        <v>55480</v>
      </c>
    </row>
    <row r="583" spans="1:21">
      <c r="A583" t="s">
        <v>22</v>
      </c>
      <c r="B583" s="1">
        <f>HYPERLINK("https://cordis.europa.eu/project/id/900009", "900009")</f>
        <v>0</v>
      </c>
      <c r="C583" t="s">
        <v>481</v>
      </c>
      <c r="D583" t="s">
        <v>1296</v>
      </c>
      <c r="E583" t="s">
        <v>1865</v>
      </c>
      <c r="F583" t="s">
        <v>2201</v>
      </c>
      <c r="G583" t="s">
        <v>2424</v>
      </c>
      <c r="H583" t="s">
        <v>2548</v>
      </c>
      <c r="I583" t="s">
        <v>2556</v>
      </c>
      <c r="J583" s="1">
        <f>HYPERLINK("https://ec.europa.eu/info/funding-tenders/opportunities/portal/screen/how-to-participate/org-details/996726411", "996726411")</f>
        <v>0</v>
      </c>
      <c r="K583" t="s">
        <v>2609</v>
      </c>
      <c r="M583" t="s">
        <v>2969</v>
      </c>
      <c r="N583" t="b">
        <v>0</v>
      </c>
      <c r="O583" t="s">
        <v>2993</v>
      </c>
      <c r="P583" t="s">
        <v>3192</v>
      </c>
      <c r="Q583">
        <v>1</v>
      </c>
      <c r="R583" t="s">
        <v>3344</v>
      </c>
      <c r="S583" s="2">
        <v>0</v>
      </c>
      <c r="T583" s="2">
        <v>0</v>
      </c>
    </row>
    <row r="584" spans="1:21">
      <c r="A584" t="s">
        <v>22</v>
      </c>
      <c r="B584" s="1">
        <f>HYPERLINK("https://cordis.europa.eu/project/id/707726", "707726")</f>
        <v>0</v>
      </c>
      <c r="C584" t="s">
        <v>482</v>
      </c>
      <c r="D584" t="s">
        <v>1297</v>
      </c>
      <c r="E584" t="s">
        <v>1866</v>
      </c>
      <c r="F584" t="s">
        <v>2264</v>
      </c>
      <c r="G584" t="s">
        <v>2490</v>
      </c>
      <c r="H584" t="s">
        <v>2548</v>
      </c>
      <c r="I584" t="s">
        <v>2556</v>
      </c>
      <c r="J584" s="1">
        <f>HYPERLINK("https://ec.europa.eu/info/funding-tenders/opportunities/portal/screen/how-to-participate/org-details/999845252", "999845252")</f>
        <v>0</v>
      </c>
      <c r="K584" t="s">
        <v>2687</v>
      </c>
      <c r="L584" t="s">
        <v>2908</v>
      </c>
      <c r="M584" t="s">
        <v>2965</v>
      </c>
      <c r="N584" t="b">
        <v>0</v>
      </c>
      <c r="O584" t="s">
        <v>2998</v>
      </c>
      <c r="P584" t="s">
        <v>3164</v>
      </c>
      <c r="Q584">
        <v>2</v>
      </c>
      <c r="R584" t="s">
        <v>3345</v>
      </c>
      <c r="T584" s="2">
        <v>0</v>
      </c>
    </row>
    <row r="585" spans="1:21">
      <c r="A585" t="s">
        <v>22</v>
      </c>
      <c r="B585" s="1">
        <f>HYPERLINK("https://cordis.europa.eu/project/id/749154", "749154")</f>
        <v>0</v>
      </c>
      <c r="C585" t="s">
        <v>483</v>
      </c>
      <c r="D585" t="s">
        <v>1298</v>
      </c>
      <c r="E585" t="s">
        <v>1867</v>
      </c>
      <c r="F585" t="s">
        <v>2209</v>
      </c>
      <c r="G585" t="s">
        <v>2421</v>
      </c>
      <c r="H585" t="s">
        <v>2548</v>
      </c>
      <c r="I585" t="s">
        <v>2556</v>
      </c>
      <c r="J585" s="1">
        <f>HYPERLINK("https://ec.europa.eu/info/funding-tenders/opportunities/portal/screen/how-to-participate/org-details/998804636", "998804636")</f>
        <v>0</v>
      </c>
      <c r="K585" t="s">
        <v>2612</v>
      </c>
      <c r="L585" t="s">
        <v>2845</v>
      </c>
      <c r="M585" t="s">
        <v>2965</v>
      </c>
      <c r="N585" t="b">
        <v>0</v>
      </c>
      <c r="O585" t="s">
        <v>2998</v>
      </c>
      <c r="P585" t="s">
        <v>3159</v>
      </c>
      <c r="Q585">
        <v>2</v>
      </c>
      <c r="R585" t="s">
        <v>3345</v>
      </c>
      <c r="T585" s="2">
        <v>0</v>
      </c>
    </row>
    <row r="586" spans="1:21">
      <c r="A586" t="s">
        <v>22</v>
      </c>
      <c r="B586" s="1">
        <f>HYPERLINK("https://cordis.europa.eu/project/id/894029", "894029")</f>
        <v>0</v>
      </c>
      <c r="C586" t="s">
        <v>484</v>
      </c>
      <c r="D586" t="s">
        <v>1299</v>
      </c>
      <c r="E586" t="s">
        <v>1868</v>
      </c>
      <c r="F586" t="s">
        <v>2187</v>
      </c>
      <c r="G586" t="s">
        <v>2443</v>
      </c>
      <c r="H586" t="s">
        <v>2548</v>
      </c>
      <c r="I586" t="s">
        <v>2556</v>
      </c>
      <c r="J586" s="1">
        <f>HYPERLINK("https://ec.europa.eu/info/funding-tenders/opportunities/portal/screen/how-to-participate/org-details/999845252", "999845252")</f>
        <v>0</v>
      </c>
      <c r="K586" t="s">
        <v>2687</v>
      </c>
      <c r="L586" t="s">
        <v>2908</v>
      </c>
      <c r="M586" t="s">
        <v>2965</v>
      </c>
      <c r="N586" t="b">
        <v>0</v>
      </c>
      <c r="O586" t="s">
        <v>2997</v>
      </c>
      <c r="P586" t="s">
        <v>3162</v>
      </c>
      <c r="Q586">
        <v>2</v>
      </c>
      <c r="R586" t="s">
        <v>3345</v>
      </c>
      <c r="T586" s="2">
        <v>0</v>
      </c>
    </row>
    <row r="587" spans="1:21">
      <c r="A587" t="s">
        <v>22</v>
      </c>
      <c r="B587" s="1">
        <f>HYPERLINK("https://cordis.europa.eu/project/id/642130", "642130")</f>
        <v>0</v>
      </c>
      <c r="C587" t="s">
        <v>485</v>
      </c>
      <c r="D587" t="s">
        <v>1300</v>
      </c>
      <c r="E587" t="s">
        <v>1659</v>
      </c>
      <c r="F587" t="s">
        <v>2242</v>
      </c>
      <c r="G587" t="s">
        <v>2377</v>
      </c>
      <c r="H587" t="s">
        <v>2548</v>
      </c>
      <c r="I587" t="s">
        <v>2556</v>
      </c>
      <c r="J587" s="1">
        <f>HYPERLINK("https://ec.europa.eu/info/funding-tenders/opportunities/portal/screen/how-to-participate/org-details/934946723", "934946723")</f>
        <v>0</v>
      </c>
      <c r="K587" t="s">
        <v>2756</v>
      </c>
      <c r="L587" t="s">
        <v>2939</v>
      </c>
      <c r="M587" t="s">
        <v>2968</v>
      </c>
      <c r="N587" t="b">
        <v>0</v>
      </c>
      <c r="O587" t="s">
        <v>2985</v>
      </c>
      <c r="P587" t="s">
        <v>3246</v>
      </c>
      <c r="Q587">
        <v>1</v>
      </c>
      <c r="R587" t="s">
        <v>3346</v>
      </c>
      <c r="S587" s="2">
        <v>0</v>
      </c>
      <c r="T587" s="2">
        <v>4200</v>
      </c>
      <c r="U587" s="2">
        <v>4375</v>
      </c>
    </row>
    <row r="588" spans="1:21">
      <c r="A588" t="s">
        <v>22</v>
      </c>
      <c r="B588" s="1">
        <f>HYPERLINK("https://cordis.europa.eu/project/id/753537", "753537")</f>
        <v>0</v>
      </c>
      <c r="C588" t="s">
        <v>486</v>
      </c>
      <c r="D588" t="s">
        <v>1301</v>
      </c>
      <c r="E588" t="s">
        <v>1869</v>
      </c>
      <c r="F588" t="s">
        <v>2197</v>
      </c>
      <c r="G588" t="s">
        <v>2394</v>
      </c>
      <c r="H588" t="s">
        <v>2548</v>
      </c>
      <c r="I588" t="s">
        <v>2556</v>
      </c>
      <c r="J588" s="1">
        <f>HYPERLINK("https://ec.europa.eu/info/funding-tenders/opportunities/portal/screen/how-to-participate/org-details/998826946", "998826946")</f>
        <v>0</v>
      </c>
      <c r="K588" t="s">
        <v>2617</v>
      </c>
      <c r="L588" t="s">
        <v>2848</v>
      </c>
      <c r="M588" t="s">
        <v>2965</v>
      </c>
      <c r="N588" t="b">
        <v>0</v>
      </c>
      <c r="O588" t="s">
        <v>2998</v>
      </c>
      <c r="P588" t="s">
        <v>3159</v>
      </c>
      <c r="Q588">
        <v>2</v>
      </c>
      <c r="R588" t="s">
        <v>3345</v>
      </c>
      <c r="T588" s="2">
        <v>0</v>
      </c>
    </row>
    <row r="589" spans="1:21">
      <c r="A589" t="s">
        <v>22</v>
      </c>
      <c r="B589" s="1">
        <f>HYPERLINK("https://cordis.europa.eu/project/id/892293", "892293")</f>
        <v>0</v>
      </c>
      <c r="C589" t="s">
        <v>487</v>
      </c>
      <c r="D589" t="s">
        <v>1302</v>
      </c>
      <c r="E589" t="s">
        <v>1698</v>
      </c>
      <c r="F589" t="s">
        <v>2208</v>
      </c>
      <c r="G589" t="s">
        <v>2491</v>
      </c>
      <c r="H589" t="s">
        <v>2548</v>
      </c>
      <c r="I589" t="s">
        <v>2556</v>
      </c>
      <c r="J589" s="1">
        <f>HYPERLINK("https://ec.europa.eu/info/funding-tenders/opportunities/portal/screen/how-to-participate/org-details/996231614", "996231614")</f>
        <v>0</v>
      </c>
      <c r="K589" t="s">
        <v>2652</v>
      </c>
      <c r="L589" t="s">
        <v>2652</v>
      </c>
      <c r="M589" t="s">
        <v>2965</v>
      </c>
      <c r="N589" t="b">
        <v>0</v>
      </c>
      <c r="O589" t="s">
        <v>2997</v>
      </c>
      <c r="P589" t="s">
        <v>3162</v>
      </c>
      <c r="Q589">
        <v>2</v>
      </c>
      <c r="R589" t="s">
        <v>3345</v>
      </c>
      <c r="T589" s="2">
        <v>0</v>
      </c>
      <c r="U589" s="2">
        <v>0</v>
      </c>
    </row>
    <row r="590" spans="1:21">
      <c r="A590" t="s">
        <v>22</v>
      </c>
      <c r="B590" s="1">
        <f>HYPERLINK("https://cordis.europa.eu/project/id/824310", "824310")</f>
        <v>0</v>
      </c>
      <c r="C590" t="s">
        <v>488</v>
      </c>
      <c r="D590" t="s">
        <v>1303</v>
      </c>
      <c r="E590" t="s">
        <v>1870</v>
      </c>
      <c r="F590" t="s">
        <v>2189</v>
      </c>
      <c r="G590" t="s">
        <v>2417</v>
      </c>
      <c r="H590" t="s">
        <v>2548</v>
      </c>
      <c r="I590" t="s">
        <v>2556</v>
      </c>
      <c r="J590" s="1">
        <f>HYPERLINK("https://ec.europa.eu/info/funding-tenders/opportunities/portal/screen/how-to-participate/org-details/957524443", "957524443")</f>
        <v>0</v>
      </c>
      <c r="K590" t="s">
        <v>2702</v>
      </c>
      <c r="L590" t="s">
        <v>2916</v>
      </c>
      <c r="M590" t="s">
        <v>2965</v>
      </c>
      <c r="N590" t="b">
        <v>0</v>
      </c>
      <c r="O590" t="s">
        <v>2993</v>
      </c>
      <c r="P590" t="s">
        <v>3247</v>
      </c>
      <c r="Q590">
        <v>31</v>
      </c>
      <c r="R590" t="s">
        <v>3342</v>
      </c>
      <c r="S590" s="2">
        <v>0</v>
      </c>
      <c r="T590" s="2">
        <v>0</v>
      </c>
      <c r="U590" s="2">
        <v>314117</v>
      </c>
    </row>
    <row r="591" spans="1:21">
      <c r="A591" t="s">
        <v>22</v>
      </c>
      <c r="B591" s="1">
        <f>HYPERLINK("https://cordis.europa.eu/project/id/824310", "824310")</f>
        <v>0</v>
      </c>
      <c r="C591" t="s">
        <v>488</v>
      </c>
      <c r="D591" t="s">
        <v>1303</v>
      </c>
      <c r="E591" t="s">
        <v>1870</v>
      </c>
      <c r="F591" t="s">
        <v>2189</v>
      </c>
      <c r="G591" t="s">
        <v>2417</v>
      </c>
      <c r="H591" t="s">
        <v>2548</v>
      </c>
      <c r="I591" t="s">
        <v>2556</v>
      </c>
      <c r="J591" s="1">
        <f>HYPERLINK("https://ec.europa.eu/info/funding-tenders/opportunities/portal/screen/how-to-participate/org-details/956388476", "956388476")</f>
        <v>0</v>
      </c>
      <c r="K591" t="s">
        <v>2706</v>
      </c>
      <c r="M591" t="s">
        <v>2967</v>
      </c>
      <c r="N591" t="b">
        <v>0</v>
      </c>
      <c r="O591" t="s">
        <v>2993</v>
      </c>
      <c r="P591" t="s">
        <v>3247</v>
      </c>
      <c r="Q591">
        <v>32</v>
      </c>
      <c r="R591" t="s">
        <v>3342</v>
      </c>
      <c r="S591" s="2">
        <v>0</v>
      </c>
      <c r="T591" s="2">
        <v>0</v>
      </c>
      <c r="U591" s="2">
        <v>64000</v>
      </c>
    </row>
    <row r="592" spans="1:21">
      <c r="A592" t="s">
        <v>22</v>
      </c>
      <c r="B592" s="1">
        <f>HYPERLINK("https://cordis.europa.eu/project/id/824310", "824310")</f>
        <v>0</v>
      </c>
      <c r="C592" t="s">
        <v>488</v>
      </c>
      <c r="D592" t="s">
        <v>1303</v>
      </c>
      <c r="E592" t="s">
        <v>1870</v>
      </c>
      <c r="F592" t="s">
        <v>2189</v>
      </c>
      <c r="G592" t="s">
        <v>2417</v>
      </c>
      <c r="H592" t="s">
        <v>2548</v>
      </c>
      <c r="I592" t="s">
        <v>2556</v>
      </c>
      <c r="J592" s="1">
        <f>HYPERLINK("https://ec.europa.eu/info/funding-tenders/opportunities/portal/screen/how-to-participate/org-details/999561042", "999561042")</f>
        <v>0</v>
      </c>
      <c r="K592" t="s">
        <v>2566</v>
      </c>
      <c r="L592" t="s">
        <v>2810</v>
      </c>
      <c r="M592" t="s">
        <v>2966</v>
      </c>
      <c r="N592" t="b">
        <v>0</v>
      </c>
      <c r="O592" t="s">
        <v>2993</v>
      </c>
      <c r="P592" t="s">
        <v>3247</v>
      </c>
      <c r="Q592">
        <v>34</v>
      </c>
      <c r="R592" t="s">
        <v>3342</v>
      </c>
      <c r="S592" s="2">
        <v>0</v>
      </c>
      <c r="T592" s="2">
        <v>0</v>
      </c>
    </row>
    <row r="593" spans="1:21">
      <c r="A593" t="s">
        <v>22</v>
      </c>
      <c r="B593" s="1">
        <f>HYPERLINK("https://cordis.europa.eu/project/id/824253", "824253")</f>
        <v>0</v>
      </c>
      <c r="C593" t="s">
        <v>489</v>
      </c>
      <c r="D593" t="s">
        <v>1304</v>
      </c>
      <c r="E593" t="s">
        <v>1870</v>
      </c>
      <c r="F593" t="s">
        <v>2189</v>
      </c>
      <c r="G593" t="s">
        <v>2417</v>
      </c>
      <c r="H593" t="s">
        <v>2548</v>
      </c>
      <c r="I593" t="s">
        <v>2556</v>
      </c>
      <c r="J593" s="1">
        <f>HYPERLINK("https://ec.europa.eu/info/funding-tenders/opportunities/portal/screen/how-to-participate/org-details/999561042", "999561042")</f>
        <v>0</v>
      </c>
      <c r="K593" t="s">
        <v>2566</v>
      </c>
      <c r="L593" t="s">
        <v>2810</v>
      </c>
      <c r="M593" t="s">
        <v>2966</v>
      </c>
      <c r="N593" t="b">
        <v>0</v>
      </c>
      <c r="O593" t="s">
        <v>2993</v>
      </c>
      <c r="P593" t="s">
        <v>3247</v>
      </c>
      <c r="Q593">
        <v>18</v>
      </c>
      <c r="R593" t="s">
        <v>3342</v>
      </c>
      <c r="S593" s="2">
        <v>0</v>
      </c>
      <c r="T593" s="2">
        <v>0</v>
      </c>
      <c r="U593" s="2">
        <v>40000</v>
      </c>
    </row>
    <row r="594" spans="1:21">
      <c r="A594" t="s">
        <v>22</v>
      </c>
      <c r="B594" s="1">
        <f>HYPERLINK("https://cordis.europa.eu/project/id/734303", "734303")</f>
        <v>0</v>
      </c>
      <c r="C594" t="s">
        <v>490</v>
      </c>
      <c r="D594" t="s">
        <v>1305</v>
      </c>
      <c r="E594" t="s">
        <v>1871</v>
      </c>
      <c r="F594" t="s">
        <v>2246</v>
      </c>
      <c r="G594" t="s">
        <v>2411</v>
      </c>
      <c r="H594" t="s">
        <v>2548</v>
      </c>
      <c r="I594" t="s">
        <v>2556</v>
      </c>
      <c r="J594" s="1">
        <f>HYPERLINK("https://ec.europa.eu/info/funding-tenders/opportunities/portal/screen/how-to-participate/org-details/998826946", "998826946")</f>
        <v>0</v>
      </c>
      <c r="K594" t="s">
        <v>2617</v>
      </c>
      <c r="L594" t="s">
        <v>2848</v>
      </c>
      <c r="M594" t="s">
        <v>2965</v>
      </c>
      <c r="N594" t="b">
        <v>0</v>
      </c>
      <c r="O594" t="s">
        <v>3003</v>
      </c>
      <c r="P594" t="s">
        <v>3177</v>
      </c>
      <c r="Q594">
        <v>40</v>
      </c>
      <c r="R594" t="s">
        <v>3345</v>
      </c>
      <c r="T594" s="2">
        <v>0</v>
      </c>
      <c r="U594" s="2">
        <v>0</v>
      </c>
    </row>
    <row r="595" spans="1:21">
      <c r="A595" t="s">
        <v>22</v>
      </c>
      <c r="B595" s="1">
        <f>HYPERLINK("https://cordis.europa.eu/project/id/645471", "645471")</f>
        <v>0</v>
      </c>
      <c r="C595" t="s">
        <v>491</v>
      </c>
      <c r="D595" t="s">
        <v>491</v>
      </c>
      <c r="E595" t="s">
        <v>1761</v>
      </c>
      <c r="F595" t="s">
        <v>2242</v>
      </c>
      <c r="G595" t="s">
        <v>2322</v>
      </c>
      <c r="H595" t="s">
        <v>2548</v>
      </c>
      <c r="I595" t="s">
        <v>2556</v>
      </c>
      <c r="J595" s="1">
        <f>HYPERLINK("https://ec.europa.eu/info/funding-tenders/opportunities/portal/screen/how-to-participate/org-details/999879978", "999879978")</f>
        <v>0</v>
      </c>
      <c r="K595" t="s">
        <v>2615</v>
      </c>
      <c r="M595" t="s">
        <v>2965</v>
      </c>
      <c r="N595" t="b">
        <v>0</v>
      </c>
      <c r="O595" t="s">
        <v>3003</v>
      </c>
      <c r="P595" t="s">
        <v>3175</v>
      </c>
      <c r="Q595">
        <v>24</v>
      </c>
      <c r="R595" t="s">
        <v>3345</v>
      </c>
      <c r="T595" s="2">
        <v>0</v>
      </c>
      <c r="U595" s="2">
        <v>13500</v>
      </c>
    </row>
    <row r="596" spans="1:21">
      <c r="A596" t="s">
        <v>22</v>
      </c>
      <c r="B596" s="1">
        <f>HYPERLINK("https://cordis.europa.eu/project/id/101003826", "101003826")</f>
        <v>0</v>
      </c>
      <c r="C596" t="s">
        <v>492</v>
      </c>
      <c r="D596" t="s">
        <v>1306</v>
      </c>
      <c r="E596" t="s">
        <v>1872</v>
      </c>
      <c r="F596" t="s">
        <v>2216</v>
      </c>
      <c r="G596" t="s">
        <v>2424</v>
      </c>
      <c r="H596" t="s">
        <v>2548</v>
      </c>
      <c r="I596" t="s">
        <v>2556</v>
      </c>
      <c r="J596" s="1">
        <f>HYPERLINK("https://ec.europa.eu/info/funding-tenders/opportunities/portal/screen/how-to-participate/org-details/998757203", "998757203")</f>
        <v>0</v>
      </c>
      <c r="K596" t="s">
        <v>2575</v>
      </c>
      <c r="L596" t="s">
        <v>2817</v>
      </c>
      <c r="M596" t="s">
        <v>2965</v>
      </c>
      <c r="N596" t="b">
        <v>0</v>
      </c>
      <c r="O596" t="s">
        <v>2993</v>
      </c>
      <c r="P596" t="s">
        <v>3241</v>
      </c>
      <c r="Q596">
        <v>19</v>
      </c>
      <c r="R596" t="s">
        <v>3342</v>
      </c>
      <c r="S596" s="2">
        <v>0</v>
      </c>
      <c r="T596" s="2">
        <v>0</v>
      </c>
      <c r="U596" s="2">
        <v>174500</v>
      </c>
    </row>
    <row r="597" spans="1:21">
      <c r="A597" t="s">
        <v>22</v>
      </c>
      <c r="B597" s="1">
        <f>HYPERLINK("https://cordis.europa.eu/project/id/101003826", "101003826")</f>
        <v>0</v>
      </c>
      <c r="C597" t="s">
        <v>492</v>
      </c>
      <c r="D597" t="s">
        <v>1306</v>
      </c>
      <c r="E597" t="s">
        <v>1872</v>
      </c>
      <c r="F597" t="s">
        <v>2216</v>
      </c>
      <c r="G597" t="s">
        <v>2424</v>
      </c>
      <c r="H597" t="s">
        <v>2548</v>
      </c>
      <c r="I597" t="s">
        <v>2556</v>
      </c>
      <c r="J597" s="1">
        <f>HYPERLINK("https://ec.europa.eu/info/funding-tenders/opportunities/portal/screen/how-to-participate/org-details/986196188", "986196188")</f>
        <v>0</v>
      </c>
      <c r="K597" t="s">
        <v>2709</v>
      </c>
      <c r="L597" t="s">
        <v>2920</v>
      </c>
      <c r="M597" t="s">
        <v>2965</v>
      </c>
      <c r="N597" t="b">
        <v>0</v>
      </c>
      <c r="O597" t="s">
        <v>2993</v>
      </c>
      <c r="P597" t="s">
        <v>3241</v>
      </c>
      <c r="Q597">
        <v>18</v>
      </c>
      <c r="R597" t="s">
        <v>3342</v>
      </c>
      <c r="S597" s="2">
        <v>0</v>
      </c>
      <c r="T597" s="2">
        <v>0</v>
      </c>
      <c r="U597" s="2">
        <v>148000</v>
      </c>
    </row>
    <row r="598" spans="1:21">
      <c r="A598" t="s">
        <v>22</v>
      </c>
      <c r="B598" s="1">
        <f>HYPERLINK("https://cordis.europa.eu/project/id/731143", "731143")</f>
        <v>0</v>
      </c>
      <c r="C598" t="s">
        <v>493</v>
      </c>
      <c r="D598" t="s">
        <v>1307</v>
      </c>
      <c r="E598" t="s">
        <v>1714</v>
      </c>
      <c r="F598" t="s">
        <v>2225</v>
      </c>
      <c r="G598" t="s">
        <v>2395</v>
      </c>
      <c r="H598" t="s">
        <v>2549</v>
      </c>
      <c r="I598" t="s">
        <v>2557</v>
      </c>
      <c r="J598" s="1">
        <f>HYPERLINK("https://ec.europa.eu/info/funding-tenders/opportunities/portal/screen/how-to-participate/org-details/999873673", "999873673")</f>
        <v>0</v>
      </c>
      <c r="K598" t="s">
        <v>2578</v>
      </c>
      <c r="M598" t="s">
        <v>2965</v>
      </c>
      <c r="N598" t="b">
        <v>0</v>
      </c>
      <c r="O598" t="s">
        <v>3003</v>
      </c>
      <c r="P598" t="s">
        <v>3177</v>
      </c>
      <c r="Q598">
        <v>19</v>
      </c>
      <c r="R598" t="s">
        <v>3345</v>
      </c>
      <c r="T598" s="2">
        <v>0</v>
      </c>
      <c r="U598" s="2">
        <v>130500</v>
      </c>
    </row>
    <row r="599" spans="1:21">
      <c r="A599" t="s">
        <v>22</v>
      </c>
      <c r="B599" s="1">
        <f>HYPERLINK("https://cordis.europa.eu/project/id/101024588", "101024588")</f>
        <v>0</v>
      </c>
      <c r="C599" t="s">
        <v>494</v>
      </c>
      <c r="D599" t="s">
        <v>1308</v>
      </c>
      <c r="E599" t="s">
        <v>1873</v>
      </c>
      <c r="F599" t="s">
        <v>2217</v>
      </c>
      <c r="G599" t="s">
        <v>2429</v>
      </c>
      <c r="H599" t="s">
        <v>2548</v>
      </c>
      <c r="I599" t="s">
        <v>2556</v>
      </c>
      <c r="J599" s="1">
        <f>HYPERLINK("https://ec.europa.eu/info/funding-tenders/opportunities/portal/screen/how-to-participate/org-details/998826946", "998826946")</f>
        <v>0</v>
      </c>
      <c r="K599" t="s">
        <v>2617</v>
      </c>
      <c r="L599" t="s">
        <v>2848</v>
      </c>
      <c r="M599" t="s">
        <v>2965</v>
      </c>
      <c r="N599" t="b">
        <v>0</v>
      </c>
      <c r="O599" t="s">
        <v>2997</v>
      </c>
      <c r="P599" t="s">
        <v>3166</v>
      </c>
      <c r="Q599">
        <v>2</v>
      </c>
      <c r="R599" t="s">
        <v>3345</v>
      </c>
      <c r="T599" s="2">
        <v>0</v>
      </c>
    </row>
    <row r="600" spans="1:21">
      <c r="A600" t="s">
        <v>22</v>
      </c>
      <c r="B600" s="1">
        <f>HYPERLINK("https://cordis.europa.eu/project/id/821115", "821115")</f>
        <v>0</v>
      </c>
      <c r="C600" t="s">
        <v>495</v>
      </c>
      <c r="D600" t="s">
        <v>1309</v>
      </c>
      <c r="E600" t="s">
        <v>1847</v>
      </c>
      <c r="F600" t="s">
        <v>2227</v>
      </c>
      <c r="G600" t="s">
        <v>2397</v>
      </c>
      <c r="H600" t="s">
        <v>2549</v>
      </c>
      <c r="I600" t="s">
        <v>2557</v>
      </c>
      <c r="J600" s="1">
        <f>HYPERLINK("https://ec.europa.eu/info/funding-tenders/opportunities/portal/screen/how-to-participate/org-details/984448442", "984448442")</f>
        <v>0</v>
      </c>
      <c r="K600" t="s">
        <v>2757</v>
      </c>
      <c r="L600" t="s">
        <v>2940</v>
      </c>
      <c r="M600" t="s">
        <v>2966</v>
      </c>
      <c r="N600" t="b">
        <v>0</v>
      </c>
      <c r="O600" t="s">
        <v>2993</v>
      </c>
      <c r="P600" t="s">
        <v>3248</v>
      </c>
      <c r="Q600">
        <v>1</v>
      </c>
      <c r="R600" t="s">
        <v>3344</v>
      </c>
      <c r="S600" s="2">
        <v>0</v>
      </c>
      <c r="T600" s="2">
        <v>0</v>
      </c>
      <c r="U600" s="2">
        <v>70000</v>
      </c>
    </row>
    <row r="601" spans="1:21">
      <c r="A601" t="s">
        <v>22</v>
      </c>
      <c r="B601" s="1">
        <f>HYPERLINK("https://cordis.europa.eu/project/id/633476", "633476")</f>
        <v>0</v>
      </c>
      <c r="C601" t="s">
        <v>496</v>
      </c>
      <c r="D601" t="s">
        <v>1310</v>
      </c>
      <c r="E601" t="s">
        <v>1874</v>
      </c>
      <c r="F601" t="s">
        <v>2179</v>
      </c>
      <c r="G601" t="s">
        <v>2354</v>
      </c>
      <c r="H601" t="s">
        <v>2548</v>
      </c>
      <c r="I601" t="s">
        <v>2556</v>
      </c>
      <c r="J601" s="1">
        <f>HYPERLINK("https://ec.europa.eu/info/funding-tenders/opportunities/portal/screen/how-to-participate/org-details/998539535", "998539535")</f>
        <v>0</v>
      </c>
      <c r="K601" t="s">
        <v>2662</v>
      </c>
      <c r="L601" t="s">
        <v>2662</v>
      </c>
      <c r="M601" t="s">
        <v>2965</v>
      </c>
      <c r="N601" t="b">
        <v>0</v>
      </c>
      <c r="O601" t="s">
        <v>2993</v>
      </c>
      <c r="P601" t="s">
        <v>3249</v>
      </c>
      <c r="Q601">
        <v>18</v>
      </c>
      <c r="R601" t="s">
        <v>3342</v>
      </c>
      <c r="S601" s="2">
        <v>0</v>
      </c>
      <c r="T601" s="2">
        <v>0</v>
      </c>
      <c r="U601" s="2">
        <v>157500</v>
      </c>
    </row>
    <row r="602" spans="1:21">
      <c r="A602" t="s">
        <v>22</v>
      </c>
      <c r="B602" s="1">
        <f>HYPERLINK("https://cordis.europa.eu/project/id/689271", "689271")</f>
        <v>0</v>
      </c>
      <c r="C602" t="s">
        <v>497</v>
      </c>
      <c r="D602" t="s">
        <v>1311</v>
      </c>
      <c r="E602" t="s">
        <v>1875</v>
      </c>
      <c r="F602" t="s">
        <v>2188</v>
      </c>
      <c r="G602" t="s">
        <v>2446</v>
      </c>
      <c r="H602" t="s">
        <v>2548</v>
      </c>
      <c r="I602" t="s">
        <v>2556</v>
      </c>
      <c r="J602" s="1">
        <f>HYPERLINK("https://ec.europa.eu/info/funding-tenders/opportunities/portal/screen/how-to-participate/org-details/966514403", "966514403")</f>
        <v>0</v>
      </c>
      <c r="K602" t="s">
        <v>2635</v>
      </c>
      <c r="L602" t="s">
        <v>2865</v>
      </c>
      <c r="M602" t="s">
        <v>2969</v>
      </c>
      <c r="N602" t="b">
        <v>0</v>
      </c>
      <c r="O602" t="s">
        <v>2992</v>
      </c>
      <c r="P602" t="s">
        <v>3250</v>
      </c>
      <c r="Q602">
        <v>31</v>
      </c>
      <c r="R602" t="s">
        <v>3342</v>
      </c>
      <c r="S602" s="2">
        <v>23925</v>
      </c>
      <c r="T602" s="2">
        <v>23925</v>
      </c>
      <c r="U602" s="2">
        <v>1423500</v>
      </c>
    </row>
    <row r="603" spans="1:21">
      <c r="A603" t="s">
        <v>22</v>
      </c>
      <c r="B603" s="1">
        <f>HYPERLINK("https://cordis.europa.eu/project/id/862862", "862862")</f>
        <v>0</v>
      </c>
      <c r="C603" t="s">
        <v>498</v>
      </c>
      <c r="D603" t="s">
        <v>1312</v>
      </c>
      <c r="E603" t="s">
        <v>1876</v>
      </c>
      <c r="F603" t="s">
        <v>2265</v>
      </c>
      <c r="G603" t="s">
        <v>2488</v>
      </c>
      <c r="H603" t="s">
        <v>2548</v>
      </c>
      <c r="I603" t="s">
        <v>2556</v>
      </c>
      <c r="J603" s="1">
        <f>HYPERLINK("https://ec.europa.eu/info/funding-tenders/opportunities/portal/screen/how-to-participate/org-details/999818577", "999818577")</f>
        <v>0</v>
      </c>
      <c r="K603" t="s">
        <v>2614</v>
      </c>
      <c r="L603" t="s">
        <v>2846</v>
      </c>
      <c r="M603" t="s">
        <v>2965</v>
      </c>
      <c r="N603" t="b">
        <v>0</v>
      </c>
      <c r="O603" t="s">
        <v>2993</v>
      </c>
      <c r="P603" t="s">
        <v>3251</v>
      </c>
      <c r="Q603">
        <v>1</v>
      </c>
      <c r="R603" t="s">
        <v>3344</v>
      </c>
      <c r="S603" s="2">
        <v>0</v>
      </c>
      <c r="T603" s="2">
        <v>0</v>
      </c>
    </row>
    <row r="604" spans="1:21">
      <c r="A604" t="s">
        <v>22</v>
      </c>
      <c r="B604" s="1">
        <f>HYPERLINK("https://cordis.europa.eu/project/id/895209", "895209")</f>
        <v>0</v>
      </c>
      <c r="C604" t="s">
        <v>499</v>
      </c>
      <c r="D604" t="s">
        <v>1313</v>
      </c>
      <c r="E604" t="s">
        <v>1877</v>
      </c>
      <c r="F604" t="s">
        <v>2266</v>
      </c>
      <c r="G604" t="s">
        <v>2492</v>
      </c>
      <c r="H604" t="s">
        <v>2548</v>
      </c>
      <c r="I604" t="s">
        <v>2556</v>
      </c>
      <c r="J604" s="1">
        <f>HYPERLINK("https://ec.europa.eu/info/funding-tenders/opportunities/portal/screen/how-to-participate/org-details/998804927", "998804927")</f>
        <v>0</v>
      </c>
      <c r="K604" t="s">
        <v>2613</v>
      </c>
      <c r="M604" t="s">
        <v>2965</v>
      </c>
      <c r="N604" t="b">
        <v>0</v>
      </c>
      <c r="O604" t="s">
        <v>2997</v>
      </c>
      <c r="P604" t="s">
        <v>3162</v>
      </c>
      <c r="Q604">
        <v>2</v>
      </c>
      <c r="R604" t="s">
        <v>3345</v>
      </c>
      <c r="T604" s="2">
        <v>0</v>
      </c>
    </row>
    <row r="605" spans="1:21">
      <c r="A605" t="s">
        <v>22</v>
      </c>
      <c r="B605" s="1">
        <f>HYPERLINK("https://cordis.europa.eu/project/id/747120", "747120")</f>
        <v>0</v>
      </c>
      <c r="C605" t="s">
        <v>500</v>
      </c>
      <c r="D605" t="s">
        <v>1314</v>
      </c>
      <c r="E605" t="s">
        <v>1675</v>
      </c>
      <c r="F605" t="s">
        <v>2190</v>
      </c>
      <c r="G605" t="s">
        <v>1916</v>
      </c>
      <c r="H605" t="s">
        <v>2549</v>
      </c>
      <c r="I605" t="s">
        <v>2557</v>
      </c>
      <c r="J605" s="1">
        <f>HYPERLINK("https://ec.europa.eu/info/funding-tenders/opportunities/portal/screen/how-to-participate/org-details/999613131", "999613131")</f>
        <v>0</v>
      </c>
      <c r="K605" t="s">
        <v>2591</v>
      </c>
      <c r="L605" t="s">
        <v>2831</v>
      </c>
      <c r="M605" t="s">
        <v>2965</v>
      </c>
      <c r="N605" t="b">
        <v>0</v>
      </c>
      <c r="O605" t="s">
        <v>2997</v>
      </c>
      <c r="P605" t="s">
        <v>3159</v>
      </c>
      <c r="Q605">
        <v>2</v>
      </c>
      <c r="R605" t="s">
        <v>3345</v>
      </c>
      <c r="T605" s="2">
        <v>0</v>
      </c>
    </row>
    <row r="606" spans="1:21">
      <c r="A606" t="s">
        <v>22</v>
      </c>
      <c r="B606" s="1">
        <f>HYPERLINK("https://cordis.europa.eu/project/id/872195", "872195")</f>
        <v>0</v>
      </c>
      <c r="C606" t="s">
        <v>501</v>
      </c>
      <c r="D606" t="s">
        <v>1315</v>
      </c>
      <c r="E606" t="s">
        <v>1878</v>
      </c>
      <c r="F606" t="s">
        <v>2180</v>
      </c>
      <c r="G606" t="s">
        <v>2403</v>
      </c>
      <c r="H606" t="s">
        <v>2548</v>
      </c>
      <c r="I606" t="s">
        <v>2556</v>
      </c>
      <c r="J606" s="1">
        <f>HYPERLINK("https://ec.europa.eu/info/funding-tenders/opportunities/portal/screen/how-to-participate/org-details/999894043", "999894043")</f>
        <v>0</v>
      </c>
      <c r="K606" t="s">
        <v>2568</v>
      </c>
      <c r="L606" t="s">
        <v>2812</v>
      </c>
      <c r="M606" t="s">
        <v>2965</v>
      </c>
      <c r="N606" t="b">
        <v>0</v>
      </c>
      <c r="O606" t="s">
        <v>3003</v>
      </c>
      <c r="P606" t="s">
        <v>3189</v>
      </c>
      <c r="Q606">
        <v>12</v>
      </c>
      <c r="R606" t="s">
        <v>3345</v>
      </c>
      <c r="T606" s="2">
        <v>0</v>
      </c>
      <c r="U606" s="2">
        <v>0</v>
      </c>
    </row>
    <row r="607" spans="1:21">
      <c r="A607" t="s">
        <v>22</v>
      </c>
      <c r="B607" s="1">
        <f>HYPERLINK("https://cordis.europa.eu/project/id/862957", "862957")</f>
        <v>0</v>
      </c>
      <c r="C607" t="s">
        <v>502</v>
      </c>
      <c r="D607" t="s">
        <v>1316</v>
      </c>
      <c r="E607" t="s">
        <v>1879</v>
      </c>
      <c r="F607" t="s">
        <v>2180</v>
      </c>
      <c r="G607" t="s">
        <v>2467</v>
      </c>
      <c r="H607" t="s">
        <v>2549</v>
      </c>
      <c r="I607" t="s">
        <v>2557</v>
      </c>
      <c r="J607" s="1">
        <f>HYPERLINK("https://ec.europa.eu/info/funding-tenders/opportunities/portal/screen/how-to-participate/org-details/996306013", "996306013")</f>
        <v>0</v>
      </c>
      <c r="K607" t="s">
        <v>2645</v>
      </c>
      <c r="M607" t="s">
        <v>2966</v>
      </c>
      <c r="N607" t="b">
        <v>0</v>
      </c>
      <c r="O607" t="s">
        <v>2994</v>
      </c>
      <c r="P607" t="s">
        <v>3252</v>
      </c>
      <c r="Q607">
        <v>32</v>
      </c>
      <c r="R607" t="s">
        <v>3342</v>
      </c>
      <c r="S607" s="2">
        <v>0</v>
      </c>
      <c r="T607" s="2">
        <v>0</v>
      </c>
      <c r="U607" s="2">
        <v>75950</v>
      </c>
    </row>
    <row r="608" spans="1:21">
      <c r="A608" t="s">
        <v>22</v>
      </c>
      <c r="B608" s="1">
        <f>HYPERLINK("https://cordis.europa.eu/project/id/769929", "769929")</f>
        <v>0</v>
      </c>
      <c r="C608" t="s">
        <v>503</v>
      </c>
      <c r="D608" t="s">
        <v>1317</v>
      </c>
      <c r="E608" t="s">
        <v>1880</v>
      </c>
      <c r="F608" t="s">
        <v>2264</v>
      </c>
      <c r="G608" t="s">
        <v>2402</v>
      </c>
      <c r="H608" t="s">
        <v>2548</v>
      </c>
      <c r="I608" t="s">
        <v>2556</v>
      </c>
      <c r="J608" s="1">
        <f>HYPERLINK("https://ec.europa.eu/info/funding-tenders/opportunities/portal/screen/how-to-participate/org-details/999786082", "999786082")</f>
        <v>0</v>
      </c>
      <c r="K608" t="s">
        <v>2607</v>
      </c>
      <c r="M608" t="s">
        <v>2967</v>
      </c>
      <c r="N608" t="b">
        <v>0</v>
      </c>
      <c r="O608" t="s">
        <v>2993</v>
      </c>
      <c r="P608" t="s">
        <v>3253</v>
      </c>
      <c r="Q608">
        <v>7</v>
      </c>
      <c r="R608" t="s">
        <v>3342</v>
      </c>
      <c r="S608" s="2">
        <v>339593.75</v>
      </c>
      <c r="T608" s="2">
        <v>339593.75</v>
      </c>
    </row>
    <row r="609" spans="1:21">
      <c r="A609" t="s">
        <v>22</v>
      </c>
      <c r="B609" s="1">
        <f>HYPERLINK("https://cordis.europa.eu/project/id/676480", "676480")</f>
        <v>0</v>
      </c>
      <c r="C609" t="s">
        <v>504</v>
      </c>
      <c r="D609" t="s">
        <v>1318</v>
      </c>
      <c r="E609" t="s">
        <v>1881</v>
      </c>
      <c r="F609" t="s">
        <v>2236</v>
      </c>
      <c r="G609" t="s">
        <v>2475</v>
      </c>
      <c r="H609" t="s">
        <v>2549</v>
      </c>
      <c r="I609" t="s">
        <v>2557</v>
      </c>
      <c r="J609" s="1">
        <f>HYPERLINK("https://ec.europa.eu/info/funding-tenders/opportunities/portal/screen/how-to-participate/org-details/992582086", "992582086")</f>
        <v>0</v>
      </c>
      <c r="K609" t="s">
        <v>2678</v>
      </c>
      <c r="L609" t="s">
        <v>2900</v>
      </c>
      <c r="M609" t="s">
        <v>2965</v>
      </c>
      <c r="N609" t="b">
        <v>0</v>
      </c>
      <c r="O609" t="s">
        <v>3002</v>
      </c>
      <c r="P609" t="s">
        <v>3195</v>
      </c>
      <c r="Q609">
        <v>15</v>
      </c>
      <c r="R609" t="s">
        <v>3345</v>
      </c>
      <c r="T609" s="2">
        <v>0</v>
      </c>
      <c r="U609" s="2">
        <v>0</v>
      </c>
    </row>
    <row r="610" spans="1:21">
      <c r="A610" t="s">
        <v>22</v>
      </c>
      <c r="B610" s="1">
        <f>HYPERLINK("https://cordis.europa.eu/project/id/101007299", "101007299")</f>
        <v>0</v>
      </c>
      <c r="C610" t="s">
        <v>505</v>
      </c>
      <c r="D610" t="s">
        <v>1319</v>
      </c>
      <c r="E610" t="s">
        <v>1882</v>
      </c>
      <c r="F610" t="s">
        <v>2218</v>
      </c>
      <c r="G610" t="s">
        <v>2487</v>
      </c>
      <c r="H610" t="s">
        <v>2548</v>
      </c>
      <c r="I610" t="s">
        <v>2556</v>
      </c>
      <c r="J610" s="1">
        <f>HYPERLINK("https://ec.europa.eu/info/funding-tenders/opportunities/portal/screen/how-to-participate/org-details/999845252", "999845252")</f>
        <v>0</v>
      </c>
      <c r="K610" t="s">
        <v>2687</v>
      </c>
      <c r="L610" t="s">
        <v>2908</v>
      </c>
      <c r="M610" t="s">
        <v>2965</v>
      </c>
      <c r="N610" t="b">
        <v>0</v>
      </c>
      <c r="O610" t="s">
        <v>3003</v>
      </c>
      <c r="P610" t="s">
        <v>3216</v>
      </c>
      <c r="Q610">
        <v>9</v>
      </c>
      <c r="R610" t="s">
        <v>3345</v>
      </c>
      <c r="T610" s="2">
        <v>0</v>
      </c>
      <c r="U610" s="2">
        <v>18400</v>
      </c>
    </row>
    <row r="611" spans="1:21">
      <c r="A611" t="s">
        <v>22</v>
      </c>
      <c r="B611" s="1">
        <f>HYPERLINK("https://cordis.europa.eu/project/id/796345", "796345")</f>
        <v>0</v>
      </c>
      <c r="C611" t="s">
        <v>506</v>
      </c>
      <c r="D611" t="s">
        <v>1320</v>
      </c>
      <c r="E611" t="s">
        <v>1883</v>
      </c>
      <c r="F611" t="s">
        <v>2253</v>
      </c>
      <c r="G611" t="s">
        <v>2474</v>
      </c>
      <c r="H611" t="s">
        <v>2548</v>
      </c>
      <c r="I611" t="s">
        <v>2556</v>
      </c>
      <c r="J611" s="1">
        <f>HYPERLINK("https://ec.europa.eu/info/funding-tenders/opportunities/portal/screen/how-to-participate/org-details/999845252", "999845252")</f>
        <v>0</v>
      </c>
      <c r="K611" t="s">
        <v>2687</v>
      </c>
      <c r="L611" t="s">
        <v>2908</v>
      </c>
      <c r="M611" t="s">
        <v>2965</v>
      </c>
      <c r="N611" t="b">
        <v>0</v>
      </c>
      <c r="O611" t="s">
        <v>2998</v>
      </c>
      <c r="P611" t="s">
        <v>3160</v>
      </c>
      <c r="Q611">
        <v>2</v>
      </c>
      <c r="R611" t="s">
        <v>3345</v>
      </c>
      <c r="T611" s="2">
        <v>0</v>
      </c>
    </row>
    <row r="612" spans="1:21">
      <c r="A612" t="s">
        <v>22</v>
      </c>
      <c r="B612" s="1">
        <f>HYPERLINK("https://cordis.europa.eu/project/id/815439", "815439")</f>
        <v>0</v>
      </c>
      <c r="C612" t="s">
        <v>507</v>
      </c>
      <c r="D612" t="s">
        <v>1321</v>
      </c>
      <c r="E612" t="s">
        <v>1884</v>
      </c>
      <c r="F612" t="s">
        <v>2205</v>
      </c>
      <c r="G612" t="s">
        <v>2443</v>
      </c>
      <c r="H612" t="s">
        <v>2549</v>
      </c>
      <c r="I612" t="s">
        <v>2557</v>
      </c>
      <c r="J612" s="1">
        <f>HYPERLINK("https://ec.europa.eu/info/funding-tenders/opportunities/portal/screen/how-to-participate/org-details/998331567", "998331567")</f>
        <v>0</v>
      </c>
      <c r="K612" t="s">
        <v>2573</v>
      </c>
      <c r="M612" t="s">
        <v>2965</v>
      </c>
      <c r="N612" t="b">
        <v>0</v>
      </c>
      <c r="O612" t="s">
        <v>2993</v>
      </c>
      <c r="P612" t="s">
        <v>3254</v>
      </c>
      <c r="Q612">
        <v>9</v>
      </c>
      <c r="R612" t="s">
        <v>3342</v>
      </c>
      <c r="S612" s="2">
        <v>50000</v>
      </c>
      <c r="T612" s="2">
        <v>50000</v>
      </c>
      <c r="U612" s="2">
        <v>0</v>
      </c>
    </row>
    <row r="613" spans="1:21">
      <c r="A613" t="s">
        <v>22</v>
      </c>
      <c r="B613" s="1">
        <f>HYPERLINK("https://cordis.europa.eu/project/id/101000213", "101000213")</f>
        <v>0</v>
      </c>
      <c r="C613" t="s">
        <v>508</v>
      </c>
      <c r="D613" t="s">
        <v>1322</v>
      </c>
      <c r="E613" t="s">
        <v>1885</v>
      </c>
      <c r="F613" t="s">
        <v>2187</v>
      </c>
      <c r="G613" t="s">
        <v>2398</v>
      </c>
      <c r="H613" t="s">
        <v>2549</v>
      </c>
      <c r="I613" t="s">
        <v>2557</v>
      </c>
      <c r="J613" s="1">
        <f>HYPERLINK("https://ec.europa.eu/info/funding-tenders/opportunities/portal/screen/how-to-participate/org-details/996306013", "996306013")</f>
        <v>0</v>
      </c>
      <c r="K613" t="s">
        <v>2645</v>
      </c>
      <c r="M613" t="s">
        <v>2966</v>
      </c>
      <c r="N613" t="b">
        <v>0</v>
      </c>
      <c r="O613" t="s">
        <v>2993</v>
      </c>
      <c r="P613" t="s">
        <v>3229</v>
      </c>
      <c r="Q613">
        <v>3</v>
      </c>
      <c r="R613" t="s">
        <v>3342</v>
      </c>
      <c r="S613" s="2">
        <v>0</v>
      </c>
      <c r="T613" s="2">
        <v>0</v>
      </c>
      <c r="U613" s="2">
        <v>501055</v>
      </c>
    </row>
    <row r="614" spans="1:21">
      <c r="A614" t="s">
        <v>22</v>
      </c>
      <c r="B614" s="1">
        <f>HYPERLINK("https://cordis.europa.eu/project/id/101000213", "101000213")</f>
        <v>0</v>
      </c>
      <c r="C614" t="s">
        <v>508</v>
      </c>
      <c r="D614" t="s">
        <v>1322</v>
      </c>
      <c r="E614" t="s">
        <v>1885</v>
      </c>
      <c r="F614" t="s">
        <v>2187</v>
      </c>
      <c r="G614" t="s">
        <v>2398</v>
      </c>
      <c r="H614" t="s">
        <v>2548</v>
      </c>
      <c r="I614" t="s">
        <v>2556</v>
      </c>
      <c r="J614" s="1">
        <f>HYPERLINK("https://ec.europa.eu/info/funding-tenders/opportunities/portal/screen/how-to-participate/org-details/999894043", "999894043")</f>
        <v>0</v>
      </c>
      <c r="K614" t="s">
        <v>2568</v>
      </c>
      <c r="L614" t="s">
        <v>2812</v>
      </c>
      <c r="M614" t="s">
        <v>2965</v>
      </c>
      <c r="N614" t="b">
        <v>0</v>
      </c>
      <c r="O614" t="s">
        <v>2993</v>
      </c>
      <c r="P614" t="s">
        <v>3229</v>
      </c>
      <c r="Q614">
        <v>21</v>
      </c>
      <c r="R614" t="s">
        <v>3342</v>
      </c>
      <c r="S614" s="2">
        <v>0</v>
      </c>
      <c r="T614" s="2">
        <v>0</v>
      </c>
      <c r="U614" s="2">
        <v>213600</v>
      </c>
    </row>
    <row r="615" spans="1:21">
      <c r="A615" t="s">
        <v>22</v>
      </c>
      <c r="B615" s="1">
        <f>HYPERLINK("https://cordis.europa.eu/project/id/746189", "746189")</f>
        <v>0</v>
      </c>
      <c r="C615" t="s">
        <v>509</v>
      </c>
      <c r="D615" t="s">
        <v>1323</v>
      </c>
      <c r="E615" t="s">
        <v>1886</v>
      </c>
      <c r="F615" t="s">
        <v>2267</v>
      </c>
      <c r="G615" t="s">
        <v>2493</v>
      </c>
      <c r="H615" t="s">
        <v>2548</v>
      </c>
      <c r="I615" t="s">
        <v>2556</v>
      </c>
      <c r="J615" s="1">
        <f>HYPERLINK("https://ec.europa.eu/info/funding-tenders/opportunities/portal/screen/how-to-participate/org-details/999902773", "999902773")</f>
        <v>0</v>
      </c>
      <c r="K615" t="s">
        <v>2571</v>
      </c>
      <c r="L615" t="s">
        <v>2814</v>
      </c>
      <c r="M615" t="s">
        <v>2965</v>
      </c>
      <c r="N615" t="b">
        <v>0</v>
      </c>
      <c r="O615" t="s">
        <v>2998</v>
      </c>
      <c r="P615" t="s">
        <v>3159</v>
      </c>
      <c r="Q615">
        <v>2</v>
      </c>
      <c r="R615" t="s">
        <v>3345</v>
      </c>
      <c r="T615" s="2">
        <v>0</v>
      </c>
    </row>
    <row r="616" spans="1:21">
      <c r="A616" t="s">
        <v>22</v>
      </c>
      <c r="B616" s="1">
        <f>HYPERLINK("https://cordis.europa.eu/project/id/716515", "716515")</f>
        <v>0</v>
      </c>
      <c r="C616" t="s">
        <v>510</v>
      </c>
      <c r="D616" t="s">
        <v>1324</v>
      </c>
      <c r="E616" t="s">
        <v>1887</v>
      </c>
      <c r="F616" t="s">
        <v>2183</v>
      </c>
      <c r="G616" t="s">
        <v>2408</v>
      </c>
      <c r="H616" t="s">
        <v>2548</v>
      </c>
      <c r="I616" t="s">
        <v>2556</v>
      </c>
      <c r="J616" s="1">
        <f>HYPERLINK("https://ec.europa.eu/info/funding-tenders/opportunities/portal/screen/how-to-participate/org-details/919611896", "919611896")</f>
        <v>0</v>
      </c>
      <c r="K616" t="s">
        <v>2726</v>
      </c>
      <c r="M616" t="s">
        <v>2965</v>
      </c>
      <c r="N616" t="b">
        <v>0</v>
      </c>
      <c r="O616" t="s">
        <v>3006</v>
      </c>
      <c r="P616" t="s">
        <v>3255</v>
      </c>
      <c r="Q616">
        <v>2</v>
      </c>
      <c r="R616" t="s">
        <v>3342</v>
      </c>
      <c r="S616" s="2">
        <v>131250</v>
      </c>
      <c r="T616" s="2">
        <v>131250</v>
      </c>
      <c r="U616" s="2">
        <v>131250</v>
      </c>
    </row>
    <row r="617" spans="1:21">
      <c r="A617" t="s">
        <v>22</v>
      </c>
      <c r="B617" s="1">
        <f>HYPERLINK("https://cordis.europa.eu/project/id/798739", "798739")</f>
        <v>0</v>
      </c>
      <c r="C617" t="s">
        <v>511</v>
      </c>
      <c r="D617" t="s">
        <v>1325</v>
      </c>
      <c r="E617" t="s">
        <v>1674</v>
      </c>
      <c r="F617" t="s">
        <v>2239</v>
      </c>
      <c r="G617" t="s">
        <v>2474</v>
      </c>
      <c r="H617" t="s">
        <v>2548</v>
      </c>
      <c r="I617" t="s">
        <v>2556</v>
      </c>
      <c r="J617" s="1">
        <f>HYPERLINK("https://ec.europa.eu/info/funding-tenders/opportunities/portal/screen/how-to-participate/org-details/988059752", "988059752")</f>
        <v>0</v>
      </c>
      <c r="K617" t="s">
        <v>2564</v>
      </c>
      <c r="L617" t="s">
        <v>2809</v>
      </c>
      <c r="M617" t="s">
        <v>2965</v>
      </c>
      <c r="N617" t="b">
        <v>0</v>
      </c>
      <c r="O617" t="s">
        <v>2998</v>
      </c>
      <c r="P617" t="s">
        <v>3160</v>
      </c>
      <c r="Q617">
        <v>2</v>
      </c>
      <c r="R617" t="s">
        <v>3345</v>
      </c>
      <c r="T617" s="2">
        <v>0</v>
      </c>
      <c r="U617" s="2">
        <v>121352</v>
      </c>
    </row>
    <row r="618" spans="1:21">
      <c r="A618" t="s">
        <v>22</v>
      </c>
      <c r="B618" s="1">
        <f>HYPERLINK("https://cordis.europa.eu/project/id/734708", "734708")</f>
        <v>0</v>
      </c>
      <c r="C618" t="s">
        <v>512</v>
      </c>
      <c r="D618" t="s">
        <v>1326</v>
      </c>
      <c r="E618" t="s">
        <v>1888</v>
      </c>
      <c r="F618" t="s">
        <v>1688</v>
      </c>
      <c r="G618" t="s">
        <v>2472</v>
      </c>
      <c r="H618" t="s">
        <v>2548</v>
      </c>
      <c r="I618" t="s">
        <v>2556</v>
      </c>
      <c r="J618" s="1">
        <f>HYPERLINK("https://ec.europa.eu/info/funding-tenders/opportunities/portal/screen/how-to-participate/org-details/998082180", "998082180")</f>
        <v>0</v>
      </c>
      <c r="K618" t="s">
        <v>2565</v>
      </c>
      <c r="M618" t="s">
        <v>2965</v>
      </c>
      <c r="N618" t="b">
        <v>0</v>
      </c>
      <c r="O618" t="s">
        <v>3003</v>
      </c>
      <c r="P618" t="s">
        <v>3177</v>
      </c>
      <c r="Q618">
        <v>17</v>
      </c>
      <c r="R618" t="s">
        <v>3345</v>
      </c>
      <c r="T618" s="2">
        <v>0</v>
      </c>
      <c r="U618" s="2">
        <v>0</v>
      </c>
    </row>
    <row r="619" spans="1:21">
      <c r="A619" t="s">
        <v>22</v>
      </c>
      <c r="B619" s="1">
        <f>HYPERLINK("https://cordis.europa.eu/project/id/734708", "734708")</f>
        <v>0</v>
      </c>
      <c r="C619" t="s">
        <v>512</v>
      </c>
      <c r="D619" t="s">
        <v>1326</v>
      </c>
      <c r="E619" t="s">
        <v>1888</v>
      </c>
      <c r="F619" t="s">
        <v>1688</v>
      </c>
      <c r="G619" t="s">
        <v>2472</v>
      </c>
      <c r="H619" t="s">
        <v>2548</v>
      </c>
      <c r="I619" t="s">
        <v>2556</v>
      </c>
      <c r="J619" s="1">
        <f>HYPERLINK("https://ec.europa.eu/info/funding-tenders/opportunities/portal/screen/how-to-participate/org-details/969848487", "969848487")</f>
        <v>0</v>
      </c>
      <c r="K619" t="s">
        <v>2574</v>
      </c>
      <c r="L619" t="s">
        <v>2816</v>
      </c>
      <c r="M619" t="s">
        <v>2965</v>
      </c>
      <c r="N619" t="b">
        <v>0</v>
      </c>
      <c r="O619" t="s">
        <v>3003</v>
      </c>
      <c r="P619" t="s">
        <v>3177</v>
      </c>
      <c r="Q619">
        <v>18</v>
      </c>
      <c r="R619" t="s">
        <v>3345</v>
      </c>
      <c r="T619" s="2">
        <v>0</v>
      </c>
      <c r="U619" s="2">
        <v>0</v>
      </c>
    </row>
    <row r="620" spans="1:21">
      <c r="A620" t="s">
        <v>22</v>
      </c>
      <c r="B620" s="1">
        <f>HYPERLINK("https://cordis.europa.eu/project/id/734708", "734708")</f>
        <v>0</v>
      </c>
      <c r="C620" t="s">
        <v>512</v>
      </c>
      <c r="D620" t="s">
        <v>1326</v>
      </c>
      <c r="E620" t="s">
        <v>1888</v>
      </c>
      <c r="F620" t="s">
        <v>1688</v>
      </c>
      <c r="G620" t="s">
        <v>2472</v>
      </c>
      <c r="H620" t="s">
        <v>2548</v>
      </c>
      <c r="I620" t="s">
        <v>2556</v>
      </c>
      <c r="J620" s="1">
        <f>HYPERLINK("https://ec.europa.eu/info/funding-tenders/opportunities/portal/screen/how-to-participate/org-details/985658420", "985658420")</f>
        <v>0</v>
      </c>
      <c r="K620" t="s">
        <v>2758</v>
      </c>
      <c r="M620" t="s">
        <v>2965</v>
      </c>
      <c r="N620" t="b">
        <v>0</v>
      </c>
      <c r="O620" t="s">
        <v>3003</v>
      </c>
      <c r="P620" t="s">
        <v>3177</v>
      </c>
      <c r="Q620">
        <v>19</v>
      </c>
      <c r="R620" t="s">
        <v>3345</v>
      </c>
      <c r="T620" s="2">
        <v>0</v>
      </c>
      <c r="U620" s="2">
        <v>0</v>
      </c>
    </row>
    <row r="621" spans="1:21">
      <c r="A621" t="s">
        <v>22</v>
      </c>
      <c r="B621" s="1">
        <f>HYPERLINK("https://cordis.europa.eu/project/id/676876", "676876")</f>
        <v>0</v>
      </c>
      <c r="C621" t="s">
        <v>513</v>
      </c>
      <c r="D621" t="s">
        <v>1327</v>
      </c>
      <c r="E621" t="s">
        <v>1807</v>
      </c>
      <c r="F621" t="s">
        <v>2249</v>
      </c>
      <c r="G621" t="s">
        <v>2390</v>
      </c>
      <c r="H621" t="s">
        <v>2549</v>
      </c>
      <c r="I621" t="s">
        <v>2557</v>
      </c>
      <c r="J621" s="1">
        <f>HYPERLINK("https://ec.europa.eu/info/funding-tenders/opportunities/portal/screen/how-to-participate/org-details/928277488", "928277488")</f>
        <v>0</v>
      </c>
      <c r="K621" t="s">
        <v>2759</v>
      </c>
      <c r="L621" t="s">
        <v>2941</v>
      </c>
      <c r="M621" t="s">
        <v>2967</v>
      </c>
      <c r="N621" t="b">
        <v>1</v>
      </c>
      <c r="O621" t="s">
        <v>2993</v>
      </c>
      <c r="P621" t="s">
        <v>3256</v>
      </c>
      <c r="Q621">
        <v>21</v>
      </c>
      <c r="R621" t="s">
        <v>3342</v>
      </c>
      <c r="S621" s="2">
        <v>0</v>
      </c>
      <c r="T621" s="2">
        <v>0</v>
      </c>
      <c r="U621" s="2">
        <v>61250</v>
      </c>
    </row>
    <row r="622" spans="1:21">
      <c r="A622" t="s">
        <v>22</v>
      </c>
      <c r="B622" s="1">
        <f>HYPERLINK("https://cordis.europa.eu/project/id/101007950", "101007950")</f>
        <v>0</v>
      </c>
      <c r="C622" t="s">
        <v>514</v>
      </c>
      <c r="D622" t="s">
        <v>1328</v>
      </c>
      <c r="E622" t="s">
        <v>1889</v>
      </c>
      <c r="F622" t="s">
        <v>2213</v>
      </c>
      <c r="G622" t="s">
        <v>2494</v>
      </c>
      <c r="H622" t="s">
        <v>2548</v>
      </c>
      <c r="I622" t="s">
        <v>2556</v>
      </c>
      <c r="J622" s="1">
        <f>HYPERLINK("https://ec.europa.eu/info/funding-tenders/opportunities/portal/screen/how-to-participate/org-details/999845252", "999845252")</f>
        <v>0</v>
      </c>
      <c r="K622" t="s">
        <v>2687</v>
      </c>
      <c r="L622" t="s">
        <v>2908</v>
      </c>
      <c r="M622" t="s">
        <v>2965</v>
      </c>
      <c r="N622" t="b">
        <v>0</v>
      </c>
      <c r="O622" t="s">
        <v>3003</v>
      </c>
      <c r="P622" t="s">
        <v>3216</v>
      </c>
      <c r="Q622">
        <v>19</v>
      </c>
      <c r="R622" t="s">
        <v>3345</v>
      </c>
      <c r="T622" s="2">
        <v>0</v>
      </c>
      <c r="U622" s="2">
        <v>0</v>
      </c>
    </row>
    <row r="623" spans="1:21">
      <c r="A623" t="s">
        <v>22</v>
      </c>
      <c r="B623" s="1">
        <f>HYPERLINK("https://cordis.europa.eu/project/id/101007950", "101007950")</f>
        <v>0</v>
      </c>
      <c r="C623" t="s">
        <v>514</v>
      </c>
      <c r="D623" t="s">
        <v>1328</v>
      </c>
      <c r="E623" t="s">
        <v>1889</v>
      </c>
      <c r="F623" t="s">
        <v>2213</v>
      </c>
      <c r="G623" t="s">
        <v>2494</v>
      </c>
      <c r="H623" t="s">
        <v>2548</v>
      </c>
      <c r="I623" t="s">
        <v>2556</v>
      </c>
      <c r="J623" s="1">
        <f>HYPERLINK("https://ec.europa.eu/info/funding-tenders/opportunities/portal/screen/how-to-participate/org-details/998082180", "998082180")</f>
        <v>0</v>
      </c>
      <c r="K623" t="s">
        <v>2565</v>
      </c>
      <c r="M623" t="s">
        <v>2965</v>
      </c>
      <c r="N623" t="b">
        <v>0</v>
      </c>
      <c r="O623" t="s">
        <v>3003</v>
      </c>
      <c r="P623" t="s">
        <v>3216</v>
      </c>
      <c r="Q623">
        <v>16</v>
      </c>
      <c r="R623" t="s">
        <v>3345</v>
      </c>
      <c r="T623" s="2">
        <v>0</v>
      </c>
      <c r="U623" s="2">
        <v>23000</v>
      </c>
    </row>
    <row r="624" spans="1:21">
      <c r="A624" t="s">
        <v>22</v>
      </c>
      <c r="B624" s="1">
        <f>HYPERLINK("https://cordis.europa.eu/project/id/101007950", "101007950")</f>
        <v>0</v>
      </c>
      <c r="C624" t="s">
        <v>514</v>
      </c>
      <c r="D624" t="s">
        <v>1328</v>
      </c>
      <c r="E624" t="s">
        <v>1889</v>
      </c>
      <c r="F624" t="s">
        <v>2213</v>
      </c>
      <c r="G624" t="s">
        <v>2494</v>
      </c>
      <c r="H624" t="s">
        <v>2548</v>
      </c>
      <c r="I624" t="s">
        <v>2556</v>
      </c>
      <c r="J624" s="1">
        <f>HYPERLINK("https://ec.europa.eu/info/funding-tenders/opportunities/portal/screen/how-to-participate/org-details/986119267", "986119267")</f>
        <v>0</v>
      </c>
      <c r="K624" t="s">
        <v>2572</v>
      </c>
      <c r="L624" t="s">
        <v>2815</v>
      </c>
      <c r="M624" t="s">
        <v>2965</v>
      </c>
      <c r="N624" t="b">
        <v>0</v>
      </c>
      <c r="O624" t="s">
        <v>3003</v>
      </c>
      <c r="P624" t="s">
        <v>3216</v>
      </c>
      <c r="Q624">
        <v>17</v>
      </c>
      <c r="R624" t="s">
        <v>3345</v>
      </c>
      <c r="T624" s="2">
        <v>0</v>
      </c>
      <c r="U624" s="2">
        <v>18400</v>
      </c>
    </row>
    <row r="625" spans="1:21">
      <c r="A625" t="s">
        <v>22</v>
      </c>
      <c r="B625" s="1">
        <f>HYPERLINK("https://cordis.europa.eu/project/id/101031553", "101031553")</f>
        <v>0</v>
      </c>
      <c r="C625" t="s">
        <v>515</v>
      </c>
      <c r="D625" t="s">
        <v>1329</v>
      </c>
      <c r="E625" t="s">
        <v>1855</v>
      </c>
      <c r="F625" t="s">
        <v>2241</v>
      </c>
      <c r="G625" t="s">
        <v>2428</v>
      </c>
      <c r="H625" t="s">
        <v>2548</v>
      </c>
      <c r="I625" t="s">
        <v>2556</v>
      </c>
      <c r="J625" s="1">
        <f>HYPERLINK("https://ec.europa.eu/info/funding-tenders/opportunities/portal/screen/how-to-participate/org-details/986196188", "986196188")</f>
        <v>0</v>
      </c>
      <c r="K625" t="s">
        <v>2709</v>
      </c>
      <c r="L625" t="s">
        <v>2920</v>
      </c>
      <c r="M625" t="s">
        <v>2965</v>
      </c>
      <c r="N625" t="b">
        <v>0</v>
      </c>
      <c r="O625" t="s">
        <v>2997</v>
      </c>
      <c r="P625" t="s">
        <v>3166</v>
      </c>
      <c r="Q625">
        <v>2</v>
      </c>
      <c r="R625" t="s">
        <v>3345</v>
      </c>
      <c r="T625" s="2">
        <v>0</v>
      </c>
    </row>
    <row r="626" spans="1:21">
      <c r="A626" t="s">
        <v>22</v>
      </c>
      <c r="B626" s="1">
        <f>HYPERLINK("https://cordis.europa.eu/project/id/951477", "951477")</f>
        <v>0</v>
      </c>
      <c r="C626" t="s">
        <v>516</v>
      </c>
      <c r="D626" t="s">
        <v>1330</v>
      </c>
      <c r="E626" t="s">
        <v>1890</v>
      </c>
      <c r="F626" t="s">
        <v>2216</v>
      </c>
      <c r="G626" t="s">
        <v>2495</v>
      </c>
      <c r="H626" t="s">
        <v>2548</v>
      </c>
      <c r="I626" t="s">
        <v>2556</v>
      </c>
      <c r="J626" s="1">
        <f>HYPERLINK("https://ec.europa.eu/info/funding-tenders/opportunities/portal/screen/how-to-participate/org-details/998083247", "998083247")</f>
        <v>0</v>
      </c>
      <c r="K626" t="s">
        <v>2605</v>
      </c>
      <c r="M626" t="s">
        <v>2965</v>
      </c>
      <c r="N626" t="b">
        <v>0</v>
      </c>
      <c r="O626" t="s">
        <v>3009</v>
      </c>
      <c r="P626" t="s">
        <v>3238</v>
      </c>
      <c r="Q626">
        <v>3</v>
      </c>
      <c r="R626" t="s">
        <v>3342</v>
      </c>
      <c r="S626" s="2">
        <v>3179640</v>
      </c>
      <c r="T626" s="2">
        <v>3179640</v>
      </c>
      <c r="U626" s="2">
        <v>3179640</v>
      </c>
    </row>
    <row r="627" spans="1:21">
      <c r="A627" t="s">
        <v>22</v>
      </c>
      <c r="B627" s="1">
        <f>HYPERLINK("https://cordis.europa.eu/project/id/680966", "680966")</f>
        <v>0</v>
      </c>
      <c r="C627" t="s">
        <v>517</v>
      </c>
      <c r="D627" t="s">
        <v>1331</v>
      </c>
      <c r="E627" t="s">
        <v>1891</v>
      </c>
      <c r="F627" t="s">
        <v>2188</v>
      </c>
      <c r="G627" t="s">
        <v>2433</v>
      </c>
      <c r="H627" t="s">
        <v>2548</v>
      </c>
      <c r="I627" t="s">
        <v>2556</v>
      </c>
      <c r="J627" s="1">
        <f>HYPERLINK("https://ec.europa.eu/info/funding-tenders/opportunities/portal/screen/how-to-participate/org-details/963122410", "963122410")</f>
        <v>0</v>
      </c>
      <c r="K627" t="s">
        <v>2629</v>
      </c>
      <c r="L627" t="s">
        <v>2859</v>
      </c>
      <c r="M627" t="s">
        <v>2968</v>
      </c>
      <c r="N627" t="b">
        <v>0</v>
      </c>
      <c r="O627" t="s">
        <v>2992</v>
      </c>
      <c r="P627" t="s">
        <v>3226</v>
      </c>
      <c r="Q627">
        <v>21</v>
      </c>
      <c r="R627" t="s">
        <v>3342</v>
      </c>
      <c r="S627" s="2">
        <v>0</v>
      </c>
      <c r="T627" s="2">
        <v>0</v>
      </c>
      <c r="U627" s="2">
        <v>360000</v>
      </c>
    </row>
    <row r="628" spans="1:21">
      <c r="A628" t="s">
        <v>22</v>
      </c>
      <c r="B628" s="1">
        <f>HYPERLINK("https://cordis.europa.eu/project/id/643417", "643417")</f>
        <v>0</v>
      </c>
      <c r="C628" t="s">
        <v>518</v>
      </c>
      <c r="D628" t="s">
        <v>1332</v>
      </c>
      <c r="E628" t="s">
        <v>1658</v>
      </c>
      <c r="F628" t="s">
        <v>2222</v>
      </c>
      <c r="G628" t="s">
        <v>2399</v>
      </c>
      <c r="H628" t="s">
        <v>2548</v>
      </c>
      <c r="I628" t="s">
        <v>2556</v>
      </c>
      <c r="J628" s="1">
        <f>HYPERLINK("https://ec.europa.eu/info/funding-tenders/opportunities/portal/screen/how-to-participate/org-details/960368386", "960368386")</f>
        <v>0</v>
      </c>
      <c r="K628" t="s">
        <v>2622</v>
      </c>
      <c r="L628" t="s">
        <v>2853</v>
      </c>
      <c r="M628" t="s">
        <v>2969</v>
      </c>
      <c r="N628" t="b">
        <v>0</v>
      </c>
      <c r="O628" t="s">
        <v>2992</v>
      </c>
      <c r="P628" t="s">
        <v>3147</v>
      </c>
      <c r="Q628">
        <v>7</v>
      </c>
      <c r="R628" t="s">
        <v>3342</v>
      </c>
      <c r="S628" s="2">
        <v>0</v>
      </c>
      <c r="T628" s="2">
        <v>0</v>
      </c>
      <c r="U628" s="2">
        <v>650000</v>
      </c>
    </row>
    <row r="629" spans="1:21">
      <c r="A629" t="s">
        <v>22</v>
      </c>
      <c r="B629" s="1">
        <f>HYPERLINK("https://cordis.europa.eu/project/id/839511", "839511")</f>
        <v>0</v>
      </c>
      <c r="C629" t="s">
        <v>519</v>
      </c>
      <c r="D629" t="s">
        <v>1333</v>
      </c>
      <c r="E629" t="s">
        <v>1678</v>
      </c>
      <c r="F629" t="s">
        <v>2268</v>
      </c>
      <c r="G629" t="s">
        <v>2496</v>
      </c>
      <c r="H629" t="s">
        <v>2549</v>
      </c>
      <c r="I629" t="s">
        <v>2557</v>
      </c>
      <c r="J629" s="1">
        <f>HYPERLINK("https://ec.europa.eu/info/funding-tenders/opportunities/portal/screen/how-to-participate/org-details/999613131", "999613131")</f>
        <v>0</v>
      </c>
      <c r="K629" t="s">
        <v>2591</v>
      </c>
      <c r="L629" t="s">
        <v>2831</v>
      </c>
      <c r="M629" t="s">
        <v>2965</v>
      </c>
      <c r="N629" t="b">
        <v>0</v>
      </c>
      <c r="O629" t="s">
        <v>2997</v>
      </c>
      <c r="P629" t="s">
        <v>3158</v>
      </c>
      <c r="Q629">
        <v>2</v>
      </c>
      <c r="R629" t="s">
        <v>3345</v>
      </c>
      <c r="T629" s="2">
        <v>0</v>
      </c>
    </row>
    <row r="630" spans="1:21">
      <c r="A630" t="s">
        <v>22</v>
      </c>
      <c r="B630" s="1">
        <f>HYPERLINK("https://cordis.europa.eu/project/id/704951", "704951")</f>
        <v>0</v>
      </c>
      <c r="C630" t="s">
        <v>520</v>
      </c>
      <c r="D630" t="s">
        <v>1334</v>
      </c>
      <c r="E630" t="s">
        <v>1892</v>
      </c>
      <c r="F630" t="s">
        <v>2210</v>
      </c>
      <c r="G630" t="s">
        <v>2321</v>
      </c>
      <c r="H630" t="s">
        <v>2548</v>
      </c>
      <c r="I630" t="s">
        <v>2556</v>
      </c>
      <c r="J630" s="1">
        <f>HYPERLINK("https://ec.europa.eu/info/funding-tenders/opportunities/portal/screen/how-to-participate/org-details/999845252", "999845252")</f>
        <v>0</v>
      </c>
      <c r="K630" t="s">
        <v>2687</v>
      </c>
      <c r="L630" t="s">
        <v>2908</v>
      </c>
      <c r="M630" t="s">
        <v>2965</v>
      </c>
      <c r="N630" t="b">
        <v>0</v>
      </c>
      <c r="O630" t="s">
        <v>2998</v>
      </c>
      <c r="P630" t="s">
        <v>3164</v>
      </c>
      <c r="Q630">
        <v>2</v>
      </c>
      <c r="R630" t="s">
        <v>3345</v>
      </c>
      <c r="T630" s="2">
        <v>0</v>
      </c>
    </row>
    <row r="631" spans="1:21">
      <c r="A631" t="s">
        <v>22</v>
      </c>
      <c r="B631" s="1">
        <f>HYPERLINK("https://cordis.europa.eu/project/id/838296", "838296")</f>
        <v>0</v>
      </c>
      <c r="C631" t="s">
        <v>521</v>
      </c>
      <c r="D631" t="s">
        <v>1335</v>
      </c>
      <c r="E631" t="s">
        <v>1719</v>
      </c>
      <c r="F631" t="s">
        <v>2269</v>
      </c>
      <c r="G631" t="s">
        <v>2497</v>
      </c>
      <c r="H631" t="s">
        <v>2548</v>
      </c>
      <c r="I631" t="s">
        <v>2556</v>
      </c>
      <c r="J631" s="1">
        <f>HYPERLINK("https://ec.europa.eu/info/funding-tenders/opportunities/portal/screen/how-to-participate/org-details/998826946", "998826946")</f>
        <v>0</v>
      </c>
      <c r="K631" t="s">
        <v>2617</v>
      </c>
      <c r="L631" t="s">
        <v>2848</v>
      </c>
      <c r="M631" t="s">
        <v>2965</v>
      </c>
      <c r="N631" t="b">
        <v>0</v>
      </c>
      <c r="O631" t="s">
        <v>2997</v>
      </c>
      <c r="P631" t="s">
        <v>3158</v>
      </c>
      <c r="Q631">
        <v>2</v>
      </c>
      <c r="R631" t="s">
        <v>3345</v>
      </c>
      <c r="T631" s="2">
        <v>0</v>
      </c>
    </row>
    <row r="632" spans="1:21">
      <c r="A632" t="s">
        <v>22</v>
      </c>
      <c r="B632" s="1">
        <f>HYPERLINK("https://cordis.europa.eu/project/id/839243", "839243")</f>
        <v>0</v>
      </c>
      <c r="C632" t="s">
        <v>522</v>
      </c>
      <c r="D632" t="s">
        <v>1336</v>
      </c>
      <c r="E632" t="s">
        <v>1736</v>
      </c>
      <c r="F632" t="s">
        <v>2191</v>
      </c>
      <c r="G632" t="s">
        <v>2406</v>
      </c>
      <c r="H632" t="s">
        <v>2548</v>
      </c>
      <c r="I632" t="s">
        <v>2556</v>
      </c>
      <c r="J632" s="1">
        <f>HYPERLINK("https://ec.europa.eu/info/funding-tenders/opportunities/portal/screen/how-to-participate/org-details/999818577", "999818577")</f>
        <v>0</v>
      </c>
      <c r="K632" t="s">
        <v>2614</v>
      </c>
      <c r="L632" t="s">
        <v>2846</v>
      </c>
      <c r="M632" t="s">
        <v>2965</v>
      </c>
      <c r="N632" t="b">
        <v>0</v>
      </c>
      <c r="O632" t="s">
        <v>2997</v>
      </c>
      <c r="P632" t="s">
        <v>3158</v>
      </c>
      <c r="Q632">
        <v>2</v>
      </c>
      <c r="R632" t="s">
        <v>3345</v>
      </c>
      <c r="T632" s="2">
        <v>0</v>
      </c>
    </row>
    <row r="633" spans="1:21">
      <c r="A633" t="s">
        <v>22</v>
      </c>
      <c r="B633" s="1">
        <f>HYPERLINK("https://cordis.europa.eu/project/id/657544", "657544")</f>
        <v>0</v>
      </c>
      <c r="C633" t="s">
        <v>523</v>
      </c>
      <c r="D633" t="s">
        <v>1337</v>
      </c>
      <c r="E633" t="s">
        <v>1893</v>
      </c>
      <c r="F633" t="s">
        <v>2270</v>
      </c>
      <c r="G633" t="s">
        <v>2498</v>
      </c>
      <c r="H633" t="s">
        <v>2548</v>
      </c>
      <c r="I633" t="s">
        <v>2556</v>
      </c>
      <c r="J633" s="1">
        <f>HYPERLINK("https://ec.europa.eu/info/funding-tenders/opportunities/portal/screen/how-to-participate/org-details/999561042", "999561042")</f>
        <v>0</v>
      </c>
      <c r="K633" t="s">
        <v>2566</v>
      </c>
      <c r="L633" t="s">
        <v>2810</v>
      </c>
      <c r="M633" t="s">
        <v>2966</v>
      </c>
      <c r="N633" t="b">
        <v>0</v>
      </c>
      <c r="O633" t="s">
        <v>2998</v>
      </c>
      <c r="P633" t="s">
        <v>3165</v>
      </c>
      <c r="Q633">
        <v>2</v>
      </c>
      <c r="R633" t="s">
        <v>3345</v>
      </c>
      <c r="T633" s="2">
        <v>0</v>
      </c>
    </row>
    <row r="634" spans="1:21">
      <c r="A634" t="s">
        <v>22</v>
      </c>
      <c r="B634" s="1">
        <f>HYPERLINK("https://cordis.europa.eu/project/id/890200", "890200")</f>
        <v>0</v>
      </c>
      <c r="C634" t="s">
        <v>524</v>
      </c>
      <c r="D634" t="s">
        <v>1338</v>
      </c>
      <c r="E634" t="s">
        <v>1894</v>
      </c>
      <c r="F634" t="s">
        <v>2231</v>
      </c>
      <c r="G634" t="s">
        <v>2486</v>
      </c>
      <c r="H634" t="s">
        <v>2548</v>
      </c>
      <c r="I634" t="s">
        <v>2556</v>
      </c>
      <c r="J634" s="1">
        <f>HYPERLINK("https://ec.europa.eu/info/funding-tenders/opportunities/portal/screen/how-to-participate/org-details/998804636", "998804636")</f>
        <v>0</v>
      </c>
      <c r="K634" t="s">
        <v>2612</v>
      </c>
      <c r="L634" t="s">
        <v>2845</v>
      </c>
      <c r="M634" t="s">
        <v>2965</v>
      </c>
      <c r="N634" t="b">
        <v>0</v>
      </c>
      <c r="O634" t="s">
        <v>2997</v>
      </c>
      <c r="P634" t="s">
        <v>3162</v>
      </c>
      <c r="Q634">
        <v>2</v>
      </c>
      <c r="R634" t="s">
        <v>3345</v>
      </c>
      <c r="T634" s="2">
        <v>0</v>
      </c>
    </row>
    <row r="635" spans="1:21">
      <c r="A635" t="s">
        <v>22</v>
      </c>
      <c r="B635" s="1">
        <f>HYPERLINK("https://cordis.europa.eu/project/id/643087", "643087")</f>
        <v>0</v>
      </c>
      <c r="C635" t="s">
        <v>525</v>
      </c>
      <c r="D635" t="s">
        <v>1339</v>
      </c>
      <c r="E635" t="s">
        <v>1895</v>
      </c>
      <c r="F635" t="s">
        <v>2222</v>
      </c>
      <c r="G635" t="s">
        <v>2387</v>
      </c>
      <c r="H635" t="s">
        <v>2548</v>
      </c>
      <c r="I635" t="s">
        <v>2556</v>
      </c>
      <c r="J635" s="1">
        <f>HYPERLINK("https://ec.europa.eu/info/funding-tenders/opportunities/portal/screen/how-to-participate/org-details/999845252", "999845252")</f>
        <v>0</v>
      </c>
      <c r="K635" t="s">
        <v>2687</v>
      </c>
      <c r="L635" t="s">
        <v>2908</v>
      </c>
      <c r="M635" t="s">
        <v>2965</v>
      </c>
      <c r="N635" t="b">
        <v>0</v>
      </c>
      <c r="O635" t="s">
        <v>3002</v>
      </c>
      <c r="P635" t="s">
        <v>3188</v>
      </c>
      <c r="Q635">
        <v>13</v>
      </c>
      <c r="R635" t="s">
        <v>3345</v>
      </c>
      <c r="T635" s="2">
        <v>0</v>
      </c>
      <c r="U635" s="2">
        <v>0</v>
      </c>
    </row>
    <row r="636" spans="1:21">
      <c r="A636" t="s">
        <v>22</v>
      </c>
      <c r="B636" s="1">
        <f>HYPERLINK("https://cordis.europa.eu/project/id/706754", "706754")</f>
        <v>0</v>
      </c>
      <c r="C636" t="s">
        <v>526</v>
      </c>
      <c r="D636" t="s">
        <v>1340</v>
      </c>
      <c r="E636" t="s">
        <v>1896</v>
      </c>
      <c r="F636" t="s">
        <v>2256</v>
      </c>
      <c r="G636" t="s">
        <v>2447</v>
      </c>
      <c r="H636" t="s">
        <v>2549</v>
      </c>
      <c r="I636" t="s">
        <v>2557</v>
      </c>
      <c r="J636" s="1">
        <f>HYPERLINK("https://ec.europa.eu/info/funding-tenders/opportunities/portal/screen/how-to-participate/org-details/999613131", "999613131")</f>
        <v>0</v>
      </c>
      <c r="K636" t="s">
        <v>2591</v>
      </c>
      <c r="L636" t="s">
        <v>2831</v>
      </c>
      <c r="M636" t="s">
        <v>2965</v>
      </c>
      <c r="N636" t="b">
        <v>0</v>
      </c>
      <c r="O636" t="s">
        <v>2998</v>
      </c>
      <c r="P636" t="s">
        <v>3164</v>
      </c>
      <c r="Q636">
        <v>2</v>
      </c>
      <c r="R636" t="s">
        <v>3345</v>
      </c>
      <c r="T636" s="2">
        <v>0</v>
      </c>
    </row>
    <row r="637" spans="1:21">
      <c r="A637" t="s">
        <v>22</v>
      </c>
      <c r="B637" s="1">
        <f>HYPERLINK("https://cordis.europa.eu/project/id/101007633", "101007633")</f>
        <v>0</v>
      </c>
      <c r="C637" t="s">
        <v>527</v>
      </c>
      <c r="D637" t="s">
        <v>1341</v>
      </c>
      <c r="E637" t="s">
        <v>1743</v>
      </c>
      <c r="F637" t="s">
        <v>2187</v>
      </c>
      <c r="G637" t="s">
        <v>2499</v>
      </c>
      <c r="H637" t="s">
        <v>2548</v>
      </c>
      <c r="I637" t="s">
        <v>2556</v>
      </c>
      <c r="J637" s="1">
        <f>HYPERLINK("https://ec.europa.eu/info/funding-tenders/opportunities/portal/screen/how-to-participate/org-details/999845252", "999845252")</f>
        <v>0</v>
      </c>
      <c r="K637" t="s">
        <v>2687</v>
      </c>
      <c r="L637" t="s">
        <v>2908</v>
      </c>
      <c r="M637" t="s">
        <v>2965</v>
      </c>
      <c r="N637" t="b">
        <v>0</v>
      </c>
      <c r="O637" t="s">
        <v>3003</v>
      </c>
      <c r="P637" t="s">
        <v>3216</v>
      </c>
      <c r="Q637">
        <v>15</v>
      </c>
      <c r="R637" t="s">
        <v>3345</v>
      </c>
      <c r="T637" s="2">
        <v>0</v>
      </c>
      <c r="U637" s="2">
        <v>18400</v>
      </c>
    </row>
    <row r="638" spans="1:21">
      <c r="A638" t="s">
        <v>22</v>
      </c>
      <c r="B638" s="1">
        <f>HYPERLINK("https://cordis.europa.eu/project/id/831852", "831852")</f>
        <v>0</v>
      </c>
      <c r="C638" t="s">
        <v>528</v>
      </c>
      <c r="D638" t="s">
        <v>1342</v>
      </c>
      <c r="E638" t="s">
        <v>1897</v>
      </c>
      <c r="F638" t="s">
        <v>1765</v>
      </c>
      <c r="G638" t="s">
        <v>2434</v>
      </c>
      <c r="H638" t="s">
        <v>2548</v>
      </c>
      <c r="I638" t="s">
        <v>2556</v>
      </c>
      <c r="J638" s="1">
        <f>HYPERLINK("https://ec.europa.eu/info/funding-tenders/opportunities/portal/screen/how-to-participate/org-details/998826946", "998826946")</f>
        <v>0</v>
      </c>
      <c r="K638" t="s">
        <v>2617</v>
      </c>
      <c r="L638" t="s">
        <v>2848</v>
      </c>
      <c r="M638" t="s">
        <v>2965</v>
      </c>
      <c r="N638" t="b">
        <v>0</v>
      </c>
      <c r="O638" t="s">
        <v>2997</v>
      </c>
      <c r="P638" t="s">
        <v>3158</v>
      </c>
      <c r="Q638">
        <v>2</v>
      </c>
      <c r="R638" t="s">
        <v>3345</v>
      </c>
      <c r="T638" s="2">
        <v>0</v>
      </c>
    </row>
    <row r="639" spans="1:21">
      <c r="A639" t="s">
        <v>22</v>
      </c>
      <c r="B639" s="1">
        <f>HYPERLINK("https://cordis.europa.eu/project/id/875189", "875189")</f>
        <v>0</v>
      </c>
      <c r="C639" t="s">
        <v>529</v>
      </c>
      <c r="D639" t="s">
        <v>1343</v>
      </c>
      <c r="E639" t="s">
        <v>1864</v>
      </c>
      <c r="F639" t="s">
        <v>2180</v>
      </c>
      <c r="G639" t="s">
        <v>2417</v>
      </c>
      <c r="H639" t="s">
        <v>2548</v>
      </c>
      <c r="I639" t="s">
        <v>2556</v>
      </c>
      <c r="J639" s="1">
        <f>HYPERLINK("https://ec.europa.eu/info/funding-tenders/opportunities/portal/screen/how-to-participate/org-details/999786082", "999786082")</f>
        <v>0</v>
      </c>
      <c r="K639" t="s">
        <v>2607</v>
      </c>
      <c r="M639" t="s">
        <v>2967</v>
      </c>
      <c r="N639" t="b">
        <v>0</v>
      </c>
      <c r="O639" t="s">
        <v>2993</v>
      </c>
      <c r="P639" t="s">
        <v>3257</v>
      </c>
      <c r="Q639">
        <v>4</v>
      </c>
      <c r="R639" t="s">
        <v>3342</v>
      </c>
      <c r="S639" s="2">
        <v>500550</v>
      </c>
      <c r="T639" s="2">
        <v>500550</v>
      </c>
      <c r="U639" s="2">
        <v>500550</v>
      </c>
    </row>
    <row r="640" spans="1:21">
      <c r="A640" t="s">
        <v>22</v>
      </c>
      <c r="B640" s="1">
        <f>HYPERLINK("https://cordis.europa.eu/project/id/884565", "884565")</f>
        <v>0</v>
      </c>
      <c r="C640" t="s">
        <v>530</v>
      </c>
      <c r="D640" t="s">
        <v>1344</v>
      </c>
      <c r="E640" t="s">
        <v>1898</v>
      </c>
      <c r="F640" t="s">
        <v>2265</v>
      </c>
      <c r="G640" t="s">
        <v>2451</v>
      </c>
      <c r="H640" t="s">
        <v>2548</v>
      </c>
      <c r="I640" t="s">
        <v>2556</v>
      </c>
      <c r="J640" s="1">
        <f>HYPERLINK("https://ec.europa.eu/info/funding-tenders/opportunities/portal/screen/how-to-participate/org-details/898703643", "898703643")</f>
        <v>0</v>
      </c>
      <c r="K640" t="s">
        <v>2752</v>
      </c>
      <c r="L640" t="s">
        <v>2937</v>
      </c>
      <c r="M640" t="s">
        <v>2968</v>
      </c>
      <c r="N640" t="b">
        <v>0</v>
      </c>
      <c r="O640" t="s">
        <v>2993</v>
      </c>
      <c r="P640" t="s">
        <v>3183</v>
      </c>
      <c r="Q640">
        <v>2</v>
      </c>
      <c r="R640" t="s">
        <v>3344</v>
      </c>
      <c r="S640" s="2">
        <v>0</v>
      </c>
      <c r="T640" s="2">
        <v>0</v>
      </c>
      <c r="U640" s="2">
        <v>0</v>
      </c>
    </row>
    <row r="641" spans="1:21">
      <c r="A641" t="s">
        <v>22</v>
      </c>
      <c r="B641" s="1">
        <f>HYPERLINK("https://cordis.europa.eu/project/id/705913", "705913")</f>
        <v>0</v>
      </c>
      <c r="C641" t="s">
        <v>531</v>
      </c>
      <c r="D641" t="s">
        <v>1345</v>
      </c>
      <c r="E641" t="s">
        <v>1853</v>
      </c>
      <c r="F641" t="s">
        <v>2225</v>
      </c>
      <c r="G641" t="s">
        <v>1679</v>
      </c>
      <c r="H641" t="s">
        <v>2548</v>
      </c>
      <c r="I641" t="s">
        <v>2556</v>
      </c>
      <c r="J641" s="1">
        <f>HYPERLINK("https://ec.europa.eu/info/funding-tenders/opportunities/portal/screen/how-to-participate/org-details/998082180", "998082180")</f>
        <v>0</v>
      </c>
      <c r="K641" t="s">
        <v>2565</v>
      </c>
      <c r="M641" t="s">
        <v>2965</v>
      </c>
      <c r="N641" t="b">
        <v>0</v>
      </c>
      <c r="O641" t="s">
        <v>2998</v>
      </c>
      <c r="P641" t="s">
        <v>3164</v>
      </c>
      <c r="Q641">
        <v>2</v>
      </c>
      <c r="R641" t="s">
        <v>3345</v>
      </c>
      <c r="T641" s="2">
        <v>0</v>
      </c>
    </row>
    <row r="642" spans="1:21">
      <c r="A642" t="s">
        <v>22</v>
      </c>
      <c r="B642" s="1">
        <f>HYPERLINK("https://cordis.europa.eu/project/id/659571", "659571")</f>
        <v>0</v>
      </c>
      <c r="C642" t="s">
        <v>532</v>
      </c>
      <c r="D642" t="s">
        <v>1346</v>
      </c>
      <c r="E642" t="s">
        <v>1899</v>
      </c>
      <c r="F642" t="s">
        <v>2271</v>
      </c>
      <c r="G642" t="s">
        <v>2204</v>
      </c>
      <c r="H642" t="s">
        <v>2548</v>
      </c>
      <c r="I642" t="s">
        <v>2556</v>
      </c>
      <c r="J642" s="1">
        <f>HYPERLINK("https://ec.europa.eu/info/funding-tenders/opportunities/portal/screen/how-to-participate/org-details/999845252", "999845252")</f>
        <v>0</v>
      </c>
      <c r="K642" t="s">
        <v>2687</v>
      </c>
      <c r="L642" t="s">
        <v>2908</v>
      </c>
      <c r="M642" t="s">
        <v>2965</v>
      </c>
      <c r="N642" t="b">
        <v>0</v>
      </c>
      <c r="O642" t="s">
        <v>2998</v>
      </c>
      <c r="P642" t="s">
        <v>3165</v>
      </c>
      <c r="Q642">
        <v>2</v>
      </c>
      <c r="R642" t="s">
        <v>3345</v>
      </c>
      <c r="T642" s="2">
        <v>0</v>
      </c>
    </row>
    <row r="643" spans="1:21">
      <c r="A643" t="s">
        <v>22</v>
      </c>
      <c r="B643" s="1">
        <f>HYPERLINK("https://cordis.europa.eu/project/id/691119", "691119")</f>
        <v>0</v>
      </c>
      <c r="C643" t="s">
        <v>533</v>
      </c>
      <c r="D643" t="s">
        <v>1347</v>
      </c>
      <c r="E643" t="s">
        <v>1900</v>
      </c>
      <c r="F643" t="s">
        <v>2185</v>
      </c>
      <c r="G643" t="s">
        <v>2438</v>
      </c>
      <c r="H643" t="s">
        <v>2548</v>
      </c>
      <c r="I643" t="s">
        <v>2556</v>
      </c>
      <c r="J643" s="1">
        <f>HYPERLINK("https://ec.europa.eu/info/funding-tenders/opportunities/portal/screen/how-to-participate/org-details/999902773", "999902773")</f>
        <v>0</v>
      </c>
      <c r="K643" t="s">
        <v>2571</v>
      </c>
      <c r="L643" t="s">
        <v>2814</v>
      </c>
      <c r="M643" t="s">
        <v>2965</v>
      </c>
      <c r="N643" t="b">
        <v>0</v>
      </c>
      <c r="O643" t="s">
        <v>3003</v>
      </c>
      <c r="P643" t="s">
        <v>3176</v>
      </c>
      <c r="Q643">
        <v>7</v>
      </c>
      <c r="R643" t="s">
        <v>3345</v>
      </c>
      <c r="T643" s="2">
        <v>0</v>
      </c>
      <c r="U643" s="2">
        <v>0</v>
      </c>
    </row>
    <row r="644" spans="1:21">
      <c r="A644" t="s">
        <v>22</v>
      </c>
      <c r="B644" s="1">
        <f>HYPERLINK("https://cordis.europa.eu/project/id/101005142", "101005142")</f>
        <v>0</v>
      </c>
      <c r="C644" t="s">
        <v>534</v>
      </c>
      <c r="D644" t="s">
        <v>1348</v>
      </c>
      <c r="E644" t="s">
        <v>1901</v>
      </c>
      <c r="F644" t="s">
        <v>2262</v>
      </c>
      <c r="G644" t="s">
        <v>2406</v>
      </c>
      <c r="H644" t="s">
        <v>2548</v>
      </c>
      <c r="I644" t="s">
        <v>2556</v>
      </c>
      <c r="J644" s="1">
        <f>HYPERLINK("https://ec.europa.eu/info/funding-tenders/opportunities/portal/screen/how-to-participate/org-details/950590301", "950590301")</f>
        <v>0</v>
      </c>
      <c r="K644" t="s">
        <v>2624</v>
      </c>
      <c r="L644" t="s">
        <v>2855</v>
      </c>
      <c r="M644" t="s">
        <v>2967</v>
      </c>
      <c r="N644" t="b">
        <v>1</v>
      </c>
      <c r="O644" t="s">
        <v>2993</v>
      </c>
      <c r="P644" t="s">
        <v>3258</v>
      </c>
      <c r="Q644">
        <v>4</v>
      </c>
      <c r="R644" t="s">
        <v>3342</v>
      </c>
      <c r="S644" s="2">
        <v>438376.25</v>
      </c>
      <c r="T644" s="2">
        <v>438376.25</v>
      </c>
    </row>
    <row r="645" spans="1:21">
      <c r="A645" t="s">
        <v>22</v>
      </c>
      <c r="B645" s="1">
        <f>HYPERLINK("https://cordis.europa.eu/project/id/896248", "896248")</f>
        <v>0</v>
      </c>
      <c r="C645" t="s">
        <v>535</v>
      </c>
      <c r="D645" t="s">
        <v>1349</v>
      </c>
      <c r="E645" t="s">
        <v>1782</v>
      </c>
      <c r="F645" t="s">
        <v>2216</v>
      </c>
      <c r="G645" t="s">
        <v>2428</v>
      </c>
      <c r="H645" t="s">
        <v>2548</v>
      </c>
      <c r="I645" t="s">
        <v>2556</v>
      </c>
      <c r="J645" s="1">
        <f>HYPERLINK("https://ec.europa.eu/info/funding-tenders/opportunities/portal/screen/how-to-participate/org-details/999902773", "999902773")</f>
        <v>0</v>
      </c>
      <c r="K645" t="s">
        <v>2571</v>
      </c>
      <c r="L645" t="s">
        <v>2814</v>
      </c>
      <c r="M645" t="s">
        <v>2965</v>
      </c>
      <c r="N645" t="b">
        <v>0</v>
      </c>
      <c r="O645" t="s">
        <v>2997</v>
      </c>
      <c r="P645" t="s">
        <v>3162</v>
      </c>
      <c r="Q645">
        <v>2</v>
      </c>
      <c r="R645" t="s">
        <v>3345</v>
      </c>
      <c r="T645" s="2">
        <v>0</v>
      </c>
    </row>
    <row r="646" spans="1:21">
      <c r="A646" t="s">
        <v>22</v>
      </c>
      <c r="B646" s="1">
        <f>HYPERLINK("https://cordis.europa.eu/project/id/778360", "778360")</f>
        <v>0</v>
      </c>
      <c r="C646" t="s">
        <v>536</v>
      </c>
      <c r="D646" t="s">
        <v>1350</v>
      </c>
      <c r="E646" t="s">
        <v>1902</v>
      </c>
      <c r="F646" t="s">
        <v>2207</v>
      </c>
      <c r="G646" t="s">
        <v>2412</v>
      </c>
      <c r="H646" t="s">
        <v>2549</v>
      </c>
      <c r="I646" t="s">
        <v>2557</v>
      </c>
      <c r="J646" s="1">
        <f>HYPERLINK("https://ec.europa.eu/info/funding-tenders/opportunities/portal/screen/how-to-participate/org-details/999613131", "999613131")</f>
        <v>0</v>
      </c>
      <c r="K646" t="s">
        <v>2591</v>
      </c>
      <c r="L646" t="s">
        <v>2831</v>
      </c>
      <c r="M646" t="s">
        <v>2965</v>
      </c>
      <c r="N646" t="b">
        <v>0</v>
      </c>
      <c r="O646" t="s">
        <v>3003</v>
      </c>
      <c r="P646" t="s">
        <v>3173</v>
      </c>
      <c r="Q646">
        <v>16</v>
      </c>
      <c r="R646" t="s">
        <v>3345</v>
      </c>
      <c r="T646" s="2">
        <v>0</v>
      </c>
      <c r="U646" s="2">
        <v>76500</v>
      </c>
    </row>
    <row r="647" spans="1:21">
      <c r="A647" t="s">
        <v>22</v>
      </c>
      <c r="B647" s="1">
        <f>HYPERLINK("https://cordis.europa.eu/project/id/727890", "727890")</f>
        <v>0</v>
      </c>
      <c r="C647" t="s">
        <v>537</v>
      </c>
      <c r="D647" t="s">
        <v>1351</v>
      </c>
      <c r="E647" t="s">
        <v>1903</v>
      </c>
      <c r="F647" t="s">
        <v>2250</v>
      </c>
      <c r="G647" t="s">
        <v>2416</v>
      </c>
      <c r="H647" t="s">
        <v>2548</v>
      </c>
      <c r="I647" t="s">
        <v>2556</v>
      </c>
      <c r="J647" s="1">
        <f>HYPERLINK("https://ec.europa.eu/info/funding-tenders/opportunities/portal/screen/how-to-participate/org-details/951084225", "951084225")</f>
        <v>0</v>
      </c>
      <c r="K647" t="s">
        <v>2760</v>
      </c>
      <c r="L647" t="s">
        <v>2942</v>
      </c>
      <c r="M647" t="s">
        <v>2966</v>
      </c>
      <c r="N647" t="b">
        <v>0</v>
      </c>
      <c r="O647" t="s">
        <v>2993</v>
      </c>
      <c r="P647" t="s">
        <v>3239</v>
      </c>
      <c r="Q647">
        <v>43</v>
      </c>
      <c r="R647" t="s">
        <v>3342</v>
      </c>
      <c r="S647" s="2">
        <v>0</v>
      </c>
      <c r="T647" s="2">
        <v>0</v>
      </c>
      <c r="U647" s="2">
        <v>0</v>
      </c>
    </row>
    <row r="648" spans="1:21">
      <c r="A648" t="s">
        <v>22</v>
      </c>
      <c r="B648" s="1">
        <f>HYPERLINK("https://cordis.europa.eu/project/id/727890", "727890")</f>
        <v>0</v>
      </c>
      <c r="C648" t="s">
        <v>537</v>
      </c>
      <c r="D648" t="s">
        <v>1351</v>
      </c>
      <c r="E648" t="s">
        <v>1903</v>
      </c>
      <c r="F648" t="s">
        <v>2250</v>
      </c>
      <c r="G648" t="s">
        <v>2416</v>
      </c>
      <c r="H648" t="s">
        <v>2548</v>
      </c>
      <c r="I648" t="s">
        <v>2556</v>
      </c>
      <c r="J648" s="1">
        <f>HYPERLINK("https://ec.europa.eu/info/funding-tenders/opportunities/portal/screen/how-to-participate/org-details/998082180", "998082180")</f>
        <v>0</v>
      </c>
      <c r="K648" t="s">
        <v>2565</v>
      </c>
      <c r="M648" t="s">
        <v>2965</v>
      </c>
      <c r="N648" t="b">
        <v>0</v>
      </c>
      <c r="O648" t="s">
        <v>2993</v>
      </c>
      <c r="P648" t="s">
        <v>3239</v>
      </c>
      <c r="Q648">
        <v>40</v>
      </c>
      <c r="R648" t="s">
        <v>3342</v>
      </c>
      <c r="S648" s="2">
        <v>0</v>
      </c>
      <c r="T648" s="2">
        <v>0</v>
      </c>
      <c r="U648" s="2">
        <v>0</v>
      </c>
    </row>
    <row r="649" spans="1:21">
      <c r="A649" t="s">
        <v>22</v>
      </c>
      <c r="B649" s="1">
        <f>HYPERLINK("https://cordis.europa.eu/project/id/862428", "862428")</f>
        <v>0</v>
      </c>
      <c r="C649" t="s">
        <v>538</v>
      </c>
      <c r="D649" t="s">
        <v>1352</v>
      </c>
      <c r="E649" t="s">
        <v>1904</v>
      </c>
      <c r="F649" t="s">
        <v>2201</v>
      </c>
      <c r="G649" t="s">
        <v>2424</v>
      </c>
      <c r="H649" t="s">
        <v>2548</v>
      </c>
      <c r="I649" t="s">
        <v>2556</v>
      </c>
      <c r="J649" s="1">
        <f>HYPERLINK("https://ec.europa.eu/info/funding-tenders/opportunities/portal/screen/how-to-participate/org-details/998908426", "998908426")</f>
        <v>0</v>
      </c>
      <c r="K649" t="s">
        <v>2569</v>
      </c>
      <c r="M649" t="s">
        <v>2965</v>
      </c>
      <c r="N649" t="b">
        <v>0</v>
      </c>
      <c r="O649" t="s">
        <v>2993</v>
      </c>
      <c r="P649" t="s">
        <v>3259</v>
      </c>
      <c r="Q649">
        <v>27</v>
      </c>
      <c r="R649" t="s">
        <v>3342</v>
      </c>
      <c r="S649" s="2">
        <v>0</v>
      </c>
      <c r="T649" s="2">
        <v>0</v>
      </c>
      <c r="U649" s="2">
        <v>50000</v>
      </c>
    </row>
    <row r="650" spans="1:21">
      <c r="A650" t="s">
        <v>22</v>
      </c>
      <c r="B650" s="1">
        <f>HYPERLINK("https://cordis.europa.eu/project/id/101022432", "101022432")</f>
        <v>0</v>
      </c>
      <c r="C650" t="s">
        <v>539</v>
      </c>
      <c r="D650" t="s">
        <v>1353</v>
      </c>
      <c r="E650" t="s">
        <v>1860</v>
      </c>
      <c r="F650" t="s">
        <v>2261</v>
      </c>
      <c r="G650" t="s">
        <v>2400</v>
      </c>
      <c r="H650" t="s">
        <v>2548</v>
      </c>
      <c r="I650" t="s">
        <v>2556</v>
      </c>
      <c r="J650" s="1">
        <f>HYPERLINK("https://ec.europa.eu/info/funding-tenders/opportunities/portal/screen/how-to-participate/org-details/957524443", "957524443")</f>
        <v>0</v>
      </c>
      <c r="K650" t="s">
        <v>2702</v>
      </c>
      <c r="L650" t="s">
        <v>2916</v>
      </c>
      <c r="M650" t="s">
        <v>2965</v>
      </c>
      <c r="N650" t="b">
        <v>0</v>
      </c>
      <c r="O650" t="s">
        <v>2993</v>
      </c>
      <c r="P650" t="s">
        <v>3167</v>
      </c>
      <c r="Q650">
        <v>8</v>
      </c>
      <c r="R650" t="s">
        <v>3342</v>
      </c>
      <c r="S650" s="2">
        <v>0</v>
      </c>
      <c r="T650" s="2">
        <v>0</v>
      </c>
      <c r="U650" s="2">
        <v>164920</v>
      </c>
    </row>
    <row r="651" spans="1:21">
      <c r="A651" t="s">
        <v>22</v>
      </c>
      <c r="B651" s="1">
        <f>HYPERLINK("https://cordis.europa.eu/project/id/101022432", "101022432")</f>
        <v>0</v>
      </c>
      <c r="C651" t="s">
        <v>539</v>
      </c>
      <c r="D651" t="s">
        <v>1353</v>
      </c>
      <c r="E651" t="s">
        <v>1860</v>
      </c>
      <c r="F651" t="s">
        <v>2261</v>
      </c>
      <c r="G651" t="s">
        <v>2400</v>
      </c>
      <c r="H651" t="s">
        <v>2548</v>
      </c>
      <c r="I651" t="s">
        <v>2556</v>
      </c>
      <c r="J651" s="1">
        <f>HYPERLINK("https://ec.europa.eu/info/funding-tenders/opportunities/portal/screen/how-to-participate/org-details/998082180", "998082180")</f>
        <v>0</v>
      </c>
      <c r="K651" t="s">
        <v>2565</v>
      </c>
      <c r="M651" t="s">
        <v>2965</v>
      </c>
      <c r="N651" t="b">
        <v>0</v>
      </c>
      <c r="O651" t="s">
        <v>2993</v>
      </c>
      <c r="P651" t="s">
        <v>3167</v>
      </c>
      <c r="Q651">
        <v>7</v>
      </c>
      <c r="R651" t="s">
        <v>3342</v>
      </c>
      <c r="S651" s="2">
        <v>0</v>
      </c>
      <c r="T651" s="2">
        <v>0</v>
      </c>
      <c r="U651" s="2">
        <v>82460</v>
      </c>
    </row>
    <row r="652" spans="1:21">
      <c r="A652" t="s">
        <v>22</v>
      </c>
      <c r="B652" s="1">
        <f>HYPERLINK("https://cordis.europa.eu/project/id/691213", "691213")</f>
        <v>0</v>
      </c>
      <c r="C652" t="s">
        <v>540</v>
      </c>
      <c r="D652" t="s">
        <v>1354</v>
      </c>
      <c r="E652" t="s">
        <v>1905</v>
      </c>
      <c r="F652" t="s">
        <v>2188</v>
      </c>
      <c r="G652" t="s">
        <v>2436</v>
      </c>
      <c r="H652" t="s">
        <v>2548</v>
      </c>
      <c r="I652" t="s">
        <v>2556</v>
      </c>
      <c r="J652" s="1">
        <f>HYPERLINK("https://ec.europa.eu/info/funding-tenders/opportunities/portal/screen/how-to-participate/org-details/999845252", "999845252")</f>
        <v>0</v>
      </c>
      <c r="K652" t="s">
        <v>2687</v>
      </c>
      <c r="L652" t="s">
        <v>2908</v>
      </c>
      <c r="M652" t="s">
        <v>2965</v>
      </c>
      <c r="N652" t="b">
        <v>0</v>
      </c>
      <c r="O652" t="s">
        <v>3003</v>
      </c>
      <c r="P652" t="s">
        <v>3176</v>
      </c>
      <c r="Q652">
        <v>12</v>
      </c>
      <c r="R652" t="s">
        <v>3345</v>
      </c>
      <c r="T652" s="2">
        <v>0</v>
      </c>
      <c r="U652" s="2">
        <v>0</v>
      </c>
    </row>
    <row r="653" spans="1:21">
      <c r="A653" t="s">
        <v>22</v>
      </c>
      <c r="B653" s="1">
        <f>HYPERLINK("https://cordis.europa.eu/project/id/777822", "777822")</f>
        <v>0</v>
      </c>
      <c r="C653" t="s">
        <v>541</v>
      </c>
      <c r="D653" t="s">
        <v>1355</v>
      </c>
      <c r="E653" t="s">
        <v>1906</v>
      </c>
      <c r="F653" t="s">
        <v>2264</v>
      </c>
      <c r="G653" t="s">
        <v>2434</v>
      </c>
      <c r="H653" t="s">
        <v>2548</v>
      </c>
      <c r="I653" t="s">
        <v>2556</v>
      </c>
      <c r="J653" s="1">
        <f>HYPERLINK("https://ec.europa.eu/info/funding-tenders/opportunities/portal/screen/how-to-participate/org-details/997151562", "997151562")</f>
        <v>0</v>
      </c>
      <c r="K653" t="s">
        <v>2604</v>
      </c>
      <c r="M653" t="s">
        <v>2965</v>
      </c>
      <c r="N653" t="b">
        <v>0</v>
      </c>
      <c r="O653" t="s">
        <v>3003</v>
      </c>
      <c r="P653" t="s">
        <v>3173</v>
      </c>
      <c r="Q653">
        <v>24</v>
      </c>
      <c r="R653" t="s">
        <v>3345</v>
      </c>
      <c r="T653" s="2">
        <v>0</v>
      </c>
      <c r="U653" s="2">
        <v>0</v>
      </c>
    </row>
    <row r="654" spans="1:21">
      <c r="A654" t="s">
        <v>22</v>
      </c>
      <c r="B654" s="1">
        <f>HYPERLINK("https://cordis.europa.eu/project/id/700386", "700386")</f>
        <v>0</v>
      </c>
      <c r="C654" t="s">
        <v>542</v>
      </c>
      <c r="D654" t="s">
        <v>1356</v>
      </c>
      <c r="E654" t="s">
        <v>1907</v>
      </c>
      <c r="F654" t="s">
        <v>2190</v>
      </c>
      <c r="G654" t="s">
        <v>2490</v>
      </c>
      <c r="H654" t="s">
        <v>2549</v>
      </c>
      <c r="I654" t="s">
        <v>2557</v>
      </c>
      <c r="J654" s="1">
        <f>HYPERLINK("https://ec.europa.eu/info/funding-tenders/opportunities/portal/screen/how-to-participate/org-details/998331567", "998331567")</f>
        <v>0</v>
      </c>
      <c r="K654" t="s">
        <v>2573</v>
      </c>
      <c r="M654" t="s">
        <v>2965</v>
      </c>
      <c r="N654" t="b">
        <v>0</v>
      </c>
      <c r="O654" t="s">
        <v>2998</v>
      </c>
      <c r="P654" t="s">
        <v>3164</v>
      </c>
      <c r="Q654">
        <v>2</v>
      </c>
      <c r="R654" t="s">
        <v>3345</v>
      </c>
      <c r="T654" s="2">
        <v>0</v>
      </c>
    </row>
    <row r="655" spans="1:21">
      <c r="A655" t="s">
        <v>22</v>
      </c>
      <c r="B655" s="1">
        <f>HYPERLINK("https://cordis.europa.eu/project/id/101007855", "101007855")</f>
        <v>0</v>
      </c>
      <c r="C655" t="s">
        <v>543</v>
      </c>
      <c r="D655" t="s">
        <v>1357</v>
      </c>
      <c r="E655" t="s">
        <v>1908</v>
      </c>
      <c r="F655" t="s">
        <v>2187</v>
      </c>
      <c r="G655" t="s">
        <v>2500</v>
      </c>
      <c r="H655" t="s">
        <v>2548</v>
      </c>
      <c r="I655" t="s">
        <v>2556</v>
      </c>
      <c r="J655" s="1">
        <f>HYPERLINK("https://ec.europa.eu/info/funding-tenders/opportunities/portal/screen/how-to-participate/org-details/973812489", "973812489")</f>
        <v>0</v>
      </c>
      <c r="K655" t="s">
        <v>2697</v>
      </c>
      <c r="L655" t="s">
        <v>2914</v>
      </c>
      <c r="M655" t="s">
        <v>2966</v>
      </c>
      <c r="N655" t="b">
        <v>0</v>
      </c>
      <c r="O655" t="s">
        <v>3003</v>
      </c>
      <c r="P655" t="s">
        <v>3216</v>
      </c>
      <c r="Q655">
        <v>6</v>
      </c>
      <c r="R655" t="s">
        <v>3345</v>
      </c>
      <c r="T655" s="2">
        <v>0</v>
      </c>
      <c r="U655" s="2">
        <v>0</v>
      </c>
    </row>
    <row r="656" spans="1:21">
      <c r="A656" t="s">
        <v>22</v>
      </c>
      <c r="B656" s="1">
        <f>HYPERLINK("https://cordis.europa.eu/project/id/101030595", "101030595")</f>
        <v>0</v>
      </c>
      <c r="C656" t="s">
        <v>544</v>
      </c>
      <c r="D656" t="s">
        <v>1358</v>
      </c>
      <c r="E656" t="s">
        <v>1692</v>
      </c>
      <c r="F656" t="s">
        <v>2272</v>
      </c>
      <c r="G656" t="s">
        <v>2501</v>
      </c>
      <c r="H656" t="s">
        <v>2548</v>
      </c>
      <c r="I656" t="s">
        <v>2556</v>
      </c>
      <c r="J656" s="1">
        <f>HYPERLINK("https://ec.europa.eu/info/funding-tenders/opportunities/portal/screen/how-to-participate/org-details/999879978", "999879978")</f>
        <v>0</v>
      </c>
      <c r="K656" t="s">
        <v>2615</v>
      </c>
      <c r="M656" t="s">
        <v>2965</v>
      </c>
      <c r="N656" t="b">
        <v>0</v>
      </c>
      <c r="O656" t="s">
        <v>2997</v>
      </c>
      <c r="P656" t="s">
        <v>3166</v>
      </c>
      <c r="Q656">
        <v>2</v>
      </c>
      <c r="R656" t="s">
        <v>3345</v>
      </c>
      <c r="T656" s="2">
        <v>0</v>
      </c>
    </row>
    <row r="657" spans="1:21">
      <c r="A657" t="s">
        <v>22</v>
      </c>
      <c r="B657" s="1">
        <f>HYPERLINK("https://cordis.europa.eu/project/id/101007705", "101007705")</f>
        <v>0</v>
      </c>
      <c r="C657" t="s">
        <v>545</v>
      </c>
      <c r="D657" t="s">
        <v>1359</v>
      </c>
      <c r="E657" t="s">
        <v>1810</v>
      </c>
      <c r="F657" t="s">
        <v>2193</v>
      </c>
      <c r="G657" t="s">
        <v>2488</v>
      </c>
      <c r="H657" t="s">
        <v>2548</v>
      </c>
      <c r="I657" t="s">
        <v>2556</v>
      </c>
      <c r="J657" s="1">
        <f>HYPERLINK("https://ec.europa.eu/info/funding-tenders/opportunities/portal/screen/how-to-participate/org-details/998826946", "998826946")</f>
        <v>0</v>
      </c>
      <c r="K657" t="s">
        <v>2617</v>
      </c>
      <c r="L657" t="s">
        <v>2848</v>
      </c>
      <c r="M657" t="s">
        <v>2965</v>
      </c>
      <c r="N657" t="b">
        <v>0</v>
      </c>
      <c r="O657" t="s">
        <v>3003</v>
      </c>
      <c r="P657" t="s">
        <v>3216</v>
      </c>
      <c r="Q657">
        <v>12</v>
      </c>
      <c r="R657" t="s">
        <v>3345</v>
      </c>
      <c r="T657" s="2">
        <v>0</v>
      </c>
      <c r="U657" s="2">
        <v>96600</v>
      </c>
    </row>
    <row r="658" spans="1:21">
      <c r="A658" t="s">
        <v>22</v>
      </c>
      <c r="B658" s="1">
        <f>HYPERLINK("https://cordis.europa.eu/project/id/101007990", "101007990")</f>
        <v>0</v>
      </c>
      <c r="C658" t="s">
        <v>546</v>
      </c>
      <c r="D658" t="s">
        <v>1360</v>
      </c>
      <c r="E658" t="s">
        <v>1851</v>
      </c>
      <c r="F658" t="s">
        <v>2243</v>
      </c>
      <c r="G658" t="s">
        <v>2435</v>
      </c>
      <c r="H658" t="s">
        <v>2548</v>
      </c>
      <c r="I658" t="s">
        <v>2556</v>
      </c>
      <c r="J658" s="1">
        <f>HYPERLINK("https://ec.europa.eu/info/funding-tenders/opportunities/portal/screen/how-to-participate/org-details/999902773", "999902773")</f>
        <v>0</v>
      </c>
      <c r="K658" t="s">
        <v>2571</v>
      </c>
      <c r="L658" t="s">
        <v>2814</v>
      </c>
      <c r="M658" t="s">
        <v>2965</v>
      </c>
      <c r="N658" t="b">
        <v>0</v>
      </c>
      <c r="O658" t="s">
        <v>2993</v>
      </c>
      <c r="P658" t="s">
        <v>3237</v>
      </c>
      <c r="Q658">
        <v>19</v>
      </c>
      <c r="R658" t="s">
        <v>3342</v>
      </c>
      <c r="S658" s="2">
        <v>0</v>
      </c>
      <c r="T658" s="2">
        <v>0</v>
      </c>
      <c r="U658" s="2">
        <v>53125</v>
      </c>
    </row>
    <row r="659" spans="1:21">
      <c r="A659" t="s">
        <v>22</v>
      </c>
      <c r="B659" s="1">
        <f>HYPERLINK("https://cordis.europa.eu/project/id/101007990", "101007990")</f>
        <v>0</v>
      </c>
      <c r="C659" t="s">
        <v>546</v>
      </c>
      <c r="D659" t="s">
        <v>1360</v>
      </c>
      <c r="E659" t="s">
        <v>1851</v>
      </c>
      <c r="F659" t="s">
        <v>2243</v>
      </c>
      <c r="G659" t="s">
        <v>2435</v>
      </c>
      <c r="H659" t="s">
        <v>2548</v>
      </c>
      <c r="I659" t="s">
        <v>2556</v>
      </c>
      <c r="J659" s="1">
        <f>HYPERLINK("https://ec.europa.eu/info/funding-tenders/opportunities/portal/screen/how-to-participate/org-details/998826946", "998826946")</f>
        <v>0</v>
      </c>
      <c r="K659" t="s">
        <v>2617</v>
      </c>
      <c r="L659" t="s">
        <v>2848</v>
      </c>
      <c r="M659" t="s">
        <v>2965</v>
      </c>
      <c r="N659" t="b">
        <v>0</v>
      </c>
      <c r="O659" t="s">
        <v>2993</v>
      </c>
      <c r="P659" t="s">
        <v>3237</v>
      </c>
      <c r="Q659">
        <v>18</v>
      </c>
      <c r="R659" t="s">
        <v>3342</v>
      </c>
      <c r="S659" s="2">
        <v>138875</v>
      </c>
      <c r="T659" s="2">
        <v>138875</v>
      </c>
      <c r="U659" s="2">
        <v>138875</v>
      </c>
    </row>
    <row r="660" spans="1:21">
      <c r="A660" t="s">
        <v>22</v>
      </c>
      <c r="B660" s="1">
        <f>HYPERLINK("https://cordis.europa.eu/project/id/824989", "824989")</f>
        <v>0</v>
      </c>
      <c r="C660" t="s">
        <v>547</v>
      </c>
      <c r="D660" t="s">
        <v>1361</v>
      </c>
      <c r="E660" t="s">
        <v>1760</v>
      </c>
      <c r="F660" t="s">
        <v>2189</v>
      </c>
      <c r="G660" t="s">
        <v>2417</v>
      </c>
      <c r="H660" t="s">
        <v>2548</v>
      </c>
      <c r="I660" t="s">
        <v>2556</v>
      </c>
      <c r="J660" s="1">
        <f>HYPERLINK("https://ec.europa.eu/info/funding-tenders/opportunities/portal/screen/how-to-participate/org-details/998089261", "998089261")</f>
        <v>0</v>
      </c>
      <c r="K660" t="s">
        <v>2661</v>
      </c>
      <c r="L660" t="s">
        <v>2887</v>
      </c>
      <c r="M660" t="s">
        <v>2966</v>
      </c>
      <c r="N660" t="b">
        <v>0</v>
      </c>
      <c r="O660" t="s">
        <v>2993</v>
      </c>
      <c r="P660" t="s">
        <v>3152</v>
      </c>
      <c r="Q660">
        <v>2</v>
      </c>
      <c r="R660" t="s">
        <v>3342</v>
      </c>
      <c r="S660" s="2">
        <v>0</v>
      </c>
      <c r="T660" s="2">
        <v>0</v>
      </c>
      <c r="U660" s="2">
        <v>718250</v>
      </c>
    </row>
    <row r="661" spans="1:21">
      <c r="A661" t="s">
        <v>22</v>
      </c>
      <c r="B661" s="1">
        <f>HYPERLINK("https://cordis.europa.eu/project/id/753816", "753816")</f>
        <v>0</v>
      </c>
      <c r="C661" t="s">
        <v>548</v>
      </c>
      <c r="D661" t="s">
        <v>1362</v>
      </c>
      <c r="E661" t="s">
        <v>1909</v>
      </c>
      <c r="F661" t="s">
        <v>2200</v>
      </c>
      <c r="G661" t="s">
        <v>2206</v>
      </c>
      <c r="H661" t="s">
        <v>2548</v>
      </c>
      <c r="I661" t="s">
        <v>2556</v>
      </c>
      <c r="J661" s="1">
        <f>HYPERLINK("https://ec.europa.eu/info/funding-tenders/opportunities/portal/screen/how-to-participate/org-details/998757203", "998757203")</f>
        <v>0</v>
      </c>
      <c r="K661" t="s">
        <v>2575</v>
      </c>
      <c r="L661" t="s">
        <v>2817</v>
      </c>
      <c r="M661" t="s">
        <v>2965</v>
      </c>
      <c r="N661" t="b">
        <v>0</v>
      </c>
      <c r="O661" t="s">
        <v>2998</v>
      </c>
      <c r="P661" t="s">
        <v>3159</v>
      </c>
      <c r="Q661">
        <v>2</v>
      </c>
      <c r="R661" t="s">
        <v>3345</v>
      </c>
      <c r="T661" s="2">
        <v>0</v>
      </c>
    </row>
    <row r="662" spans="1:21">
      <c r="A662" t="s">
        <v>22</v>
      </c>
      <c r="B662" s="1">
        <f>HYPERLINK("https://cordis.europa.eu/project/id/812890", "812890")</f>
        <v>0</v>
      </c>
      <c r="C662" t="s">
        <v>549</v>
      </c>
      <c r="D662" t="s">
        <v>1363</v>
      </c>
      <c r="E662" t="s">
        <v>1910</v>
      </c>
      <c r="F662" t="s">
        <v>2235</v>
      </c>
      <c r="G662" t="s">
        <v>2437</v>
      </c>
      <c r="H662" t="s">
        <v>2548</v>
      </c>
      <c r="I662" t="s">
        <v>2556</v>
      </c>
      <c r="J662" s="1">
        <f>HYPERLINK("https://ec.europa.eu/info/funding-tenders/opportunities/portal/screen/how-to-participate/org-details/917340253", "917340253")</f>
        <v>0</v>
      </c>
      <c r="K662" t="s">
        <v>2761</v>
      </c>
      <c r="L662" t="s">
        <v>2943</v>
      </c>
      <c r="M662" t="s">
        <v>2967</v>
      </c>
      <c r="N662" t="b">
        <v>0</v>
      </c>
      <c r="O662" t="s">
        <v>3005</v>
      </c>
      <c r="P662" t="s">
        <v>3187</v>
      </c>
      <c r="Q662">
        <v>996</v>
      </c>
      <c r="R662" t="s">
        <v>3345</v>
      </c>
      <c r="T662" s="2">
        <v>0</v>
      </c>
      <c r="U662" s="2">
        <v>0</v>
      </c>
    </row>
    <row r="663" spans="1:21">
      <c r="A663" t="s">
        <v>22</v>
      </c>
      <c r="B663" s="1">
        <f>HYPERLINK("https://cordis.europa.eu/project/id/691037", "691037")</f>
        <v>0</v>
      </c>
      <c r="C663" t="s">
        <v>550</v>
      </c>
      <c r="D663" t="s">
        <v>1364</v>
      </c>
      <c r="E663" t="s">
        <v>1911</v>
      </c>
      <c r="F663" t="s">
        <v>2188</v>
      </c>
      <c r="G663" t="s">
        <v>2436</v>
      </c>
      <c r="H663" t="s">
        <v>2549</v>
      </c>
      <c r="I663" t="s">
        <v>2557</v>
      </c>
      <c r="J663" s="1">
        <f>HYPERLINK("https://ec.europa.eu/info/funding-tenders/opportunities/portal/screen/how-to-participate/org-details/966956432", "966956432")</f>
        <v>0</v>
      </c>
      <c r="K663" t="s">
        <v>2674</v>
      </c>
      <c r="L663" t="s">
        <v>2674</v>
      </c>
      <c r="M663" t="s">
        <v>2965</v>
      </c>
      <c r="N663" t="b">
        <v>0</v>
      </c>
      <c r="O663" t="s">
        <v>3003</v>
      </c>
      <c r="P663" t="s">
        <v>3176</v>
      </c>
      <c r="Q663">
        <v>4</v>
      </c>
      <c r="R663" t="s">
        <v>3345</v>
      </c>
      <c r="T663" s="2">
        <v>0</v>
      </c>
      <c r="U663" s="2">
        <v>85500</v>
      </c>
    </row>
    <row r="664" spans="1:21">
      <c r="A664" t="s">
        <v>22</v>
      </c>
      <c r="B664" s="1">
        <f>HYPERLINK("https://cordis.europa.eu/project/id/702971", "702971")</f>
        <v>0</v>
      </c>
      <c r="C664" t="s">
        <v>551</v>
      </c>
      <c r="D664" t="s">
        <v>1365</v>
      </c>
      <c r="E664" t="s">
        <v>1912</v>
      </c>
      <c r="F664" t="s">
        <v>2209</v>
      </c>
      <c r="G664" t="s">
        <v>2490</v>
      </c>
      <c r="H664" t="s">
        <v>2548</v>
      </c>
      <c r="I664" t="s">
        <v>2556</v>
      </c>
      <c r="J664" s="1">
        <f>HYPERLINK("https://ec.europa.eu/info/funding-tenders/opportunities/portal/screen/how-to-participate/org-details/998804636", "998804636")</f>
        <v>0</v>
      </c>
      <c r="K664" t="s">
        <v>2612</v>
      </c>
      <c r="L664" t="s">
        <v>2845</v>
      </c>
      <c r="M664" t="s">
        <v>2965</v>
      </c>
      <c r="N664" t="b">
        <v>0</v>
      </c>
      <c r="O664" t="s">
        <v>2998</v>
      </c>
      <c r="P664" t="s">
        <v>3164</v>
      </c>
      <c r="Q664">
        <v>2</v>
      </c>
      <c r="R664" t="s">
        <v>3345</v>
      </c>
      <c r="T664" s="2">
        <v>0</v>
      </c>
    </row>
    <row r="665" spans="1:21">
      <c r="A665" t="s">
        <v>22</v>
      </c>
      <c r="B665" s="1">
        <f>HYPERLINK("https://cordis.europa.eu/project/id/101027136", "101027136")</f>
        <v>0</v>
      </c>
      <c r="C665" t="s">
        <v>552</v>
      </c>
      <c r="D665" t="s">
        <v>1366</v>
      </c>
      <c r="E665" t="s">
        <v>1913</v>
      </c>
      <c r="F665" t="s">
        <v>2214</v>
      </c>
      <c r="G665" t="s">
        <v>2424</v>
      </c>
      <c r="H665" t="s">
        <v>2548</v>
      </c>
      <c r="I665" t="s">
        <v>2556</v>
      </c>
      <c r="J665" s="1">
        <f>HYPERLINK("https://ec.europa.eu/info/funding-tenders/opportunities/portal/screen/how-to-participate/org-details/986276989", "986276989")</f>
        <v>0</v>
      </c>
      <c r="K665" t="s">
        <v>2666</v>
      </c>
      <c r="L665" t="s">
        <v>2891</v>
      </c>
      <c r="M665" t="s">
        <v>2965</v>
      </c>
      <c r="N665" t="b">
        <v>0</v>
      </c>
      <c r="O665" t="s">
        <v>2998</v>
      </c>
      <c r="P665" t="s">
        <v>3166</v>
      </c>
      <c r="Q665">
        <v>2</v>
      </c>
      <c r="R665" t="s">
        <v>3345</v>
      </c>
      <c r="T665" s="2">
        <v>0</v>
      </c>
    </row>
    <row r="666" spans="1:21">
      <c r="A666" t="s">
        <v>22</v>
      </c>
      <c r="B666" s="1">
        <f>HYPERLINK("https://cordis.europa.eu/project/id/645717", "645717")</f>
        <v>0</v>
      </c>
      <c r="C666" t="s">
        <v>553</v>
      </c>
      <c r="D666" t="s">
        <v>1367</v>
      </c>
      <c r="E666" t="s">
        <v>1914</v>
      </c>
      <c r="F666" t="s">
        <v>2222</v>
      </c>
      <c r="G666" t="s">
        <v>2387</v>
      </c>
      <c r="H666" t="s">
        <v>2549</v>
      </c>
      <c r="I666" t="s">
        <v>2557</v>
      </c>
      <c r="J666" s="1">
        <f>HYPERLINK("https://ec.europa.eu/info/funding-tenders/opportunities/portal/screen/how-to-participate/org-details/998317211", "998317211")</f>
        <v>0</v>
      </c>
      <c r="K666" t="s">
        <v>2649</v>
      </c>
      <c r="M666" t="s">
        <v>2966</v>
      </c>
      <c r="N666" t="b">
        <v>0</v>
      </c>
      <c r="O666" t="s">
        <v>3003</v>
      </c>
      <c r="P666" t="s">
        <v>3175</v>
      </c>
      <c r="Q666">
        <v>7</v>
      </c>
      <c r="R666" t="s">
        <v>3345</v>
      </c>
      <c r="T666" s="2">
        <v>0</v>
      </c>
      <c r="U666" s="2">
        <v>45000</v>
      </c>
    </row>
    <row r="667" spans="1:21">
      <c r="A667" t="s">
        <v>22</v>
      </c>
      <c r="B667" s="1">
        <f>HYPERLINK("https://cordis.europa.eu/project/id/645717", "645717")</f>
        <v>0</v>
      </c>
      <c r="C667" t="s">
        <v>553</v>
      </c>
      <c r="D667" t="s">
        <v>1367</v>
      </c>
      <c r="E667" t="s">
        <v>1914</v>
      </c>
      <c r="F667" t="s">
        <v>2222</v>
      </c>
      <c r="G667" t="s">
        <v>2387</v>
      </c>
      <c r="H667" t="s">
        <v>2549</v>
      </c>
      <c r="I667" t="s">
        <v>2557</v>
      </c>
      <c r="J667" s="1">
        <f>HYPERLINK("https://ec.europa.eu/info/funding-tenders/opportunities/portal/screen/how-to-participate/org-details/999613131", "999613131")</f>
        <v>0</v>
      </c>
      <c r="K667" t="s">
        <v>2591</v>
      </c>
      <c r="L667" t="s">
        <v>2831</v>
      </c>
      <c r="M667" t="s">
        <v>2965</v>
      </c>
      <c r="N667" t="b">
        <v>0</v>
      </c>
      <c r="O667" t="s">
        <v>3003</v>
      </c>
      <c r="P667" t="s">
        <v>3175</v>
      </c>
      <c r="Q667">
        <v>6</v>
      </c>
      <c r="R667" t="s">
        <v>3345</v>
      </c>
      <c r="T667" s="2">
        <v>0</v>
      </c>
      <c r="U667" s="2">
        <v>81000</v>
      </c>
    </row>
    <row r="668" spans="1:21">
      <c r="A668" t="s">
        <v>22</v>
      </c>
      <c r="B668" s="1">
        <f>HYPERLINK("https://cordis.europa.eu/project/id/657853", "657853")</f>
        <v>0</v>
      </c>
      <c r="C668" t="s">
        <v>554</v>
      </c>
      <c r="D668" t="s">
        <v>1368</v>
      </c>
      <c r="E668" t="s">
        <v>1799</v>
      </c>
      <c r="F668" t="s">
        <v>2273</v>
      </c>
      <c r="G668" t="s">
        <v>2382</v>
      </c>
      <c r="H668" t="s">
        <v>2548</v>
      </c>
      <c r="I668" t="s">
        <v>2556</v>
      </c>
      <c r="J668" s="1">
        <f>HYPERLINK("https://ec.europa.eu/info/funding-tenders/opportunities/portal/screen/how-to-participate/org-details/998804636", "998804636")</f>
        <v>0</v>
      </c>
      <c r="K668" t="s">
        <v>2612</v>
      </c>
      <c r="L668" t="s">
        <v>2845</v>
      </c>
      <c r="M668" t="s">
        <v>2965</v>
      </c>
      <c r="N668" t="b">
        <v>0</v>
      </c>
      <c r="O668" t="s">
        <v>2997</v>
      </c>
      <c r="P668" t="s">
        <v>3165</v>
      </c>
      <c r="Q668">
        <v>2</v>
      </c>
      <c r="R668" t="s">
        <v>3345</v>
      </c>
      <c r="T668" s="2">
        <v>0</v>
      </c>
    </row>
    <row r="669" spans="1:21">
      <c r="A669" t="s">
        <v>22</v>
      </c>
      <c r="B669" s="1">
        <f>HYPERLINK("https://cordis.europa.eu/project/id/760891", "760891")</f>
        <v>0</v>
      </c>
      <c r="C669" t="s">
        <v>45</v>
      </c>
      <c r="D669" t="s">
        <v>1369</v>
      </c>
      <c r="E669" t="s">
        <v>1915</v>
      </c>
      <c r="F669" t="s">
        <v>2199</v>
      </c>
      <c r="G669" t="s">
        <v>2433</v>
      </c>
      <c r="H669" t="s">
        <v>2549</v>
      </c>
      <c r="I669" t="s">
        <v>2557</v>
      </c>
      <c r="J669" s="1">
        <f>HYPERLINK("https://ec.europa.eu/info/funding-tenders/opportunities/portal/screen/how-to-participate/org-details/998317211", "998317211")</f>
        <v>0</v>
      </c>
      <c r="K669" t="s">
        <v>2649</v>
      </c>
      <c r="M669" t="s">
        <v>2966</v>
      </c>
      <c r="N669" t="b">
        <v>0</v>
      </c>
      <c r="O669" t="s">
        <v>2993</v>
      </c>
      <c r="P669" t="s">
        <v>3260</v>
      </c>
      <c r="Q669">
        <v>4</v>
      </c>
      <c r="R669" t="s">
        <v>3342</v>
      </c>
      <c r="S669" s="2">
        <v>0</v>
      </c>
      <c r="T669" s="2">
        <v>0</v>
      </c>
      <c r="U669" s="2">
        <v>318750</v>
      </c>
    </row>
    <row r="670" spans="1:21">
      <c r="A670" t="s">
        <v>22</v>
      </c>
      <c r="B670" s="1">
        <f>HYPERLINK("https://cordis.europa.eu/project/id/702601", "702601")</f>
        <v>0</v>
      </c>
      <c r="C670" t="s">
        <v>555</v>
      </c>
      <c r="D670" t="s">
        <v>1370</v>
      </c>
      <c r="E670" t="s">
        <v>1689</v>
      </c>
      <c r="F670" t="s">
        <v>2274</v>
      </c>
      <c r="G670" t="s">
        <v>2480</v>
      </c>
      <c r="H670" t="s">
        <v>2548</v>
      </c>
      <c r="I670" t="s">
        <v>2556</v>
      </c>
      <c r="J670" s="1">
        <f>HYPERLINK("https://ec.europa.eu/info/funding-tenders/opportunities/portal/screen/how-to-participate/org-details/996491768", "996491768")</f>
        <v>0</v>
      </c>
      <c r="K670" t="s">
        <v>2625</v>
      </c>
      <c r="L670" t="s">
        <v>2856</v>
      </c>
      <c r="M670" t="s">
        <v>2966</v>
      </c>
      <c r="N670" t="b">
        <v>0</v>
      </c>
      <c r="O670" t="s">
        <v>2998</v>
      </c>
      <c r="P670" t="s">
        <v>3164</v>
      </c>
      <c r="Q670">
        <v>2</v>
      </c>
      <c r="R670" t="s">
        <v>3345</v>
      </c>
      <c r="T670" s="2">
        <v>0</v>
      </c>
    </row>
    <row r="671" spans="1:21">
      <c r="A671" t="s">
        <v>22</v>
      </c>
      <c r="B671" s="1">
        <f>HYPERLINK("https://cordis.europa.eu/project/id/101008231", "101008231")</f>
        <v>0</v>
      </c>
      <c r="C671" t="s">
        <v>556</v>
      </c>
      <c r="D671" t="s">
        <v>1371</v>
      </c>
      <c r="E671" t="s">
        <v>1916</v>
      </c>
      <c r="F671" t="s">
        <v>2187</v>
      </c>
      <c r="G671" t="s">
        <v>2502</v>
      </c>
      <c r="H671" t="s">
        <v>2548</v>
      </c>
      <c r="I671" t="s">
        <v>2556</v>
      </c>
      <c r="J671" s="1">
        <f>HYPERLINK("https://ec.europa.eu/info/funding-tenders/opportunities/portal/screen/how-to-participate/org-details/996231614", "996231614")</f>
        <v>0</v>
      </c>
      <c r="K671" t="s">
        <v>2652</v>
      </c>
      <c r="L671" t="s">
        <v>2652</v>
      </c>
      <c r="M671" t="s">
        <v>2965</v>
      </c>
      <c r="N671" t="b">
        <v>0</v>
      </c>
      <c r="O671" t="s">
        <v>3003</v>
      </c>
      <c r="P671" t="s">
        <v>3216</v>
      </c>
      <c r="Q671">
        <v>14</v>
      </c>
      <c r="R671" t="s">
        <v>3345</v>
      </c>
      <c r="T671" s="2">
        <v>0</v>
      </c>
      <c r="U671" s="2">
        <v>0</v>
      </c>
    </row>
    <row r="672" spans="1:21">
      <c r="A672" t="s">
        <v>22</v>
      </c>
      <c r="B672" s="1">
        <f>HYPERLINK("https://cordis.europa.eu/project/id/101008231", "101008231")</f>
        <v>0</v>
      </c>
      <c r="C672" t="s">
        <v>556</v>
      </c>
      <c r="D672" t="s">
        <v>1371</v>
      </c>
      <c r="E672" t="s">
        <v>1916</v>
      </c>
      <c r="F672" t="s">
        <v>2187</v>
      </c>
      <c r="G672" t="s">
        <v>2502</v>
      </c>
      <c r="H672" t="s">
        <v>2548</v>
      </c>
      <c r="I672" t="s">
        <v>2556</v>
      </c>
      <c r="J672" s="1">
        <f>HYPERLINK("https://ec.europa.eu/info/funding-tenders/opportunities/portal/screen/how-to-participate/org-details/915443903", "915443903")</f>
        <v>0</v>
      </c>
      <c r="K672" t="s">
        <v>2762</v>
      </c>
      <c r="L672" t="s">
        <v>2944</v>
      </c>
      <c r="M672" t="s">
        <v>2967</v>
      </c>
      <c r="N672" t="b">
        <v>0</v>
      </c>
      <c r="O672" t="s">
        <v>3003</v>
      </c>
      <c r="P672" t="s">
        <v>3216</v>
      </c>
      <c r="Q672">
        <v>18</v>
      </c>
      <c r="R672" t="s">
        <v>3345</v>
      </c>
      <c r="T672" s="2">
        <v>0</v>
      </c>
      <c r="U672" s="2">
        <v>0</v>
      </c>
    </row>
    <row r="673" spans="1:21">
      <c r="A673" t="s">
        <v>22</v>
      </c>
      <c r="B673" s="1">
        <f>HYPERLINK("https://cordis.europa.eu/project/id/778010", "778010")</f>
        <v>0</v>
      </c>
      <c r="C673" t="s">
        <v>557</v>
      </c>
      <c r="D673" t="s">
        <v>1372</v>
      </c>
      <c r="E673" t="s">
        <v>1832</v>
      </c>
      <c r="F673" t="s">
        <v>2199</v>
      </c>
      <c r="G673" t="s">
        <v>2417</v>
      </c>
      <c r="H673" t="s">
        <v>2549</v>
      </c>
      <c r="I673" t="s">
        <v>2557</v>
      </c>
      <c r="J673" s="1">
        <f>HYPERLINK("https://ec.europa.eu/info/funding-tenders/opportunities/portal/screen/how-to-participate/org-details/998331567", "998331567")</f>
        <v>0</v>
      </c>
      <c r="K673" t="s">
        <v>2573</v>
      </c>
      <c r="M673" t="s">
        <v>2965</v>
      </c>
      <c r="N673" t="b">
        <v>0</v>
      </c>
      <c r="O673" t="s">
        <v>3003</v>
      </c>
      <c r="P673" t="s">
        <v>3173</v>
      </c>
      <c r="Q673">
        <v>6</v>
      </c>
      <c r="R673" t="s">
        <v>3345</v>
      </c>
      <c r="T673" s="2">
        <v>0</v>
      </c>
      <c r="U673" s="2">
        <v>72000</v>
      </c>
    </row>
    <row r="674" spans="1:21">
      <c r="A674" t="s">
        <v>22</v>
      </c>
      <c r="B674" s="1">
        <f>HYPERLINK("https://cordis.europa.eu/project/id/778010", "778010")</f>
        <v>0</v>
      </c>
      <c r="C674" t="s">
        <v>557</v>
      </c>
      <c r="D674" t="s">
        <v>1372</v>
      </c>
      <c r="E674" t="s">
        <v>1832</v>
      </c>
      <c r="F674" t="s">
        <v>2199</v>
      </c>
      <c r="G674" t="s">
        <v>2417</v>
      </c>
      <c r="H674" t="s">
        <v>2548</v>
      </c>
      <c r="I674" t="s">
        <v>2556</v>
      </c>
      <c r="J674" s="1">
        <f>HYPERLINK("https://ec.europa.eu/info/funding-tenders/opportunities/portal/screen/how-to-participate/org-details/999902773", "999902773")</f>
        <v>0</v>
      </c>
      <c r="K674" t="s">
        <v>2571</v>
      </c>
      <c r="L674" t="s">
        <v>2814</v>
      </c>
      <c r="M674" t="s">
        <v>2965</v>
      </c>
      <c r="N674" t="b">
        <v>0</v>
      </c>
      <c r="O674" t="s">
        <v>3003</v>
      </c>
      <c r="P674" t="s">
        <v>3173</v>
      </c>
      <c r="Q674">
        <v>7</v>
      </c>
      <c r="R674" t="s">
        <v>3345</v>
      </c>
      <c r="T674" s="2">
        <v>0</v>
      </c>
      <c r="U674" s="2">
        <v>81000</v>
      </c>
    </row>
    <row r="675" spans="1:21">
      <c r="A675" t="s">
        <v>22</v>
      </c>
      <c r="B675" s="1">
        <f>HYPERLINK("https://cordis.europa.eu/project/id/884931", "884931")</f>
        <v>0</v>
      </c>
      <c r="C675" t="s">
        <v>558</v>
      </c>
      <c r="D675" t="s">
        <v>1373</v>
      </c>
      <c r="E675" t="s">
        <v>1686</v>
      </c>
      <c r="F675" t="s">
        <v>2193</v>
      </c>
      <c r="G675" t="s">
        <v>2417</v>
      </c>
      <c r="H675" t="s">
        <v>2548</v>
      </c>
      <c r="I675" t="s">
        <v>2556</v>
      </c>
      <c r="J675" s="1">
        <f>HYPERLINK("https://ec.europa.eu/info/funding-tenders/opportunities/portal/screen/how-to-participate/org-details/999894043", "999894043")</f>
        <v>0</v>
      </c>
      <c r="K675" t="s">
        <v>2568</v>
      </c>
      <c r="L675" t="s">
        <v>2812</v>
      </c>
      <c r="M675" t="s">
        <v>2965</v>
      </c>
      <c r="N675" t="b">
        <v>0</v>
      </c>
      <c r="O675" t="s">
        <v>2997</v>
      </c>
      <c r="P675" t="s">
        <v>3162</v>
      </c>
      <c r="Q675">
        <v>2</v>
      </c>
      <c r="R675" t="s">
        <v>3345</v>
      </c>
      <c r="T675" s="2">
        <v>0</v>
      </c>
    </row>
    <row r="676" spans="1:21">
      <c r="A676" t="s">
        <v>22</v>
      </c>
      <c r="B676" s="1">
        <f>HYPERLINK("https://cordis.europa.eu/project/id/706415", "706415")</f>
        <v>0</v>
      </c>
      <c r="C676" t="s">
        <v>559</v>
      </c>
      <c r="D676" t="s">
        <v>1374</v>
      </c>
      <c r="E676" t="s">
        <v>1917</v>
      </c>
      <c r="F676" t="s">
        <v>2250</v>
      </c>
      <c r="G676" t="s">
        <v>2475</v>
      </c>
      <c r="H676" t="s">
        <v>2548</v>
      </c>
      <c r="I676" t="s">
        <v>2556</v>
      </c>
      <c r="J676" s="1">
        <f>HYPERLINK("https://ec.europa.eu/info/funding-tenders/opportunities/portal/screen/how-to-participate/org-details/998225740", "998225740")</f>
        <v>0</v>
      </c>
      <c r="K676" t="s">
        <v>2637</v>
      </c>
      <c r="M676" t="s">
        <v>2965</v>
      </c>
      <c r="N676" t="b">
        <v>0</v>
      </c>
      <c r="O676" t="s">
        <v>2998</v>
      </c>
      <c r="P676" t="s">
        <v>3164</v>
      </c>
      <c r="Q676">
        <v>2</v>
      </c>
      <c r="R676" t="s">
        <v>3345</v>
      </c>
      <c r="T676" s="2">
        <v>0</v>
      </c>
    </row>
    <row r="677" spans="1:21">
      <c r="A677" t="s">
        <v>22</v>
      </c>
      <c r="B677" s="1">
        <f>HYPERLINK("https://cordis.europa.eu/project/id/714478", "714478")</f>
        <v>0</v>
      </c>
      <c r="C677" t="s">
        <v>560</v>
      </c>
      <c r="D677" t="s">
        <v>1375</v>
      </c>
      <c r="E677" t="s">
        <v>1833</v>
      </c>
      <c r="F677" t="s">
        <v>2223</v>
      </c>
      <c r="G677" t="s">
        <v>2433</v>
      </c>
      <c r="H677" t="s">
        <v>2549</v>
      </c>
      <c r="I677" t="s">
        <v>2557</v>
      </c>
      <c r="J677" s="1">
        <f>HYPERLINK("https://ec.europa.eu/info/funding-tenders/opportunities/portal/screen/how-to-participate/org-details/998331567", "998331567")</f>
        <v>0</v>
      </c>
      <c r="K677" t="s">
        <v>2573</v>
      </c>
      <c r="M677" t="s">
        <v>2965</v>
      </c>
      <c r="N677" t="b">
        <v>0</v>
      </c>
      <c r="O677" t="s">
        <v>3006</v>
      </c>
      <c r="P677" t="s">
        <v>3255</v>
      </c>
      <c r="Q677">
        <v>2</v>
      </c>
      <c r="R677" t="s">
        <v>3342</v>
      </c>
      <c r="S677" s="2">
        <v>62500</v>
      </c>
      <c r="T677" s="2">
        <v>62500</v>
      </c>
      <c r="U677" s="2">
        <v>62500</v>
      </c>
    </row>
    <row r="678" spans="1:21">
      <c r="A678" t="s">
        <v>22</v>
      </c>
      <c r="B678" s="1">
        <f>HYPERLINK("https://cordis.europa.eu/project/id/656647", "656647")</f>
        <v>0</v>
      </c>
      <c r="C678" t="s">
        <v>561</v>
      </c>
      <c r="D678" t="s">
        <v>1376</v>
      </c>
      <c r="E678" t="s">
        <v>1918</v>
      </c>
      <c r="F678" t="s">
        <v>2226</v>
      </c>
      <c r="G678" t="s">
        <v>2396</v>
      </c>
      <c r="H678" t="s">
        <v>2548</v>
      </c>
      <c r="I678" t="s">
        <v>2556</v>
      </c>
      <c r="J678" s="1">
        <f>HYPERLINK("https://ec.europa.eu/info/funding-tenders/opportunities/portal/screen/how-to-participate/org-details/999902773", "999902773")</f>
        <v>0</v>
      </c>
      <c r="K678" t="s">
        <v>2571</v>
      </c>
      <c r="L678" t="s">
        <v>2814</v>
      </c>
      <c r="M678" t="s">
        <v>2965</v>
      </c>
      <c r="N678" t="b">
        <v>0</v>
      </c>
      <c r="O678" t="s">
        <v>2998</v>
      </c>
      <c r="P678" t="s">
        <v>3165</v>
      </c>
      <c r="Q678">
        <v>2</v>
      </c>
      <c r="R678" t="s">
        <v>3345</v>
      </c>
      <c r="T678" s="2">
        <v>0</v>
      </c>
    </row>
    <row r="679" spans="1:21">
      <c r="A679" t="s">
        <v>22</v>
      </c>
      <c r="B679" s="1">
        <f>HYPERLINK("https://cordis.europa.eu/project/id/642241", "642241")</f>
        <v>0</v>
      </c>
      <c r="C679" t="s">
        <v>562</v>
      </c>
      <c r="D679" t="s">
        <v>1377</v>
      </c>
      <c r="E679" t="s">
        <v>1658</v>
      </c>
      <c r="F679" t="s">
        <v>2222</v>
      </c>
      <c r="G679" t="s">
        <v>2387</v>
      </c>
      <c r="H679" t="s">
        <v>2549</v>
      </c>
      <c r="I679" t="s">
        <v>2557</v>
      </c>
      <c r="J679" s="1">
        <f>HYPERLINK("https://ec.europa.eu/info/funding-tenders/opportunities/portal/screen/how-to-participate/org-details/996569368", "996569368")</f>
        <v>0</v>
      </c>
      <c r="K679" t="s">
        <v>2598</v>
      </c>
      <c r="L679" t="s">
        <v>2836</v>
      </c>
      <c r="M679" t="s">
        <v>2966</v>
      </c>
      <c r="N679" t="b">
        <v>0</v>
      </c>
      <c r="O679" t="s">
        <v>3002</v>
      </c>
      <c r="P679" t="s">
        <v>3188</v>
      </c>
      <c r="Q679">
        <v>18</v>
      </c>
      <c r="R679" t="s">
        <v>3345</v>
      </c>
      <c r="T679" s="2">
        <v>0</v>
      </c>
      <c r="U679" s="2">
        <v>0</v>
      </c>
    </row>
    <row r="680" spans="1:21">
      <c r="A680" t="s">
        <v>22</v>
      </c>
      <c r="B680" s="1">
        <f>HYPERLINK("https://cordis.europa.eu/project/id/101033050", "101033050")</f>
        <v>0</v>
      </c>
      <c r="C680" t="s">
        <v>563</v>
      </c>
      <c r="D680" t="s">
        <v>1378</v>
      </c>
      <c r="E680" t="s">
        <v>1919</v>
      </c>
      <c r="F680" t="s">
        <v>2217</v>
      </c>
      <c r="G680" t="s">
        <v>2429</v>
      </c>
      <c r="H680" t="s">
        <v>2548</v>
      </c>
      <c r="I680" t="s">
        <v>2556</v>
      </c>
      <c r="J680" s="1">
        <f>HYPERLINK("https://ec.europa.eu/info/funding-tenders/opportunities/portal/screen/how-to-participate/org-details/997400464", "997400464")</f>
        <v>0</v>
      </c>
      <c r="K680" t="s">
        <v>2663</v>
      </c>
      <c r="L680" t="s">
        <v>2888</v>
      </c>
      <c r="M680" t="s">
        <v>2969</v>
      </c>
      <c r="N680" t="b">
        <v>0</v>
      </c>
      <c r="O680" t="s">
        <v>2997</v>
      </c>
      <c r="P680" t="s">
        <v>3166</v>
      </c>
      <c r="Q680">
        <v>2</v>
      </c>
      <c r="R680" t="s">
        <v>3345</v>
      </c>
      <c r="T680" s="2">
        <v>0</v>
      </c>
    </row>
    <row r="681" spans="1:21">
      <c r="A681" t="s">
        <v>22</v>
      </c>
      <c r="B681" s="1">
        <f>HYPERLINK("https://cordis.europa.eu/project/id/818116", "818116")</f>
        <v>0</v>
      </c>
      <c r="C681" t="s">
        <v>564</v>
      </c>
      <c r="D681" t="s">
        <v>1379</v>
      </c>
      <c r="E681" t="s">
        <v>1920</v>
      </c>
      <c r="F681" t="s">
        <v>2237</v>
      </c>
      <c r="G681" t="s">
        <v>2406</v>
      </c>
      <c r="H681" t="s">
        <v>2548</v>
      </c>
      <c r="I681" t="s">
        <v>2556</v>
      </c>
      <c r="J681" s="1">
        <f>HYPERLINK("https://ec.europa.eu/info/funding-tenders/opportunities/portal/screen/how-to-participate/org-details/996231614", "996231614")</f>
        <v>0</v>
      </c>
      <c r="K681" t="s">
        <v>2652</v>
      </c>
      <c r="L681" t="s">
        <v>2652</v>
      </c>
      <c r="M681" t="s">
        <v>2965</v>
      </c>
      <c r="N681" t="b">
        <v>0</v>
      </c>
      <c r="O681" t="s">
        <v>2985</v>
      </c>
      <c r="P681" t="s">
        <v>3224</v>
      </c>
      <c r="Q681">
        <v>21</v>
      </c>
      <c r="R681" t="s">
        <v>3342</v>
      </c>
      <c r="S681" s="2">
        <v>51250</v>
      </c>
      <c r="T681" s="2">
        <v>51250</v>
      </c>
      <c r="U681" s="2">
        <v>51250</v>
      </c>
    </row>
    <row r="682" spans="1:21">
      <c r="A682" t="s">
        <v>22</v>
      </c>
      <c r="B682" s="1">
        <f>HYPERLINK("https://cordis.europa.eu/project/id/818116", "818116")</f>
        <v>0</v>
      </c>
      <c r="C682" t="s">
        <v>564</v>
      </c>
      <c r="D682" t="s">
        <v>1379</v>
      </c>
      <c r="E682" t="s">
        <v>1920</v>
      </c>
      <c r="F682" t="s">
        <v>2237</v>
      </c>
      <c r="G682" t="s">
        <v>2406</v>
      </c>
      <c r="H682" t="s">
        <v>2549</v>
      </c>
      <c r="I682" t="s">
        <v>2557</v>
      </c>
      <c r="J682" s="1">
        <f>HYPERLINK("https://ec.europa.eu/info/funding-tenders/opportunities/portal/screen/how-to-participate/org-details/991108074", "991108074")</f>
        <v>0</v>
      </c>
      <c r="K682" t="s">
        <v>2695</v>
      </c>
      <c r="L682" t="s">
        <v>2912</v>
      </c>
      <c r="M682" t="s">
        <v>2967</v>
      </c>
      <c r="N682" t="b">
        <v>0</v>
      </c>
      <c r="O682" t="s">
        <v>2985</v>
      </c>
      <c r="P682" t="s">
        <v>3224</v>
      </c>
      <c r="Q682">
        <v>1</v>
      </c>
      <c r="R682" t="s">
        <v>3344</v>
      </c>
      <c r="S682" s="2">
        <v>0</v>
      </c>
      <c r="T682" s="2">
        <v>0</v>
      </c>
      <c r="U682" s="2">
        <v>35000</v>
      </c>
    </row>
    <row r="683" spans="1:21">
      <c r="A683" t="s">
        <v>22</v>
      </c>
      <c r="B683" s="1">
        <f>HYPERLINK("https://cordis.europa.eu/project/id/733296", "733296")</f>
        <v>0</v>
      </c>
      <c r="C683" t="s">
        <v>565</v>
      </c>
      <c r="D683" t="s">
        <v>1380</v>
      </c>
      <c r="E683" t="s">
        <v>1921</v>
      </c>
      <c r="F683" t="s">
        <v>2223</v>
      </c>
      <c r="G683" t="s">
        <v>2446</v>
      </c>
      <c r="H683" t="s">
        <v>2548</v>
      </c>
      <c r="I683" t="s">
        <v>2556</v>
      </c>
      <c r="J683" s="1">
        <f>HYPERLINK("https://ec.europa.eu/info/funding-tenders/opportunities/portal/screen/how-to-participate/org-details/960368386", "960368386")</f>
        <v>0</v>
      </c>
      <c r="K683" t="s">
        <v>2622</v>
      </c>
      <c r="L683" t="s">
        <v>2853</v>
      </c>
      <c r="M683" t="s">
        <v>2969</v>
      </c>
      <c r="N683" t="b">
        <v>0</v>
      </c>
      <c r="O683" t="s">
        <v>2985</v>
      </c>
      <c r="P683" t="s">
        <v>3212</v>
      </c>
      <c r="Q683">
        <v>14</v>
      </c>
      <c r="R683" t="s">
        <v>3342</v>
      </c>
      <c r="S683" s="2">
        <v>0</v>
      </c>
      <c r="T683" s="2">
        <v>0</v>
      </c>
      <c r="U683" s="2">
        <v>62500</v>
      </c>
    </row>
    <row r="684" spans="1:21">
      <c r="A684" t="s">
        <v>22</v>
      </c>
      <c r="B684" s="1">
        <f>HYPERLINK("https://cordis.europa.eu/project/id/681137", "681137")</f>
        <v>0</v>
      </c>
      <c r="C684" t="s">
        <v>566</v>
      </c>
      <c r="D684" t="s">
        <v>1381</v>
      </c>
      <c r="E684" t="s">
        <v>1922</v>
      </c>
      <c r="F684" t="s">
        <v>2255</v>
      </c>
      <c r="G684" t="s">
        <v>2433</v>
      </c>
      <c r="H684" t="s">
        <v>2548</v>
      </c>
      <c r="I684" t="s">
        <v>2556</v>
      </c>
      <c r="J684" s="1">
        <f>HYPERLINK("https://ec.europa.eu/info/funding-tenders/opportunities/portal/screen/how-to-participate/org-details/988059752", "988059752")</f>
        <v>0</v>
      </c>
      <c r="K684" t="s">
        <v>2564</v>
      </c>
      <c r="L684" t="s">
        <v>2809</v>
      </c>
      <c r="M684" t="s">
        <v>2965</v>
      </c>
      <c r="N684" t="b">
        <v>0</v>
      </c>
      <c r="O684" t="s">
        <v>2993</v>
      </c>
      <c r="P684" t="s">
        <v>3261</v>
      </c>
      <c r="Q684">
        <v>15</v>
      </c>
      <c r="R684" t="s">
        <v>3342</v>
      </c>
      <c r="S684" s="2">
        <v>0</v>
      </c>
      <c r="T684" s="2">
        <v>0</v>
      </c>
      <c r="U684" s="2">
        <v>386600</v>
      </c>
    </row>
    <row r="685" spans="1:21">
      <c r="A685" t="s">
        <v>22</v>
      </c>
      <c r="B685" s="1">
        <f>HYPERLINK("https://cordis.europa.eu/project/id/774548", "774548")</f>
        <v>0</v>
      </c>
      <c r="C685" t="s">
        <v>28</v>
      </c>
      <c r="D685" t="s">
        <v>1382</v>
      </c>
      <c r="E685" t="s">
        <v>1796</v>
      </c>
      <c r="F685" t="s">
        <v>2253</v>
      </c>
      <c r="G685" t="s">
        <v>2466</v>
      </c>
      <c r="H685" t="s">
        <v>2549</v>
      </c>
      <c r="I685" t="s">
        <v>2557</v>
      </c>
      <c r="J685" s="1">
        <f>HYPERLINK("https://ec.europa.eu/info/funding-tenders/opportunities/portal/screen/how-to-participate/org-details/999613131", "999613131")</f>
        <v>0</v>
      </c>
      <c r="K685" t="s">
        <v>2591</v>
      </c>
      <c r="L685" t="s">
        <v>2831</v>
      </c>
      <c r="M685" t="s">
        <v>2965</v>
      </c>
      <c r="N685" t="b">
        <v>0</v>
      </c>
      <c r="O685" t="s">
        <v>2993</v>
      </c>
      <c r="P685" t="s">
        <v>3184</v>
      </c>
      <c r="Q685">
        <v>15</v>
      </c>
      <c r="R685" t="s">
        <v>3342</v>
      </c>
      <c r="S685" s="2">
        <v>0</v>
      </c>
      <c r="T685" s="2">
        <v>0</v>
      </c>
      <c r="U685" s="2">
        <v>120000</v>
      </c>
    </row>
    <row r="686" spans="1:21">
      <c r="A686" t="s">
        <v>22</v>
      </c>
      <c r="B686" s="1">
        <f>HYPERLINK("https://cordis.europa.eu/project/id/875025", "875025")</f>
        <v>0</v>
      </c>
      <c r="C686" t="s">
        <v>567</v>
      </c>
      <c r="D686" t="s">
        <v>1383</v>
      </c>
      <c r="E686" t="s">
        <v>1923</v>
      </c>
      <c r="F686" t="s">
        <v>2180</v>
      </c>
      <c r="G686" t="s">
        <v>2428</v>
      </c>
      <c r="H686" t="s">
        <v>2548</v>
      </c>
      <c r="I686" t="s">
        <v>2556</v>
      </c>
      <c r="J686" s="1">
        <f>HYPERLINK("https://ec.europa.eu/info/funding-tenders/opportunities/portal/screen/how-to-participate/org-details/998757203", "998757203")</f>
        <v>0</v>
      </c>
      <c r="K686" t="s">
        <v>2575</v>
      </c>
      <c r="L686" t="s">
        <v>2817</v>
      </c>
      <c r="M686" t="s">
        <v>2965</v>
      </c>
      <c r="N686" t="b">
        <v>0</v>
      </c>
      <c r="O686" t="s">
        <v>2993</v>
      </c>
      <c r="P686" t="s">
        <v>3205</v>
      </c>
      <c r="Q686">
        <v>10</v>
      </c>
      <c r="R686" t="s">
        <v>3342</v>
      </c>
      <c r="S686" s="2">
        <v>0</v>
      </c>
      <c r="T686" s="2">
        <v>0</v>
      </c>
      <c r="U686" s="2">
        <v>90000</v>
      </c>
    </row>
    <row r="687" spans="1:21">
      <c r="A687" t="s">
        <v>22</v>
      </c>
      <c r="B687" s="1">
        <f>HYPERLINK("https://cordis.europa.eu/project/id/952911", "952911")</f>
        <v>0</v>
      </c>
      <c r="C687" t="s">
        <v>568</v>
      </c>
      <c r="D687" t="s">
        <v>1384</v>
      </c>
      <c r="E687" t="s">
        <v>1924</v>
      </c>
      <c r="F687" t="s">
        <v>2201</v>
      </c>
      <c r="G687" t="s">
        <v>2428</v>
      </c>
      <c r="H687" t="s">
        <v>2548</v>
      </c>
      <c r="I687" t="s">
        <v>2556</v>
      </c>
      <c r="J687" s="1">
        <f>HYPERLINK("https://ec.europa.eu/info/funding-tenders/opportunities/portal/screen/how-to-participate/org-details/897235257", "897235257")</f>
        <v>0</v>
      </c>
      <c r="K687" t="s">
        <v>2723</v>
      </c>
      <c r="L687" t="s">
        <v>2926</v>
      </c>
      <c r="M687" t="s">
        <v>2967</v>
      </c>
      <c r="N687" t="b">
        <v>1</v>
      </c>
      <c r="O687" t="s">
        <v>2994</v>
      </c>
      <c r="P687" t="s">
        <v>3262</v>
      </c>
      <c r="Q687">
        <v>4</v>
      </c>
      <c r="R687" t="s">
        <v>3342</v>
      </c>
      <c r="S687" s="2">
        <v>0</v>
      </c>
      <c r="T687" s="2">
        <v>0</v>
      </c>
      <c r="U687" s="2">
        <v>635000</v>
      </c>
    </row>
    <row r="688" spans="1:21">
      <c r="A688" t="s">
        <v>22</v>
      </c>
      <c r="B688" s="1">
        <f>HYPERLINK("https://cordis.europa.eu/project/id/634179", "634179")</f>
        <v>0</v>
      </c>
      <c r="C688" t="s">
        <v>569</v>
      </c>
      <c r="D688" t="s">
        <v>1385</v>
      </c>
      <c r="E688" t="s">
        <v>1925</v>
      </c>
      <c r="F688" t="s">
        <v>2179</v>
      </c>
      <c r="G688" t="s">
        <v>2468</v>
      </c>
      <c r="H688" t="s">
        <v>2548</v>
      </c>
      <c r="I688" t="s">
        <v>2556</v>
      </c>
      <c r="J688" s="1">
        <f>HYPERLINK("https://ec.europa.eu/info/funding-tenders/opportunities/portal/screen/how-to-participate/org-details/946871321", "946871321")</f>
        <v>0</v>
      </c>
      <c r="K688" t="s">
        <v>2763</v>
      </c>
      <c r="L688" t="s">
        <v>2945</v>
      </c>
      <c r="M688" t="s">
        <v>2967</v>
      </c>
      <c r="N688" t="b">
        <v>0</v>
      </c>
      <c r="O688" t="s">
        <v>2993</v>
      </c>
      <c r="P688" t="s">
        <v>3249</v>
      </c>
      <c r="Q688">
        <v>19</v>
      </c>
      <c r="R688" t="s">
        <v>3342</v>
      </c>
      <c r="S688" s="2">
        <v>0</v>
      </c>
      <c r="T688" s="2">
        <v>0</v>
      </c>
      <c r="U688" s="2">
        <v>110000</v>
      </c>
    </row>
    <row r="689" spans="1:21">
      <c r="A689" t="s">
        <v>22</v>
      </c>
      <c r="B689" s="1">
        <f>HYPERLINK("https://cordis.europa.eu/project/id/690893", "690893")</f>
        <v>0</v>
      </c>
      <c r="C689" t="s">
        <v>570</v>
      </c>
      <c r="D689" t="s">
        <v>1386</v>
      </c>
      <c r="E689" t="s">
        <v>1926</v>
      </c>
      <c r="F689" t="s">
        <v>2185</v>
      </c>
      <c r="G689" t="s">
        <v>2322</v>
      </c>
      <c r="H689" t="s">
        <v>2548</v>
      </c>
      <c r="I689" t="s">
        <v>2556</v>
      </c>
      <c r="J689" s="1">
        <f>HYPERLINK("https://ec.europa.eu/info/funding-tenders/opportunities/portal/screen/how-to-participate/org-details/999879978", "999879978")</f>
        <v>0</v>
      </c>
      <c r="K689" t="s">
        <v>2615</v>
      </c>
      <c r="M689" t="s">
        <v>2965</v>
      </c>
      <c r="N689" t="b">
        <v>0</v>
      </c>
      <c r="O689" t="s">
        <v>3003</v>
      </c>
      <c r="P689" t="s">
        <v>3176</v>
      </c>
      <c r="Q689">
        <v>7</v>
      </c>
      <c r="R689" t="s">
        <v>3345</v>
      </c>
      <c r="T689" s="2">
        <v>0</v>
      </c>
      <c r="U689" s="2">
        <v>18000</v>
      </c>
    </row>
    <row r="690" spans="1:21">
      <c r="A690" t="s">
        <v>22</v>
      </c>
      <c r="B690" s="1">
        <f>HYPERLINK("https://cordis.europa.eu/project/id/765579", "765579")</f>
        <v>0</v>
      </c>
      <c r="C690" t="s">
        <v>571</v>
      </c>
      <c r="D690" t="s">
        <v>1387</v>
      </c>
      <c r="E690" t="s">
        <v>1927</v>
      </c>
      <c r="F690" t="s">
        <v>2200</v>
      </c>
      <c r="G690" t="s">
        <v>2465</v>
      </c>
      <c r="H690" t="s">
        <v>2548</v>
      </c>
      <c r="I690" t="s">
        <v>2556</v>
      </c>
      <c r="J690" s="1">
        <f>HYPERLINK("https://ec.europa.eu/info/funding-tenders/opportunities/portal/screen/how-to-participate/org-details/996231614", "996231614")</f>
        <v>0</v>
      </c>
      <c r="K690" t="s">
        <v>2652</v>
      </c>
      <c r="L690" t="s">
        <v>2652</v>
      </c>
      <c r="M690" t="s">
        <v>2965</v>
      </c>
      <c r="N690" t="b">
        <v>0</v>
      </c>
      <c r="O690" t="s">
        <v>3002</v>
      </c>
      <c r="P690" t="s">
        <v>3163</v>
      </c>
      <c r="Q690">
        <v>24</v>
      </c>
      <c r="R690" t="s">
        <v>3345</v>
      </c>
      <c r="T690" s="2">
        <v>0</v>
      </c>
      <c r="U690" s="2">
        <v>0</v>
      </c>
    </row>
    <row r="691" spans="1:21">
      <c r="A691" t="s">
        <v>22</v>
      </c>
      <c r="B691" s="1">
        <f>HYPERLINK("https://cordis.europa.eu/project/id/101003687", "101003687")</f>
        <v>0</v>
      </c>
      <c r="C691" t="s">
        <v>572</v>
      </c>
      <c r="D691" t="s">
        <v>1388</v>
      </c>
      <c r="E691" t="s">
        <v>1872</v>
      </c>
      <c r="F691" t="s">
        <v>2216</v>
      </c>
      <c r="G691" t="s">
        <v>2428</v>
      </c>
      <c r="H691" t="s">
        <v>2548</v>
      </c>
      <c r="I691" t="s">
        <v>2556</v>
      </c>
      <c r="J691" s="1">
        <f>HYPERLINK("https://ec.europa.eu/info/funding-tenders/opportunities/portal/screen/how-to-participate/org-details/998804636", "998804636")</f>
        <v>0</v>
      </c>
      <c r="K691" t="s">
        <v>2612</v>
      </c>
      <c r="L691" t="s">
        <v>2845</v>
      </c>
      <c r="M691" t="s">
        <v>2965</v>
      </c>
      <c r="N691" t="b">
        <v>0</v>
      </c>
      <c r="O691" t="s">
        <v>2993</v>
      </c>
      <c r="P691" t="s">
        <v>3241</v>
      </c>
      <c r="Q691">
        <v>17</v>
      </c>
      <c r="R691" t="s">
        <v>3342</v>
      </c>
      <c r="S691" s="2">
        <v>0</v>
      </c>
      <c r="T691" s="2">
        <v>0</v>
      </c>
      <c r="U691" s="2">
        <v>25000</v>
      </c>
    </row>
    <row r="692" spans="1:21">
      <c r="A692" t="s">
        <v>22</v>
      </c>
      <c r="B692" s="1">
        <f>HYPERLINK("https://cordis.europa.eu/project/id/873089", "873089")</f>
        <v>0</v>
      </c>
      <c r="C692" t="s">
        <v>573</v>
      </c>
      <c r="D692" t="s">
        <v>1389</v>
      </c>
      <c r="E692" t="s">
        <v>1800</v>
      </c>
      <c r="F692" t="s">
        <v>2268</v>
      </c>
      <c r="G692" t="s">
        <v>2424</v>
      </c>
      <c r="H692" t="s">
        <v>2548</v>
      </c>
      <c r="I692" t="s">
        <v>2556</v>
      </c>
      <c r="J692" s="1">
        <f>HYPERLINK("https://ec.europa.eu/info/funding-tenders/opportunities/portal/screen/how-to-participate/org-details/986276989", "986276989")</f>
        <v>0</v>
      </c>
      <c r="K692" t="s">
        <v>2666</v>
      </c>
      <c r="L692" t="s">
        <v>2891</v>
      </c>
      <c r="M692" t="s">
        <v>2965</v>
      </c>
      <c r="N692" t="b">
        <v>0</v>
      </c>
      <c r="O692" t="s">
        <v>3003</v>
      </c>
      <c r="P692" t="s">
        <v>3189</v>
      </c>
      <c r="Q692">
        <v>7</v>
      </c>
      <c r="R692" t="s">
        <v>3345</v>
      </c>
      <c r="T692" s="2">
        <v>0</v>
      </c>
      <c r="U692" s="2">
        <v>18400</v>
      </c>
    </row>
    <row r="693" spans="1:21">
      <c r="A693" t="s">
        <v>22</v>
      </c>
      <c r="B693" s="1">
        <f>HYPERLINK("https://cordis.europa.eu/project/id/633172", "633172")</f>
        <v>0</v>
      </c>
      <c r="C693" t="s">
        <v>574</v>
      </c>
      <c r="D693" t="s">
        <v>574</v>
      </c>
      <c r="E693" t="s">
        <v>1928</v>
      </c>
      <c r="F693" t="s">
        <v>2275</v>
      </c>
      <c r="G693" t="s">
        <v>2503</v>
      </c>
      <c r="H693" t="s">
        <v>2548</v>
      </c>
      <c r="I693" t="s">
        <v>2556</v>
      </c>
      <c r="J693" s="1">
        <f>HYPERLINK("https://ec.europa.eu/info/funding-tenders/opportunities/portal/screen/how-to-participate/org-details/999885216", "999885216")</f>
        <v>0</v>
      </c>
      <c r="K693" t="s">
        <v>2658</v>
      </c>
      <c r="L693" t="s">
        <v>2884</v>
      </c>
      <c r="M693" t="s">
        <v>2965</v>
      </c>
      <c r="N693" t="b">
        <v>0</v>
      </c>
      <c r="O693" t="s">
        <v>2993</v>
      </c>
      <c r="P693" t="s">
        <v>3249</v>
      </c>
      <c r="Q693">
        <v>1</v>
      </c>
      <c r="R693" t="s">
        <v>3346</v>
      </c>
      <c r="S693" s="2">
        <v>0</v>
      </c>
      <c r="T693" s="2">
        <v>0</v>
      </c>
      <c r="U693" s="2">
        <v>0</v>
      </c>
    </row>
    <row r="694" spans="1:21">
      <c r="A694" t="s">
        <v>22</v>
      </c>
      <c r="B694" s="1">
        <f>HYPERLINK("https://cordis.europa.eu/project/id/101006873", "101006873")</f>
        <v>0</v>
      </c>
      <c r="C694" t="s">
        <v>575</v>
      </c>
      <c r="D694" t="s">
        <v>1390</v>
      </c>
      <c r="E694" t="s">
        <v>1775</v>
      </c>
      <c r="F694" t="s">
        <v>2218</v>
      </c>
      <c r="G694" t="s">
        <v>2487</v>
      </c>
      <c r="H694" t="s">
        <v>2548</v>
      </c>
      <c r="I694" t="s">
        <v>2556</v>
      </c>
      <c r="J694" s="1">
        <f>HYPERLINK("https://ec.europa.eu/info/funding-tenders/opportunities/portal/screen/how-to-participate/org-details/998083247", "998083247")</f>
        <v>0</v>
      </c>
      <c r="K694" t="s">
        <v>2605</v>
      </c>
      <c r="M694" t="s">
        <v>2965</v>
      </c>
      <c r="N694" t="b">
        <v>0</v>
      </c>
      <c r="O694" t="s">
        <v>2993</v>
      </c>
      <c r="P694" t="s">
        <v>3180</v>
      </c>
      <c r="Q694">
        <v>18</v>
      </c>
      <c r="R694" t="s">
        <v>3342</v>
      </c>
      <c r="S694" s="2">
        <v>0</v>
      </c>
      <c r="T694" s="2">
        <v>0</v>
      </c>
      <c r="U694" s="2">
        <v>327500</v>
      </c>
    </row>
    <row r="695" spans="1:21">
      <c r="A695" t="s">
        <v>22</v>
      </c>
      <c r="B695" s="1">
        <f>HYPERLINK("https://cordis.europa.eu/project/id/101008139", "101008139")</f>
        <v>0</v>
      </c>
      <c r="C695" t="s">
        <v>576</v>
      </c>
      <c r="D695" t="s">
        <v>1391</v>
      </c>
      <c r="E695" t="s">
        <v>1929</v>
      </c>
      <c r="F695" t="s">
        <v>2261</v>
      </c>
      <c r="G695" t="s">
        <v>2413</v>
      </c>
      <c r="H695" t="s">
        <v>2548</v>
      </c>
      <c r="I695" t="s">
        <v>2556</v>
      </c>
      <c r="J695" s="1">
        <f>HYPERLINK("https://ec.europa.eu/info/funding-tenders/opportunities/portal/screen/how-to-participate/org-details/996231614", "996231614")</f>
        <v>0</v>
      </c>
      <c r="K695" t="s">
        <v>2652</v>
      </c>
      <c r="L695" t="s">
        <v>2652</v>
      </c>
      <c r="M695" t="s">
        <v>2965</v>
      </c>
      <c r="N695" t="b">
        <v>0</v>
      </c>
      <c r="O695" t="s">
        <v>3003</v>
      </c>
      <c r="P695" t="s">
        <v>3216</v>
      </c>
      <c r="Q695">
        <v>16</v>
      </c>
      <c r="R695" t="s">
        <v>3345</v>
      </c>
      <c r="T695" s="2">
        <v>0</v>
      </c>
      <c r="U695" s="2">
        <v>0</v>
      </c>
    </row>
    <row r="696" spans="1:21">
      <c r="A696" t="s">
        <v>22</v>
      </c>
      <c r="B696" s="1">
        <f>HYPERLINK("https://cordis.europa.eu/project/id/812968", "812968")</f>
        <v>0</v>
      </c>
      <c r="C696" t="s">
        <v>577</v>
      </c>
      <c r="D696" t="s">
        <v>1392</v>
      </c>
      <c r="E696" t="s">
        <v>1930</v>
      </c>
      <c r="F696" t="s">
        <v>2239</v>
      </c>
      <c r="G696" t="s">
        <v>2395</v>
      </c>
      <c r="H696" t="s">
        <v>2548</v>
      </c>
      <c r="I696" t="s">
        <v>2556</v>
      </c>
      <c r="J696" s="1">
        <f>HYPERLINK("https://ec.europa.eu/info/funding-tenders/opportunities/portal/screen/how-to-participate/org-details/996325704", "996325704")</f>
        <v>0</v>
      </c>
      <c r="K696" t="s">
        <v>2640</v>
      </c>
      <c r="L696" t="s">
        <v>2869</v>
      </c>
      <c r="M696" t="s">
        <v>2966</v>
      </c>
      <c r="N696" t="b">
        <v>0</v>
      </c>
      <c r="O696" t="s">
        <v>3005</v>
      </c>
      <c r="P696" t="s">
        <v>3187</v>
      </c>
      <c r="Q696">
        <v>998</v>
      </c>
      <c r="R696" t="s">
        <v>3345</v>
      </c>
      <c r="T696" s="2">
        <v>0</v>
      </c>
      <c r="U696" s="2">
        <v>0</v>
      </c>
    </row>
    <row r="697" spans="1:21">
      <c r="A697" t="s">
        <v>22</v>
      </c>
      <c r="B697" s="1">
        <f>HYPERLINK("https://cordis.europa.eu/project/id/813440", "813440")</f>
        <v>0</v>
      </c>
      <c r="C697" t="s">
        <v>578</v>
      </c>
      <c r="D697" t="s">
        <v>1393</v>
      </c>
      <c r="E697" t="s">
        <v>1931</v>
      </c>
      <c r="F697" t="s">
        <v>2227</v>
      </c>
      <c r="G697" t="s">
        <v>2404</v>
      </c>
      <c r="H697" t="s">
        <v>2548</v>
      </c>
      <c r="I697" t="s">
        <v>2556</v>
      </c>
      <c r="J697" s="1">
        <f>HYPERLINK("https://ec.europa.eu/info/funding-tenders/opportunities/portal/screen/how-to-participate/org-details/996231614", "996231614")</f>
        <v>0</v>
      </c>
      <c r="K697" t="s">
        <v>2652</v>
      </c>
      <c r="L697" t="s">
        <v>2652</v>
      </c>
      <c r="M697" t="s">
        <v>2965</v>
      </c>
      <c r="N697" t="b">
        <v>0</v>
      </c>
      <c r="O697" t="s">
        <v>3005</v>
      </c>
      <c r="P697" t="s">
        <v>3187</v>
      </c>
      <c r="Q697">
        <v>994</v>
      </c>
      <c r="R697" t="s">
        <v>3345</v>
      </c>
      <c r="T697" s="2">
        <v>0</v>
      </c>
      <c r="U697" s="2">
        <v>0</v>
      </c>
    </row>
    <row r="698" spans="1:21">
      <c r="A698" t="s">
        <v>22</v>
      </c>
      <c r="B698" s="1">
        <f>HYPERLINK("https://cordis.europa.eu/project/id/678732", "678732")</f>
        <v>0</v>
      </c>
      <c r="C698" t="s">
        <v>579</v>
      </c>
      <c r="D698" t="s">
        <v>1394</v>
      </c>
      <c r="E698" t="s">
        <v>1807</v>
      </c>
      <c r="F698" t="s">
        <v>2271</v>
      </c>
      <c r="G698" t="s">
        <v>2504</v>
      </c>
      <c r="H698" t="s">
        <v>2548</v>
      </c>
      <c r="I698" t="s">
        <v>2556</v>
      </c>
      <c r="J698" s="1">
        <f>HYPERLINK("https://ec.europa.eu/info/funding-tenders/opportunities/portal/screen/how-to-participate/org-details/998083247", "998083247")</f>
        <v>0</v>
      </c>
      <c r="K698" t="s">
        <v>2605</v>
      </c>
      <c r="M698" t="s">
        <v>2965</v>
      </c>
      <c r="N698" t="b">
        <v>0</v>
      </c>
      <c r="O698" t="s">
        <v>2993</v>
      </c>
      <c r="P698" t="s">
        <v>3256</v>
      </c>
      <c r="Q698">
        <v>23</v>
      </c>
      <c r="R698" t="s">
        <v>3342</v>
      </c>
      <c r="S698" s="2">
        <v>35047.5</v>
      </c>
      <c r="T698" s="2">
        <v>35047.5</v>
      </c>
    </row>
    <row r="699" spans="1:21">
      <c r="A699" t="s">
        <v>22</v>
      </c>
      <c r="B699" s="1">
        <f>HYPERLINK("https://cordis.europa.eu/project/id/708193", "708193")</f>
        <v>0</v>
      </c>
      <c r="C699" t="s">
        <v>580</v>
      </c>
      <c r="D699" t="s">
        <v>1395</v>
      </c>
      <c r="E699" t="s">
        <v>1932</v>
      </c>
      <c r="F699" t="s">
        <v>2256</v>
      </c>
      <c r="G699" t="s">
        <v>2251</v>
      </c>
      <c r="H699" t="s">
        <v>2548</v>
      </c>
      <c r="I699" t="s">
        <v>2556</v>
      </c>
      <c r="J699" s="1">
        <f>HYPERLINK("https://ec.europa.eu/info/funding-tenders/opportunities/portal/screen/how-to-participate/org-details/998804636", "998804636")</f>
        <v>0</v>
      </c>
      <c r="K699" t="s">
        <v>2612</v>
      </c>
      <c r="L699" t="s">
        <v>2845</v>
      </c>
      <c r="M699" t="s">
        <v>2965</v>
      </c>
      <c r="N699" t="b">
        <v>0</v>
      </c>
      <c r="O699" t="s">
        <v>2998</v>
      </c>
      <c r="P699" t="s">
        <v>3164</v>
      </c>
      <c r="Q699">
        <v>2</v>
      </c>
      <c r="R699" t="s">
        <v>3345</v>
      </c>
      <c r="T699" s="2">
        <v>0</v>
      </c>
    </row>
    <row r="700" spans="1:21">
      <c r="A700" t="s">
        <v>22</v>
      </c>
      <c r="B700" s="1">
        <f>HYPERLINK("https://cordis.europa.eu/project/id/101003890", "101003890")</f>
        <v>0</v>
      </c>
      <c r="C700" t="s">
        <v>581</v>
      </c>
      <c r="D700" t="s">
        <v>1396</v>
      </c>
      <c r="E700" t="s">
        <v>1872</v>
      </c>
      <c r="F700" t="s">
        <v>2243</v>
      </c>
      <c r="G700" t="s">
        <v>2429</v>
      </c>
      <c r="H700" t="s">
        <v>2548</v>
      </c>
      <c r="I700" t="s">
        <v>2556</v>
      </c>
      <c r="J700" s="1">
        <f>HYPERLINK("https://ec.europa.eu/info/funding-tenders/opportunities/portal/screen/how-to-participate/org-details/999894043", "999894043")</f>
        <v>0</v>
      </c>
      <c r="K700" t="s">
        <v>2568</v>
      </c>
      <c r="L700" t="s">
        <v>2812</v>
      </c>
      <c r="M700" t="s">
        <v>2965</v>
      </c>
      <c r="N700" t="b">
        <v>0</v>
      </c>
      <c r="O700" t="s">
        <v>2993</v>
      </c>
      <c r="P700" t="s">
        <v>3241</v>
      </c>
      <c r="Q700">
        <v>38</v>
      </c>
      <c r="R700" t="s">
        <v>3342</v>
      </c>
      <c r="S700" s="2">
        <v>0</v>
      </c>
      <c r="T700" s="2">
        <v>0</v>
      </c>
      <c r="U700" s="2">
        <v>143750</v>
      </c>
    </row>
    <row r="701" spans="1:21">
      <c r="A701" t="s">
        <v>22</v>
      </c>
      <c r="B701" s="1">
        <f>HYPERLINK("https://cordis.europa.eu/project/id/734522", "734522")</f>
        <v>0</v>
      </c>
      <c r="C701" t="s">
        <v>582</v>
      </c>
      <c r="D701" t="s">
        <v>1397</v>
      </c>
      <c r="E701" t="s">
        <v>1933</v>
      </c>
      <c r="F701" t="s">
        <v>2223</v>
      </c>
      <c r="G701" t="s">
        <v>2068</v>
      </c>
      <c r="H701" t="s">
        <v>2548</v>
      </c>
      <c r="I701" t="s">
        <v>2556</v>
      </c>
      <c r="J701" s="1">
        <f>HYPERLINK("https://ec.europa.eu/info/funding-tenders/opportunities/portal/screen/how-to-participate/org-details/998075972", "998075972")</f>
        <v>0</v>
      </c>
      <c r="K701" t="s">
        <v>2664</v>
      </c>
      <c r="L701" t="s">
        <v>2889</v>
      </c>
      <c r="M701" t="s">
        <v>2969</v>
      </c>
      <c r="N701" t="b">
        <v>0</v>
      </c>
      <c r="O701" t="s">
        <v>3003</v>
      </c>
      <c r="P701" t="s">
        <v>3177</v>
      </c>
      <c r="Q701">
        <v>17</v>
      </c>
      <c r="R701" t="s">
        <v>3345</v>
      </c>
      <c r="T701" s="2">
        <v>0</v>
      </c>
      <c r="U701" s="2">
        <v>0</v>
      </c>
    </row>
    <row r="702" spans="1:21">
      <c r="A702" t="s">
        <v>22</v>
      </c>
      <c r="B702" s="1">
        <f>HYPERLINK("https://cordis.europa.eu/project/id/734522", "734522")</f>
        <v>0</v>
      </c>
      <c r="C702" t="s">
        <v>582</v>
      </c>
      <c r="D702" t="s">
        <v>1397</v>
      </c>
      <c r="E702" t="s">
        <v>1933</v>
      </c>
      <c r="F702" t="s">
        <v>2223</v>
      </c>
      <c r="G702" t="s">
        <v>2068</v>
      </c>
      <c r="H702" t="s">
        <v>2548</v>
      </c>
      <c r="I702" t="s">
        <v>2556</v>
      </c>
      <c r="J702" s="1">
        <f>HYPERLINK("https://ec.europa.eu/info/funding-tenders/opportunities/portal/screen/how-to-participate/org-details/998711419", "998711419")</f>
        <v>0</v>
      </c>
      <c r="K702" t="s">
        <v>2628</v>
      </c>
      <c r="M702" t="s">
        <v>2965</v>
      </c>
      <c r="N702" t="b">
        <v>0</v>
      </c>
      <c r="O702" t="s">
        <v>3003</v>
      </c>
      <c r="P702" t="s">
        <v>3177</v>
      </c>
      <c r="Q702">
        <v>23</v>
      </c>
      <c r="R702" t="s">
        <v>3345</v>
      </c>
      <c r="T702" s="2">
        <v>0</v>
      </c>
      <c r="U702" s="2">
        <v>0</v>
      </c>
    </row>
    <row r="703" spans="1:21">
      <c r="A703" t="s">
        <v>22</v>
      </c>
      <c r="B703" s="1">
        <f>HYPERLINK("https://cordis.europa.eu/project/id/734522", "734522")</f>
        <v>0</v>
      </c>
      <c r="C703" t="s">
        <v>582</v>
      </c>
      <c r="D703" t="s">
        <v>1397</v>
      </c>
      <c r="E703" t="s">
        <v>1933</v>
      </c>
      <c r="F703" t="s">
        <v>2223</v>
      </c>
      <c r="G703" t="s">
        <v>2068</v>
      </c>
      <c r="H703" t="s">
        <v>2548</v>
      </c>
      <c r="I703" t="s">
        <v>2556</v>
      </c>
      <c r="J703" s="1">
        <f>HYPERLINK("https://ec.europa.eu/info/funding-tenders/opportunities/portal/screen/how-to-participate/org-details/919983794", "919983794")</f>
        <v>0</v>
      </c>
      <c r="K703" t="s">
        <v>2764</v>
      </c>
      <c r="M703" t="s">
        <v>2969</v>
      </c>
      <c r="N703" t="b">
        <v>0</v>
      </c>
      <c r="O703" t="s">
        <v>3003</v>
      </c>
      <c r="P703" t="s">
        <v>3177</v>
      </c>
      <c r="Q703">
        <v>15</v>
      </c>
      <c r="R703" t="s">
        <v>3345</v>
      </c>
      <c r="T703" s="2">
        <v>0</v>
      </c>
      <c r="U703" s="2">
        <v>0</v>
      </c>
    </row>
    <row r="704" spans="1:21">
      <c r="A704" t="s">
        <v>22</v>
      </c>
      <c r="B704" s="1">
        <f>HYPERLINK("https://cordis.europa.eu/project/id/734522", "734522")</f>
        <v>0</v>
      </c>
      <c r="C704" t="s">
        <v>582</v>
      </c>
      <c r="D704" t="s">
        <v>1397</v>
      </c>
      <c r="E704" t="s">
        <v>1933</v>
      </c>
      <c r="F704" t="s">
        <v>2223</v>
      </c>
      <c r="G704" t="s">
        <v>2068</v>
      </c>
      <c r="H704" t="s">
        <v>2548</v>
      </c>
      <c r="I704" t="s">
        <v>2556</v>
      </c>
      <c r="J704" s="1">
        <f>HYPERLINK("https://ec.europa.eu/info/funding-tenders/opportunities/portal/screen/how-to-participate/org-details/999845252", "999845252")</f>
        <v>0</v>
      </c>
      <c r="K704" t="s">
        <v>2687</v>
      </c>
      <c r="L704" t="s">
        <v>2908</v>
      </c>
      <c r="M704" t="s">
        <v>2965</v>
      </c>
      <c r="N704" t="b">
        <v>0</v>
      </c>
      <c r="O704" t="s">
        <v>3003</v>
      </c>
      <c r="P704" t="s">
        <v>3177</v>
      </c>
      <c r="Q704">
        <v>16</v>
      </c>
      <c r="R704" t="s">
        <v>3345</v>
      </c>
      <c r="T704" s="2">
        <v>0</v>
      </c>
      <c r="U704" s="2">
        <v>54000</v>
      </c>
    </row>
    <row r="705" spans="1:21">
      <c r="A705" t="s">
        <v>22</v>
      </c>
      <c r="B705" s="1">
        <f>HYPERLINK("https://cordis.europa.eu/project/id/773421", "773421")</f>
        <v>0</v>
      </c>
      <c r="C705" t="s">
        <v>583</v>
      </c>
      <c r="D705" t="s">
        <v>1398</v>
      </c>
      <c r="E705" t="s">
        <v>1934</v>
      </c>
      <c r="F705" t="s">
        <v>2264</v>
      </c>
      <c r="G705" t="s">
        <v>2451</v>
      </c>
      <c r="H705" t="s">
        <v>2548</v>
      </c>
      <c r="I705" t="s">
        <v>2556</v>
      </c>
      <c r="J705" s="1">
        <f>HYPERLINK("https://ec.europa.eu/info/funding-tenders/opportunities/portal/screen/how-to-participate/org-details/998082180", "998082180")</f>
        <v>0</v>
      </c>
      <c r="K705" t="s">
        <v>2565</v>
      </c>
      <c r="M705" t="s">
        <v>2965</v>
      </c>
      <c r="N705" t="b">
        <v>0</v>
      </c>
      <c r="O705" t="s">
        <v>2993</v>
      </c>
      <c r="P705" t="s">
        <v>3263</v>
      </c>
      <c r="Q705">
        <v>5</v>
      </c>
      <c r="R705" t="s">
        <v>3342</v>
      </c>
      <c r="S705" s="2">
        <v>0</v>
      </c>
      <c r="T705" s="2">
        <v>0</v>
      </c>
      <c r="U705" s="2">
        <v>0</v>
      </c>
    </row>
    <row r="706" spans="1:21">
      <c r="A706" t="s">
        <v>22</v>
      </c>
      <c r="B706" s="1">
        <f>HYPERLINK("https://cordis.europa.eu/project/id/667661", "667661")</f>
        <v>0</v>
      </c>
      <c r="C706" t="s">
        <v>584</v>
      </c>
      <c r="D706" t="s">
        <v>1399</v>
      </c>
      <c r="E706" t="s">
        <v>1713</v>
      </c>
      <c r="F706" t="s">
        <v>2188</v>
      </c>
      <c r="G706" t="s">
        <v>2505</v>
      </c>
      <c r="H706" t="s">
        <v>2548</v>
      </c>
      <c r="I706" t="s">
        <v>2556</v>
      </c>
      <c r="J706" s="1">
        <f>HYPERLINK("https://ec.europa.eu/info/funding-tenders/opportunities/portal/screen/how-to-participate/org-details/998225740", "998225740")</f>
        <v>0</v>
      </c>
      <c r="K706" t="s">
        <v>2637</v>
      </c>
      <c r="M706" t="s">
        <v>2965</v>
      </c>
      <c r="N706" t="b">
        <v>0</v>
      </c>
      <c r="O706" t="s">
        <v>2993</v>
      </c>
      <c r="P706" t="s">
        <v>3228</v>
      </c>
      <c r="Q706">
        <v>11</v>
      </c>
      <c r="R706" t="s">
        <v>3342</v>
      </c>
      <c r="S706" s="2">
        <v>400191.25</v>
      </c>
      <c r="T706" s="2">
        <v>400191.25</v>
      </c>
    </row>
    <row r="707" spans="1:21">
      <c r="A707" t="s">
        <v>22</v>
      </c>
      <c r="B707" s="1">
        <f>HYPERLINK("https://cordis.europa.eu/project/id/667661", "667661")</f>
        <v>0</v>
      </c>
      <c r="C707" t="s">
        <v>584</v>
      </c>
      <c r="D707" t="s">
        <v>1399</v>
      </c>
      <c r="E707" t="s">
        <v>1713</v>
      </c>
      <c r="F707" t="s">
        <v>2188</v>
      </c>
      <c r="G707" t="s">
        <v>2505</v>
      </c>
      <c r="H707" t="s">
        <v>2548</v>
      </c>
      <c r="I707" t="s">
        <v>2556</v>
      </c>
      <c r="J707" s="1">
        <f>HYPERLINK("https://ec.europa.eu/info/funding-tenders/opportunities/portal/screen/how-to-participate/org-details/998089261", "998089261")</f>
        <v>0</v>
      </c>
      <c r="K707" t="s">
        <v>2661</v>
      </c>
      <c r="L707" t="s">
        <v>2887</v>
      </c>
      <c r="M707" t="s">
        <v>2966</v>
      </c>
      <c r="N707" t="b">
        <v>0</v>
      </c>
      <c r="O707" t="s">
        <v>2993</v>
      </c>
      <c r="P707" t="s">
        <v>3228</v>
      </c>
      <c r="Q707">
        <v>12</v>
      </c>
      <c r="R707" t="s">
        <v>3342</v>
      </c>
      <c r="S707" s="2">
        <v>367525</v>
      </c>
      <c r="T707" s="2">
        <v>367525</v>
      </c>
      <c r="U707" s="2">
        <v>367525</v>
      </c>
    </row>
    <row r="708" spans="1:21">
      <c r="A708" t="s">
        <v>22</v>
      </c>
      <c r="B708" s="1">
        <f>HYPERLINK("https://cordis.europa.eu/project/id/777450", "777450")</f>
        <v>0</v>
      </c>
      <c r="C708" t="s">
        <v>585</v>
      </c>
      <c r="D708" t="s">
        <v>1400</v>
      </c>
      <c r="E708" t="s">
        <v>1935</v>
      </c>
      <c r="F708" t="s">
        <v>2207</v>
      </c>
      <c r="G708" t="s">
        <v>1916</v>
      </c>
      <c r="H708" t="s">
        <v>2548</v>
      </c>
      <c r="I708" t="s">
        <v>2556</v>
      </c>
      <c r="J708" s="1">
        <f>HYPERLINK("https://ec.europa.eu/info/funding-tenders/opportunities/portal/screen/how-to-participate/org-details/912845952", "912845952")</f>
        <v>0</v>
      </c>
      <c r="K708" t="s">
        <v>2765</v>
      </c>
      <c r="L708" t="s">
        <v>2946</v>
      </c>
      <c r="M708" t="s">
        <v>2968</v>
      </c>
      <c r="N708" t="b">
        <v>0</v>
      </c>
      <c r="O708" t="s">
        <v>3010</v>
      </c>
      <c r="P708" t="s">
        <v>3264</v>
      </c>
      <c r="Q708">
        <v>6</v>
      </c>
      <c r="R708" t="s">
        <v>3342</v>
      </c>
      <c r="S708" s="2">
        <v>0</v>
      </c>
      <c r="T708" s="2">
        <v>0</v>
      </c>
      <c r="U708" s="2">
        <v>95000</v>
      </c>
    </row>
    <row r="709" spans="1:21">
      <c r="A709" t="s">
        <v>22</v>
      </c>
      <c r="B709" s="1">
        <f>HYPERLINK("https://cordis.europa.eu/project/id/965341", "965341")</f>
        <v>0</v>
      </c>
      <c r="C709" t="s">
        <v>586</v>
      </c>
      <c r="D709" t="s">
        <v>1401</v>
      </c>
      <c r="E709" t="s">
        <v>1936</v>
      </c>
      <c r="F709" t="s">
        <v>2261</v>
      </c>
      <c r="G709" t="s">
        <v>2413</v>
      </c>
      <c r="H709" t="s">
        <v>2548</v>
      </c>
      <c r="I709" t="s">
        <v>2556</v>
      </c>
      <c r="J709" s="1">
        <f>HYPERLINK("https://ec.europa.eu/info/funding-tenders/opportunities/portal/screen/how-to-participate/org-details/996231614", "996231614")</f>
        <v>0</v>
      </c>
      <c r="K709" t="s">
        <v>2652</v>
      </c>
      <c r="L709" t="s">
        <v>2652</v>
      </c>
      <c r="M709" t="s">
        <v>2965</v>
      </c>
      <c r="N709" t="b">
        <v>0</v>
      </c>
      <c r="O709" t="s">
        <v>2993</v>
      </c>
      <c r="P709" t="s">
        <v>3143</v>
      </c>
      <c r="Q709">
        <v>14</v>
      </c>
      <c r="R709" t="s">
        <v>3342</v>
      </c>
      <c r="S709" s="2">
        <v>0</v>
      </c>
      <c r="T709" s="2">
        <v>0</v>
      </c>
    </row>
    <row r="710" spans="1:21">
      <c r="A710" t="s">
        <v>22</v>
      </c>
      <c r="B710" s="1">
        <f>HYPERLINK("https://cordis.europa.eu/project/id/900014", "900014")</f>
        <v>0</v>
      </c>
      <c r="C710" t="s">
        <v>587</v>
      </c>
      <c r="D710" t="s">
        <v>1402</v>
      </c>
      <c r="E710" t="s">
        <v>1937</v>
      </c>
      <c r="F710" t="s">
        <v>1765</v>
      </c>
      <c r="G710" t="s">
        <v>2443</v>
      </c>
      <c r="H710" t="s">
        <v>2548</v>
      </c>
      <c r="I710" t="s">
        <v>2556</v>
      </c>
      <c r="J710" s="1">
        <f>HYPERLINK("https://ec.europa.eu/info/funding-tenders/opportunities/portal/screen/how-to-participate/org-details/904687088", "904687088")</f>
        <v>0</v>
      </c>
      <c r="K710" t="s">
        <v>2718</v>
      </c>
      <c r="M710" t="s">
        <v>2967</v>
      </c>
      <c r="N710" t="b">
        <v>0</v>
      </c>
      <c r="O710" t="s">
        <v>2994</v>
      </c>
      <c r="P710" t="s">
        <v>3192</v>
      </c>
      <c r="Q710">
        <v>22</v>
      </c>
      <c r="R710" t="s">
        <v>3342</v>
      </c>
      <c r="S710" s="2">
        <v>0</v>
      </c>
      <c r="T710" s="2">
        <v>0</v>
      </c>
      <c r="U710" s="2">
        <v>58750</v>
      </c>
    </row>
    <row r="711" spans="1:21">
      <c r="A711" t="s">
        <v>22</v>
      </c>
      <c r="B711" s="1">
        <f>HYPERLINK("https://cordis.europa.eu/project/id/643084", "643084")</f>
        <v>0</v>
      </c>
      <c r="C711" t="s">
        <v>588</v>
      </c>
      <c r="D711" t="s">
        <v>1403</v>
      </c>
      <c r="E711" t="s">
        <v>1658</v>
      </c>
      <c r="F711" t="s">
        <v>2222</v>
      </c>
      <c r="G711" t="s">
        <v>2387</v>
      </c>
      <c r="H711" t="s">
        <v>2548</v>
      </c>
      <c r="I711" t="s">
        <v>2556</v>
      </c>
      <c r="J711" s="1">
        <f>HYPERLINK("https://ec.europa.eu/info/funding-tenders/opportunities/portal/screen/how-to-participate/org-details/998908426", "998908426")</f>
        <v>0</v>
      </c>
      <c r="K711" t="s">
        <v>2569</v>
      </c>
      <c r="M711" t="s">
        <v>2965</v>
      </c>
      <c r="N711" t="b">
        <v>0</v>
      </c>
      <c r="O711" t="s">
        <v>3005</v>
      </c>
      <c r="P711" t="s">
        <v>3188</v>
      </c>
      <c r="Q711">
        <v>16</v>
      </c>
      <c r="R711" t="s">
        <v>3345</v>
      </c>
      <c r="T711" s="2">
        <v>0</v>
      </c>
      <c r="U711" s="2">
        <v>0</v>
      </c>
    </row>
    <row r="712" spans="1:21">
      <c r="A712" t="s">
        <v>22</v>
      </c>
      <c r="B712" s="1">
        <f>HYPERLINK("https://cordis.europa.eu/project/id/643084", "643084")</f>
        <v>0</v>
      </c>
      <c r="C712" t="s">
        <v>588</v>
      </c>
      <c r="D712" t="s">
        <v>1403</v>
      </c>
      <c r="E712" t="s">
        <v>1658</v>
      </c>
      <c r="F712" t="s">
        <v>2222</v>
      </c>
      <c r="G712" t="s">
        <v>2387</v>
      </c>
      <c r="H712" t="s">
        <v>2548</v>
      </c>
      <c r="I712" t="s">
        <v>2556</v>
      </c>
      <c r="J712" s="1">
        <f>HYPERLINK("https://ec.europa.eu/info/funding-tenders/opportunities/portal/screen/how-to-participate/org-details/922444781", "922444781")</f>
        <v>0</v>
      </c>
      <c r="K712" t="s">
        <v>2701</v>
      </c>
      <c r="M712" t="s">
        <v>2968</v>
      </c>
      <c r="N712" t="b">
        <v>0</v>
      </c>
      <c r="O712" t="s">
        <v>3005</v>
      </c>
      <c r="P712" t="s">
        <v>3188</v>
      </c>
      <c r="Q712">
        <v>15</v>
      </c>
      <c r="R712" t="s">
        <v>3345</v>
      </c>
      <c r="T712" s="2">
        <v>0</v>
      </c>
      <c r="U712" s="2">
        <v>0</v>
      </c>
    </row>
    <row r="713" spans="1:21">
      <c r="A713" t="s">
        <v>22</v>
      </c>
      <c r="B713" s="1">
        <f>HYPERLINK("https://cordis.europa.eu/project/id/842656", "842656")</f>
        <v>0</v>
      </c>
      <c r="C713" t="s">
        <v>589</v>
      </c>
      <c r="D713" t="s">
        <v>1404</v>
      </c>
      <c r="E713" t="s">
        <v>1938</v>
      </c>
      <c r="F713" t="s">
        <v>2196</v>
      </c>
      <c r="G713" t="s">
        <v>2408</v>
      </c>
      <c r="H713" t="s">
        <v>2549</v>
      </c>
      <c r="I713" t="s">
        <v>2557</v>
      </c>
      <c r="J713" s="1">
        <f>HYPERLINK("https://ec.europa.eu/info/funding-tenders/opportunities/portal/screen/how-to-participate/org-details/998331567", "998331567")</f>
        <v>0</v>
      </c>
      <c r="K713" t="s">
        <v>2573</v>
      </c>
      <c r="M713" t="s">
        <v>2965</v>
      </c>
      <c r="N713" t="b">
        <v>0</v>
      </c>
      <c r="O713" t="s">
        <v>2997</v>
      </c>
      <c r="P713" t="s">
        <v>3158</v>
      </c>
      <c r="Q713">
        <v>2</v>
      </c>
      <c r="R713" t="s">
        <v>3345</v>
      </c>
      <c r="T713" s="2">
        <v>0</v>
      </c>
    </row>
    <row r="714" spans="1:21">
      <c r="A714" t="s">
        <v>22</v>
      </c>
      <c r="B714" s="1">
        <f>HYPERLINK("https://cordis.europa.eu/project/id/633211", "633211")</f>
        <v>0</v>
      </c>
      <c r="C714" t="s">
        <v>590</v>
      </c>
      <c r="D714" t="s">
        <v>1405</v>
      </c>
      <c r="E714" t="s">
        <v>1939</v>
      </c>
      <c r="F714" t="s">
        <v>1757</v>
      </c>
      <c r="G714" t="s">
        <v>2276</v>
      </c>
      <c r="H714" t="s">
        <v>2548</v>
      </c>
      <c r="I714" t="s">
        <v>2556</v>
      </c>
      <c r="J714" s="1">
        <f>HYPERLINK("https://ec.europa.eu/info/funding-tenders/opportunities/portal/screen/how-to-participate/org-details/998539535", "998539535")</f>
        <v>0</v>
      </c>
      <c r="K714" t="s">
        <v>2662</v>
      </c>
      <c r="L714" t="s">
        <v>2662</v>
      </c>
      <c r="M714" t="s">
        <v>2965</v>
      </c>
      <c r="N714" t="b">
        <v>0</v>
      </c>
      <c r="O714" t="s">
        <v>2993</v>
      </c>
      <c r="P714" t="s">
        <v>3218</v>
      </c>
      <c r="Q714">
        <v>58</v>
      </c>
      <c r="R714" t="s">
        <v>3342</v>
      </c>
      <c r="S714" s="2">
        <v>0</v>
      </c>
      <c r="T714" s="2">
        <v>0</v>
      </c>
      <c r="U714" s="2">
        <v>0</v>
      </c>
    </row>
    <row r="715" spans="1:21">
      <c r="A715" t="s">
        <v>22</v>
      </c>
      <c r="B715" s="1">
        <f>HYPERLINK("https://cordis.europa.eu/project/id/633211", "633211")</f>
        <v>0</v>
      </c>
      <c r="C715" t="s">
        <v>590</v>
      </c>
      <c r="D715" t="s">
        <v>1405</v>
      </c>
      <c r="E715" t="s">
        <v>1939</v>
      </c>
      <c r="F715" t="s">
        <v>1757</v>
      </c>
      <c r="G715" t="s">
        <v>2276</v>
      </c>
      <c r="H715" t="s">
        <v>2548</v>
      </c>
      <c r="I715" t="s">
        <v>2556</v>
      </c>
      <c r="J715" s="1">
        <f>HYPERLINK("https://ec.europa.eu/info/funding-tenders/opportunities/portal/screen/how-to-participate/org-details/947660901", "947660901")</f>
        <v>0</v>
      </c>
      <c r="K715" t="s">
        <v>2751</v>
      </c>
      <c r="L715" t="s">
        <v>2936</v>
      </c>
      <c r="M715" t="s">
        <v>2968</v>
      </c>
      <c r="N715" t="b">
        <v>0</v>
      </c>
      <c r="O715" t="s">
        <v>2993</v>
      </c>
      <c r="P715" t="s">
        <v>3218</v>
      </c>
      <c r="Q715">
        <v>59</v>
      </c>
      <c r="R715" t="s">
        <v>3342</v>
      </c>
      <c r="S715" s="2">
        <v>0</v>
      </c>
      <c r="T715" s="2">
        <v>0</v>
      </c>
      <c r="U715" s="2">
        <v>0</v>
      </c>
    </row>
    <row r="716" spans="1:21">
      <c r="A716" t="s">
        <v>22</v>
      </c>
      <c r="B716" s="1">
        <f>HYPERLINK("https://cordis.europa.eu/project/id/871120", "871120")</f>
        <v>0</v>
      </c>
      <c r="C716" t="s">
        <v>201</v>
      </c>
      <c r="D716" t="s">
        <v>1012</v>
      </c>
      <c r="E716" t="s">
        <v>1940</v>
      </c>
      <c r="F716" t="s">
        <v>2180</v>
      </c>
      <c r="G716" t="s">
        <v>2400</v>
      </c>
      <c r="H716" t="s">
        <v>2548</v>
      </c>
      <c r="I716" t="s">
        <v>2556</v>
      </c>
      <c r="J716" s="1">
        <f>HYPERLINK("https://ec.europa.eu/info/funding-tenders/opportunities/portal/screen/how-to-participate/org-details/900518319", "900518319")</f>
        <v>0</v>
      </c>
      <c r="K716" t="s">
        <v>2766</v>
      </c>
      <c r="L716" t="s">
        <v>2947</v>
      </c>
      <c r="M716" t="s">
        <v>2968</v>
      </c>
      <c r="N716" t="b">
        <v>0</v>
      </c>
      <c r="O716" t="s">
        <v>2993</v>
      </c>
      <c r="P716" t="s">
        <v>3265</v>
      </c>
      <c r="Q716">
        <v>55</v>
      </c>
      <c r="R716" t="s">
        <v>3342</v>
      </c>
      <c r="S716" s="2">
        <v>104950</v>
      </c>
      <c r="T716" s="2">
        <v>104950</v>
      </c>
      <c r="U716" s="2">
        <v>104950</v>
      </c>
    </row>
    <row r="717" spans="1:21">
      <c r="A717" t="s">
        <v>22</v>
      </c>
      <c r="B717" s="1">
        <f>HYPERLINK("https://cordis.europa.eu/project/id/871120", "871120")</f>
        <v>0</v>
      </c>
      <c r="C717" t="s">
        <v>201</v>
      </c>
      <c r="D717" t="s">
        <v>1012</v>
      </c>
      <c r="E717" t="s">
        <v>1940</v>
      </c>
      <c r="F717" t="s">
        <v>2180</v>
      </c>
      <c r="G717" t="s">
        <v>2400</v>
      </c>
      <c r="H717" t="s">
        <v>2548</v>
      </c>
      <c r="I717" t="s">
        <v>2556</v>
      </c>
      <c r="J717" s="1">
        <f>HYPERLINK("https://ec.europa.eu/info/funding-tenders/opportunities/portal/screen/how-to-participate/org-details/900608626", "900608626")</f>
        <v>0</v>
      </c>
      <c r="K717" t="s">
        <v>2767</v>
      </c>
      <c r="M717" t="s">
        <v>2967</v>
      </c>
      <c r="N717" t="b">
        <v>0</v>
      </c>
      <c r="O717" t="s">
        <v>2993</v>
      </c>
      <c r="P717" t="s">
        <v>3265</v>
      </c>
      <c r="Q717">
        <v>54</v>
      </c>
      <c r="R717" t="s">
        <v>3342</v>
      </c>
      <c r="S717" s="2">
        <v>32760</v>
      </c>
      <c r="T717" s="2">
        <v>32760</v>
      </c>
      <c r="U717" s="2">
        <v>32760</v>
      </c>
    </row>
    <row r="718" spans="1:21">
      <c r="A718" t="s">
        <v>22</v>
      </c>
      <c r="B718" s="1">
        <f>HYPERLINK("https://cordis.europa.eu/project/id/871120", "871120")</f>
        <v>0</v>
      </c>
      <c r="C718" t="s">
        <v>201</v>
      </c>
      <c r="D718" t="s">
        <v>1012</v>
      </c>
      <c r="E718" t="s">
        <v>1940</v>
      </c>
      <c r="F718" t="s">
        <v>2180</v>
      </c>
      <c r="G718" t="s">
        <v>2400</v>
      </c>
      <c r="H718" t="s">
        <v>2548</v>
      </c>
      <c r="I718" t="s">
        <v>2556</v>
      </c>
      <c r="J718" s="1">
        <f>HYPERLINK("https://ec.europa.eu/info/funding-tenders/opportunities/portal/screen/how-to-participate/org-details/919704919", "919704919")</f>
        <v>0</v>
      </c>
      <c r="K718" t="s">
        <v>2768</v>
      </c>
      <c r="M718" t="s">
        <v>2965</v>
      </c>
      <c r="N718" t="b">
        <v>0</v>
      </c>
      <c r="O718" t="s">
        <v>2993</v>
      </c>
      <c r="P718" t="s">
        <v>3265</v>
      </c>
      <c r="Q718">
        <v>37</v>
      </c>
      <c r="R718" t="s">
        <v>3342</v>
      </c>
      <c r="S718" s="2">
        <v>138498.4</v>
      </c>
      <c r="T718" s="2">
        <v>138498.4</v>
      </c>
    </row>
    <row r="719" spans="1:21">
      <c r="A719" t="s">
        <v>22</v>
      </c>
      <c r="B719" s="1">
        <f>HYPERLINK("https://cordis.europa.eu/project/id/871120", "871120")</f>
        <v>0</v>
      </c>
      <c r="C719" t="s">
        <v>201</v>
      </c>
      <c r="D719" t="s">
        <v>1012</v>
      </c>
      <c r="E719" t="s">
        <v>1940</v>
      </c>
      <c r="F719" t="s">
        <v>2180</v>
      </c>
      <c r="G719" t="s">
        <v>2400</v>
      </c>
      <c r="H719" t="s">
        <v>2548</v>
      </c>
      <c r="I719" t="s">
        <v>2556</v>
      </c>
      <c r="J719" s="1">
        <f>HYPERLINK("https://ec.europa.eu/info/funding-tenders/opportunities/portal/screen/how-to-participate/org-details/983932402", "983932402")</f>
        <v>0</v>
      </c>
      <c r="K719" t="s">
        <v>2684</v>
      </c>
      <c r="L719" t="s">
        <v>2905</v>
      </c>
      <c r="M719" t="s">
        <v>2966</v>
      </c>
      <c r="N719" t="b">
        <v>0</v>
      </c>
      <c r="O719" t="s">
        <v>2993</v>
      </c>
      <c r="P719" t="s">
        <v>3265</v>
      </c>
      <c r="Q719">
        <v>38</v>
      </c>
      <c r="R719" t="s">
        <v>3342</v>
      </c>
      <c r="S719" s="2">
        <v>103768.75</v>
      </c>
      <c r="T719" s="2">
        <v>103768.75</v>
      </c>
    </row>
    <row r="720" spans="1:21">
      <c r="A720" t="s">
        <v>22</v>
      </c>
      <c r="B720" s="1">
        <f>HYPERLINK("https://cordis.europa.eu/project/id/871120", "871120")</f>
        <v>0</v>
      </c>
      <c r="C720" t="s">
        <v>201</v>
      </c>
      <c r="D720" t="s">
        <v>1012</v>
      </c>
      <c r="E720" t="s">
        <v>1940</v>
      </c>
      <c r="F720" t="s">
        <v>2180</v>
      </c>
      <c r="G720" t="s">
        <v>2400</v>
      </c>
      <c r="H720" t="s">
        <v>2548</v>
      </c>
      <c r="I720" t="s">
        <v>2556</v>
      </c>
      <c r="J720" s="1">
        <f>HYPERLINK("https://ec.europa.eu/info/funding-tenders/opportunities/portal/screen/how-to-participate/org-details/898157630", "898157630")</f>
        <v>0</v>
      </c>
      <c r="K720" t="s">
        <v>2769</v>
      </c>
      <c r="M720" t="s">
        <v>2966</v>
      </c>
      <c r="N720" t="b">
        <v>0</v>
      </c>
      <c r="O720" t="s">
        <v>2993</v>
      </c>
      <c r="P720" t="s">
        <v>3265</v>
      </c>
      <c r="Q720">
        <v>46</v>
      </c>
      <c r="R720" t="s">
        <v>3342</v>
      </c>
      <c r="S720" s="2">
        <v>188372.78</v>
      </c>
      <c r="T720" s="2">
        <v>188372.78</v>
      </c>
    </row>
    <row r="721" spans="1:21">
      <c r="A721" t="s">
        <v>22</v>
      </c>
      <c r="B721" s="1">
        <f>HYPERLINK("https://cordis.europa.eu/project/id/871120", "871120")</f>
        <v>0</v>
      </c>
      <c r="C721" t="s">
        <v>201</v>
      </c>
      <c r="D721" t="s">
        <v>1012</v>
      </c>
      <c r="E721" t="s">
        <v>1940</v>
      </c>
      <c r="F721" t="s">
        <v>2180</v>
      </c>
      <c r="G721" t="s">
        <v>2400</v>
      </c>
      <c r="H721" t="s">
        <v>2548</v>
      </c>
      <c r="I721" t="s">
        <v>2556</v>
      </c>
      <c r="J721" s="1">
        <f>HYPERLINK("https://ec.europa.eu/info/funding-tenders/opportunities/portal/screen/how-to-participate/org-details/998082180", "998082180")</f>
        <v>0</v>
      </c>
      <c r="K721" t="s">
        <v>2565</v>
      </c>
      <c r="M721" t="s">
        <v>2965</v>
      </c>
      <c r="N721" t="b">
        <v>0</v>
      </c>
      <c r="O721" t="s">
        <v>2993</v>
      </c>
      <c r="P721" t="s">
        <v>3265</v>
      </c>
      <c r="Q721">
        <v>29</v>
      </c>
      <c r="R721" t="s">
        <v>3342</v>
      </c>
      <c r="S721" s="2">
        <v>173219.95</v>
      </c>
      <c r="T721" s="2">
        <v>173219.95</v>
      </c>
    </row>
    <row r="722" spans="1:21">
      <c r="A722" t="s">
        <v>22</v>
      </c>
      <c r="B722" s="1">
        <f>HYPERLINK("https://cordis.europa.eu/project/id/862626", "862626")</f>
        <v>0</v>
      </c>
      <c r="C722" t="s">
        <v>591</v>
      </c>
      <c r="D722" t="s">
        <v>1406</v>
      </c>
      <c r="E722" t="s">
        <v>1941</v>
      </c>
      <c r="F722" t="s">
        <v>2191</v>
      </c>
      <c r="G722" t="s">
        <v>2417</v>
      </c>
      <c r="H722" t="s">
        <v>2548</v>
      </c>
      <c r="I722" t="s">
        <v>2556</v>
      </c>
      <c r="J722" s="1">
        <f>HYPERLINK("https://ec.europa.eu/info/funding-tenders/opportunities/portal/screen/how-to-participate/org-details/998539535", "998539535")</f>
        <v>0</v>
      </c>
      <c r="K722" t="s">
        <v>2662</v>
      </c>
      <c r="L722" t="s">
        <v>2662</v>
      </c>
      <c r="M722" t="s">
        <v>2965</v>
      </c>
      <c r="N722" t="b">
        <v>0</v>
      </c>
      <c r="O722" t="s">
        <v>2994</v>
      </c>
      <c r="P722" t="s">
        <v>3266</v>
      </c>
      <c r="Q722">
        <v>55</v>
      </c>
      <c r="R722" t="s">
        <v>3342</v>
      </c>
      <c r="S722" s="2">
        <v>0</v>
      </c>
      <c r="T722" s="2">
        <v>0</v>
      </c>
      <c r="U722" s="2">
        <v>0</v>
      </c>
    </row>
    <row r="723" spans="1:21">
      <c r="A723" t="s">
        <v>22</v>
      </c>
      <c r="B723" s="1">
        <f>HYPERLINK("https://cordis.europa.eu/project/id/862626", "862626")</f>
        <v>0</v>
      </c>
      <c r="C723" t="s">
        <v>591</v>
      </c>
      <c r="D723" t="s">
        <v>1406</v>
      </c>
      <c r="E723" t="s">
        <v>1941</v>
      </c>
      <c r="F723" t="s">
        <v>2191</v>
      </c>
      <c r="G723" t="s">
        <v>2417</v>
      </c>
      <c r="H723" t="s">
        <v>2548</v>
      </c>
      <c r="I723" t="s">
        <v>2556</v>
      </c>
      <c r="J723" s="1">
        <f>HYPERLINK("https://ec.europa.eu/info/funding-tenders/opportunities/portal/screen/how-to-participate/org-details/998908426", "998908426")</f>
        <v>0</v>
      </c>
      <c r="K723" t="s">
        <v>2569</v>
      </c>
      <c r="M723" t="s">
        <v>2965</v>
      </c>
      <c r="N723" t="b">
        <v>0</v>
      </c>
      <c r="O723" t="s">
        <v>2994</v>
      </c>
      <c r="P723" t="s">
        <v>3266</v>
      </c>
      <c r="Q723">
        <v>54</v>
      </c>
      <c r="R723" t="s">
        <v>3342</v>
      </c>
      <c r="S723" s="2">
        <v>0</v>
      </c>
      <c r="T723" s="2">
        <v>0</v>
      </c>
      <c r="U723" s="2">
        <v>0</v>
      </c>
    </row>
    <row r="724" spans="1:21">
      <c r="A724" t="s">
        <v>22</v>
      </c>
      <c r="B724" s="1">
        <f>HYPERLINK("https://cordis.europa.eu/project/id/838237", "838237")</f>
        <v>0</v>
      </c>
      <c r="C724" t="s">
        <v>592</v>
      </c>
      <c r="D724" t="s">
        <v>1407</v>
      </c>
      <c r="E724" t="s">
        <v>1942</v>
      </c>
      <c r="F724" t="s">
        <v>2180</v>
      </c>
      <c r="G724" t="s">
        <v>2433</v>
      </c>
      <c r="H724" t="s">
        <v>2548</v>
      </c>
      <c r="I724" t="s">
        <v>2556</v>
      </c>
      <c r="J724" s="1">
        <f>HYPERLINK("https://ec.europa.eu/info/funding-tenders/opportunities/portal/screen/how-to-participate/org-details/999879978", "999879978")</f>
        <v>0</v>
      </c>
      <c r="K724" t="s">
        <v>2615</v>
      </c>
      <c r="M724" t="s">
        <v>2965</v>
      </c>
      <c r="N724" t="b">
        <v>0</v>
      </c>
      <c r="O724" t="s">
        <v>2997</v>
      </c>
      <c r="P724" t="s">
        <v>3158</v>
      </c>
      <c r="Q724">
        <v>2</v>
      </c>
      <c r="R724" t="s">
        <v>3345</v>
      </c>
      <c r="T724" s="2">
        <v>0</v>
      </c>
    </row>
    <row r="725" spans="1:21">
      <c r="A725" t="s">
        <v>22</v>
      </c>
      <c r="B725" s="1">
        <f>HYPERLINK("https://cordis.europa.eu/project/id/764908", "764908")</f>
        <v>0</v>
      </c>
      <c r="C725" t="s">
        <v>593</v>
      </c>
      <c r="D725" t="s">
        <v>1408</v>
      </c>
      <c r="E725" t="s">
        <v>1943</v>
      </c>
      <c r="F725" t="s">
        <v>2199</v>
      </c>
      <c r="G725" t="s">
        <v>2068</v>
      </c>
      <c r="H725" t="s">
        <v>2549</v>
      </c>
      <c r="I725" t="s">
        <v>2557</v>
      </c>
      <c r="J725" s="1">
        <f>HYPERLINK("https://ec.europa.eu/info/funding-tenders/opportunities/portal/screen/how-to-participate/org-details/999613131", "999613131")</f>
        <v>0</v>
      </c>
      <c r="K725" t="s">
        <v>2591</v>
      </c>
      <c r="L725" t="s">
        <v>2831</v>
      </c>
      <c r="M725" t="s">
        <v>2965</v>
      </c>
      <c r="N725" t="b">
        <v>0</v>
      </c>
      <c r="O725" t="s">
        <v>3005</v>
      </c>
      <c r="P725" t="s">
        <v>3163</v>
      </c>
      <c r="Q725">
        <v>11</v>
      </c>
      <c r="R725" t="s">
        <v>3345</v>
      </c>
      <c r="T725" s="2">
        <v>0</v>
      </c>
      <c r="U725" s="2">
        <v>0</v>
      </c>
    </row>
    <row r="726" spans="1:21">
      <c r="A726" t="s">
        <v>22</v>
      </c>
      <c r="B726" s="1">
        <f>HYPERLINK("https://cordis.europa.eu/project/id/813383", "813383")</f>
        <v>0</v>
      </c>
      <c r="C726" t="s">
        <v>594</v>
      </c>
      <c r="D726" t="s">
        <v>1409</v>
      </c>
      <c r="E726" t="s">
        <v>1931</v>
      </c>
      <c r="F726" t="s">
        <v>2259</v>
      </c>
      <c r="G726" t="s">
        <v>2395</v>
      </c>
      <c r="H726" t="s">
        <v>2548</v>
      </c>
      <c r="I726" t="s">
        <v>2556</v>
      </c>
      <c r="J726" s="1">
        <f>HYPERLINK("https://ec.europa.eu/info/funding-tenders/opportunities/portal/screen/how-to-participate/org-details/998804636", "998804636")</f>
        <v>0</v>
      </c>
      <c r="K726" t="s">
        <v>2612</v>
      </c>
      <c r="L726" t="s">
        <v>2845</v>
      </c>
      <c r="M726" t="s">
        <v>2965</v>
      </c>
      <c r="N726" t="b">
        <v>0</v>
      </c>
      <c r="O726" t="s">
        <v>3005</v>
      </c>
      <c r="P726" t="s">
        <v>3187</v>
      </c>
      <c r="Q726">
        <v>997</v>
      </c>
      <c r="R726" t="s">
        <v>3345</v>
      </c>
      <c r="T726" s="2">
        <v>0</v>
      </c>
      <c r="U726" s="2">
        <v>0</v>
      </c>
    </row>
    <row r="727" spans="1:21">
      <c r="A727" t="s">
        <v>22</v>
      </c>
      <c r="B727" s="1">
        <f>HYPERLINK("https://cordis.europa.eu/project/id/813383", "813383")</f>
        <v>0</v>
      </c>
      <c r="C727" t="s">
        <v>594</v>
      </c>
      <c r="D727" t="s">
        <v>1409</v>
      </c>
      <c r="E727" t="s">
        <v>1931</v>
      </c>
      <c r="F727" t="s">
        <v>2259</v>
      </c>
      <c r="G727" t="s">
        <v>2395</v>
      </c>
      <c r="H727" t="s">
        <v>2548</v>
      </c>
      <c r="I727" t="s">
        <v>2556</v>
      </c>
      <c r="J727" s="1">
        <f>HYPERLINK("https://ec.europa.eu/info/funding-tenders/opportunities/portal/screen/how-to-participate/org-details/997400464", "997400464")</f>
        <v>0</v>
      </c>
      <c r="K727" t="s">
        <v>2663</v>
      </c>
      <c r="L727" t="s">
        <v>2888</v>
      </c>
      <c r="M727" t="s">
        <v>2969</v>
      </c>
      <c r="N727" t="b">
        <v>0</v>
      </c>
      <c r="O727" t="s">
        <v>3005</v>
      </c>
      <c r="P727" t="s">
        <v>3187</v>
      </c>
      <c r="Q727">
        <v>986</v>
      </c>
      <c r="R727" t="s">
        <v>3345</v>
      </c>
      <c r="T727" s="2">
        <v>0</v>
      </c>
      <c r="U727" s="2">
        <v>0</v>
      </c>
    </row>
    <row r="728" spans="1:21">
      <c r="A728" t="s">
        <v>22</v>
      </c>
      <c r="B728" s="1">
        <f>HYPERLINK("https://cordis.europa.eu/project/id/797387", "797387")</f>
        <v>0</v>
      </c>
      <c r="C728" t="s">
        <v>595</v>
      </c>
      <c r="D728" t="s">
        <v>1410</v>
      </c>
      <c r="E728" t="s">
        <v>1944</v>
      </c>
      <c r="F728" t="s">
        <v>2196</v>
      </c>
      <c r="G728" t="s">
        <v>2408</v>
      </c>
      <c r="H728" t="s">
        <v>2548</v>
      </c>
      <c r="I728" t="s">
        <v>2556</v>
      </c>
      <c r="J728" s="1">
        <f>HYPERLINK("https://ec.europa.eu/info/funding-tenders/opportunities/portal/screen/how-to-participate/org-details/998804636", "998804636")</f>
        <v>0</v>
      </c>
      <c r="K728" t="s">
        <v>2612</v>
      </c>
      <c r="L728" t="s">
        <v>2845</v>
      </c>
      <c r="M728" t="s">
        <v>2965</v>
      </c>
      <c r="N728" t="b">
        <v>0</v>
      </c>
      <c r="O728" t="s">
        <v>2997</v>
      </c>
      <c r="P728" t="s">
        <v>3160</v>
      </c>
      <c r="Q728">
        <v>2</v>
      </c>
      <c r="R728" t="s">
        <v>3345</v>
      </c>
      <c r="T728" s="2">
        <v>0</v>
      </c>
    </row>
    <row r="729" spans="1:21">
      <c r="A729" t="s">
        <v>22</v>
      </c>
      <c r="B729" s="1">
        <f>HYPERLINK("https://cordis.europa.eu/project/id/841844", "841844")</f>
        <v>0</v>
      </c>
      <c r="C729" t="s">
        <v>596</v>
      </c>
      <c r="D729" t="s">
        <v>1411</v>
      </c>
      <c r="E729" t="s">
        <v>1938</v>
      </c>
      <c r="F729" t="s">
        <v>2276</v>
      </c>
      <c r="G729" t="s">
        <v>2506</v>
      </c>
      <c r="H729" t="s">
        <v>2548</v>
      </c>
      <c r="I729" t="s">
        <v>2556</v>
      </c>
      <c r="J729" s="1">
        <f>HYPERLINK("https://ec.europa.eu/info/funding-tenders/opportunities/portal/screen/how-to-participate/org-details/999902773", "999902773")</f>
        <v>0</v>
      </c>
      <c r="K729" t="s">
        <v>2571</v>
      </c>
      <c r="L729" t="s">
        <v>2814</v>
      </c>
      <c r="M729" t="s">
        <v>2965</v>
      </c>
      <c r="N729" t="b">
        <v>0</v>
      </c>
      <c r="O729" t="s">
        <v>2997</v>
      </c>
      <c r="P729" t="s">
        <v>3158</v>
      </c>
      <c r="Q729">
        <v>2</v>
      </c>
      <c r="R729" t="s">
        <v>3345</v>
      </c>
      <c r="T729" s="2">
        <v>0</v>
      </c>
    </row>
    <row r="730" spans="1:21">
      <c r="A730" t="s">
        <v>22</v>
      </c>
      <c r="B730" s="1">
        <f>HYPERLINK("https://cordis.europa.eu/project/id/101023745", "101023745")</f>
        <v>0</v>
      </c>
      <c r="C730" t="s">
        <v>597</v>
      </c>
      <c r="D730" t="s">
        <v>1412</v>
      </c>
      <c r="E730" t="s">
        <v>1945</v>
      </c>
      <c r="F730" t="s">
        <v>2277</v>
      </c>
      <c r="G730" t="s">
        <v>2405</v>
      </c>
      <c r="H730" t="s">
        <v>2548</v>
      </c>
      <c r="I730" t="s">
        <v>2556</v>
      </c>
      <c r="J730" s="1">
        <f>HYPERLINK("https://ec.europa.eu/info/funding-tenders/opportunities/portal/screen/how-to-participate/org-details/986119267", "986119267")</f>
        <v>0</v>
      </c>
      <c r="K730" t="s">
        <v>2572</v>
      </c>
      <c r="L730" t="s">
        <v>2815</v>
      </c>
      <c r="M730" t="s">
        <v>2965</v>
      </c>
      <c r="N730" t="b">
        <v>0</v>
      </c>
      <c r="O730" t="s">
        <v>2997</v>
      </c>
      <c r="P730" t="s">
        <v>3166</v>
      </c>
      <c r="Q730">
        <v>2</v>
      </c>
      <c r="R730" t="s">
        <v>3345</v>
      </c>
      <c r="T730" s="2">
        <v>0</v>
      </c>
    </row>
    <row r="731" spans="1:21">
      <c r="A731" t="s">
        <v>22</v>
      </c>
      <c r="B731" s="1">
        <f>HYPERLINK("https://cordis.europa.eu/project/id/792225", "792225")</f>
        <v>0</v>
      </c>
      <c r="C731" t="s">
        <v>598</v>
      </c>
      <c r="D731" t="s">
        <v>1413</v>
      </c>
      <c r="E731" t="s">
        <v>1946</v>
      </c>
      <c r="F731" t="s">
        <v>2278</v>
      </c>
      <c r="G731" t="s">
        <v>2507</v>
      </c>
      <c r="H731" t="s">
        <v>2548</v>
      </c>
      <c r="I731" t="s">
        <v>2556</v>
      </c>
      <c r="J731" s="1">
        <f>HYPERLINK("https://ec.europa.eu/info/funding-tenders/opportunities/portal/screen/how-to-participate/org-details/999845252", "999845252")</f>
        <v>0</v>
      </c>
      <c r="K731" t="s">
        <v>2687</v>
      </c>
      <c r="L731" t="s">
        <v>2908</v>
      </c>
      <c r="M731" t="s">
        <v>2965</v>
      </c>
      <c r="N731" t="b">
        <v>0</v>
      </c>
      <c r="O731" t="s">
        <v>2998</v>
      </c>
      <c r="P731" t="s">
        <v>3160</v>
      </c>
      <c r="Q731">
        <v>2</v>
      </c>
      <c r="R731" t="s">
        <v>3345</v>
      </c>
      <c r="T731" s="2">
        <v>0</v>
      </c>
    </row>
    <row r="732" spans="1:21">
      <c r="A732" t="s">
        <v>22</v>
      </c>
      <c r="B732" s="1">
        <f>HYPERLINK("https://cordis.europa.eu/project/id/893244", "893244")</f>
        <v>0</v>
      </c>
      <c r="C732" t="s">
        <v>599</v>
      </c>
      <c r="D732" t="s">
        <v>1414</v>
      </c>
      <c r="E732" t="s">
        <v>1947</v>
      </c>
      <c r="F732" t="s">
        <v>2208</v>
      </c>
      <c r="G732" t="s">
        <v>2451</v>
      </c>
      <c r="H732" t="s">
        <v>2548</v>
      </c>
      <c r="I732" t="s">
        <v>2556</v>
      </c>
      <c r="J732" s="1">
        <f>HYPERLINK("https://ec.europa.eu/info/funding-tenders/opportunities/portal/screen/how-to-participate/org-details/998385014", "998385014")</f>
        <v>0</v>
      </c>
      <c r="K732" t="s">
        <v>2618</v>
      </c>
      <c r="L732" t="s">
        <v>2849</v>
      </c>
      <c r="M732" t="s">
        <v>2965</v>
      </c>
      <c r="N732" t="b">
        <v>0</v>
      </c>
      <c r="O732" t="s">
        <v>2997</v>
      </c>
      <c r="P732" t="s">
        <v>3162</v>
      </c>
      <c r="Q732">
        <v>2</v>
      </c>
      <c r="R732" t="s">
        <v>3345</v>
      </c>
      <c r="T732" s="2">
        <v>0</v>
      </c>
    </row>
    <row r="733" spans="1:21">
      <c r="A733" t="s">
        <v>22</v>
      </c>
      <c r="B733" s="1">
        <f>HYPERLINK("https://cordis.europa.eu/project/id/843927", "843927")</f>
        <v>0</v>
      </c>
      <c r="C733" t="s">
        <v>493</v>
      </c>
      <c r="D733" t="s">
        <v>1415</v>
      </c>
      <c r="E733" t="s">
        <v>1838</v>
      </c>
      <c r="F733" t="s">
        <v>2187</v>
      </c>
      <c r="G733" t="s">
        <v>2443</v>
      </c>
      <c r="H733" t="s">
        <v>2548</v>
      </c>
      <c r="I733" t="s">
        <v>2556</v>
      </c>
      <c r="J733" s="1">
        <f>HYPERLINK("https://ec.europa.eu/info/funding-tenders/opportunities/portal/screen/how-to-participate/org-details/968922622", "968922622")</f>
        <v>0</v>
      </c>
      <c r="K733" t="s">
        <v>2700</v>
      </c>
      <c r="L733" t="s">
        <v>2700</v>
      </c>
      <c r="M733" t="s">
        <v>2965</v>
      </c>
      <c r="N733" t="b">
        <v>0</v>
      </c>
      <c r="O733" t="s">
        <v>2997</v>
      </c>
      <c r="P733" t="s">
        <v>3158</v>
      </c>
      <c r="Q733">
        <v>2</v>
      </c>
      <c r="R733" t="s">
        <v>3345</v>
      </c>
      <c r="T733" s="2">
        <v>0</v>
      </c>
    </row>
    <row r="734" spans="1:21">
      <c r="A734" t="s">
        <v>22</v>
      </c>
      <c r="B734" s="1">
        <f>HYPERLINK("https://cordis.europa.eu/project/id/873207", "873207")</f>
        <v>0</v>
      </c>
      <c r="C734" t="s">
        <v>600</v>
      </c>
      <c r="D734" t="s">
        <v>1416</v>
      </c>
      <c r="E734" t="s">
        <v>1800</v>
      </c>
      <c r="F734" t="s">
        <v>2180</v>
      </c>
      <c r="G734" t="s">
        <v>2405</v>
      </c>
      <c r="H734" t="s">
        <v>2550</v>
      </c>
      <c r="I734" t="s">
        <v>2558</v>
      </c>
      <c r="J734" s="1">
        <f>HYPERLINK("https://ec.europa.eu/info/funding-tenders/opportunities/portal/screen/how-to-participate/org-details/991044054", "991044054")</f>
        <v>0</v>
      </c>
      <c r="K734" t="s">
        <v>2587</v>
      </c>
      <c r="M734" t="s">
        <v>2965</v>
      </c>
      <c r="N734" t="b">
        <v>0</v>
      </c>
      <c r="O734" t="s">
        <v>3003</v>
      </c>
      <c r="P734" t="s">
        <v>3189</v>
      </c>
      <c r="Q734">
        <v>26</v>
      </c>
      <c r="R734" t="s">
        <v>3345</v>
      </c>
      <c r="T734" s="2">
        <v>0</v>
      </c>
      <c r="U734" s="2">
        <v>138000</v>
      </c>
    </row>
    <row r="735" spans="1:21">
      <c r="A735" t="s">
        <v>22</v>
      </c>
      <c r="B735" s="1">
        <f>HYPERLINK("https://cordis.europa.eu/project/id/873207", "873207")</f>
        <v>0</v>
      </c>
      <c r="C735" t="s">
        <v>600</v>
      </c>
      <c r="D735" t="s">
        <v>1416</v>
      </c>
      <c r="E735" t="s">
        <v>1800</v>
      </c>
      <c r="F735" t="s">
        <v>2180</v>
      </c>
      <c r="G735" t="s">
        <v>2405</v>
      </c>
      <c r="H735" t="s">
        <v>2549</v>
      </c>
      <c r="I735" t="s">
        <v>2557</v>
      </c>
      <c r="J735" s="1">
        <f>HYPERLINK("https://ec.europa.eu/info/funding-tenders/opportunities/portal/screen/how-to-participate/org-details/992582086", "992582086")</f>
        <v>0</v>
      </c>
      <c r="K735" t="s">
        <v>2678</v>
      </c>
      <c r="L735" t="s">
        <v>2900</v>
      </c>
      <c r="M735" t="s">
        <v>2965</v>
      </c>
      <c r="N735" t="b">
        <v>0</v>
      </c>
      <c r="O735" t="s">
        <v>3003</v>
      </c>
      <c r="P735" t="s">
        <v>3189</v>
      </c>
      <c r="Q735">
        <v>10</v>
      </c>
      <c r="R735" t="s">
        <v>3345</v>
      </c>
      <c r="T735" s="2">
        <v>0</v>
      </c>
      <c r="U735" s="2">
        <v>18400</v>
      </c>
    </row>
    <row r="736" spans="1:21">
      <c r="A736" t="s">
        <v>22</v>
      </c>
      <c r="B736" s="1">
        <f>HYPERLINK("https://cordis.europa.eu/project/id/873207", "873207")</f>
        <v>0</v>
      </c>
      <c r="C736" t="s">
        <v>600</v>
      </c>
      <c r="D736" t="s">
        <v>1416</v>
      </c>
      <c r="E736" t="s">
        <v>1800</v>
      </c>
      <c r="F736" t="s">
        <v>2180</v>
      </c>
      <c r="G736" t="s">
        <v>2405</v>
      </c>
      <c r="H736" t="s">
        <v>2548</v>
      </c>
      <c r="I736" t="s">
        <v>2556</v>
      </c>
      <c r="J736" s="1">
        <f>HYPERLINK("https://ec.europa.eu/info/funding-tenders/opportunities/portal/screen/how-to-participate/org-details/986276989", "986276989")</f>
        <v>0</v>
      </c>
      <c r="K736" t="s">
        <v>2666</v>
      </c>
      <c r="L736" t="s">
        <v>2891</v>
      </c>
      <c r="M736" t="s">
        <v>2965</v>
      </c>
      <c r="N736" t="b">
        <v>0</v>
      </c>
      <c r="O736" t="s">
        <v>3003</v>
      </c>
      <c r="P736" t="s">
        <v>3189</v>
      </c>
      <c r="Q736">
        <v>13</v>
      </c>
      <c r="R736" t="s">
        <v>3345</v>
      </c>
      <c r="T736" s="2">
        <v>0</v>
      </c>
      <c r="U736" s="2">
        <v>13800</v>
      </c>
    </row>
    <row r="737" spans="1:21">
      <c r="A737" t="s">
        <v>22</v>
      </c>
      <c r="B737" s="1">
        <f>HYPERLINK("https://cordis.europa.eu/project/id/873207", "873207")</f>
        <v>0</v>
      </c>
      <c r="C737" t="s">
        <v>600</v>
      </c>
      <c r="D737" t="s">
        <v>1416</v>
      </c>
      <c r="E737" t="s">
        <v>1800</v>
      </c>
      <c r="F737" t="s">
        <v>2180</v>
      </c>
      <c r="G737" t="s">
        <v>2405</v>
      </c>
      <c r="H737" t="s">
        <v>2549</v>
      </c>
      <c r="I737" t="s">
        <v>2557</v>
      </c>
      <c r="J737" s="1">
        <f>HYPERLINK("https://ec.europa.eu/info/funding-tenders/opportunities/portal/screen/how-to-participate/org-details/999613131", "999613131")</f>
        <v>0</v>
      </c>
      <c r="K737" t="s">
        <v>2591</v>
      </c>
      <c r="L737" t="s">
        <v>2831</v>
      </c>
      <c r="M737" t="s">
        <v>2965</v>
      </c>
      <c r="N737" t="b">
        <v>0</v>
      </c>
      <c r="O737" t="s">
        <v>3003</v>
      </c>
      <c r="P737" t="s">
        <v>3189</v>
      </c>
      <c r="Q737">
        <v>12</v>
      </c>
      <c r="R737" t="s">
        <v>3345</v>
      </c>
      <c r="T737" s="2">
        <v>0</v>
      </c>
      <c r="U737" s="2">
        <v>18400</v>
      </c>
    </row>
    <row r="738" spans="1:21">
      <c r="A738" t="s">
        <v>22</v>
      </c>
      <c r="B738" s="1">
        <f>HYPERLINK("https://cordis.europa.eu/project/id/846958", "846958")</f>
        <v>0</v>
      </c>
      <c r="C738" t="s">
        <v>601</v>
      </c>
      <c r="D738" t="s">
        <v>1417</v>
      </c>
      <c r="E738" t="s">
        <v>1884</v>
      </c>
      <c r="F738" t="s">
        <v>2227</v>
      </c>
      <c r="G738" t="s">
        <v>2466</v>
      </c>
      <c r="H738" t="s">
        <v>2548</v>
      </c>
      <c r="I738" t="s">
        <v>2556</v>
      </c>
      <c r="J738" s="1">
        <f>HYPERLINK("https://ec.europa.eu/info/funding-tenders/opportunities/portal/screen/how-to-participate/org-details/968922622", "968922622")</f>
        <v>0</v>
      </c>
      <c r="K738" t="s">
        <v>2700</v>
      </c>
      <c r="L738" t="s">
        <v>2700</v>
      </c>
      <c r="M738" t="s">
        <v>2965</v>
      </c>
      <c r="N738" t="b">
        <v>0</v>
      </c>
      <c r="O738" t="s">
        <v>2997</v>
      </c>
      <c r="P738" t="s">
        <v>3158</v>
      </c>
      <c r="Q738">
        <v>3</v>
      </c>
      <c r="R738" t="s">
        <v>3345</v>
      </c>
      <c r="T738" s="2">
        <v>0</v>
      </c>
    </row>
    <row r="739" spans="1:21">
      <c r="A739" t="s">
        <v>22</v>
      </c>
      <c r="B739" s="1">
        <f>HYPERLINK("https://cordis.europa.eu/project/id/846958", "846958")</f>
        <v>0</v>
      </c>
      <c r="C739" t="s">
        <v>601</v>
      </c>
      <c r="D739" t="s">
        <v>1417</v>
      </c>
      <c r="E739" t="s">
        <v>1884</v>
      </c>
      <c r="F739" t="s">
        <v>2227</v>
      </c>
      <c r="G739" t="s">
        <v>2466</v>
      </c>
      <c r="H739" t="s">
        <v>2548</v>
      </c>
      <c r="I739" t="s">
        <v>2556</v>
      </c>
      <c r="J739" s="1">
        <f>HYPERLINK("https://ec.europa.eu/info/funding-tenders/opportunities/portal/screen/how-to-participate/org-details/999845252", "999845252")</f>
        <v>0</v>
      </c>
      <c r="K739" t="s">
        <v>2687</v>
      </c>
      <c r="L739" t="s">
        <v>2908</v>
      </c>
      <c r="M739" t="s">
        <v>2965</v>
      </c>
      <c r="N739" t="b">
        <v>0</v>
      </c>
      <c r="O739" t="s">
        <v>2997</v>
      </c>
      <c r="P739" t="s">
        <v>3158</v>
      </c>
      <c r="Q739">
        <v>2</v>
      </c>
      <c r="R739" t="s">
        <v>3345</v>
      </c>
      <c r="T739" s="2">
        <v>0</v>
      </c>
    </row>
    <row r="740" spans="1:21">
      <c r="A740" t="s">
        <v>22</v>
      </c>
      <c r="B740" s="1">
        <f>HYPERLINK("https://cordis.europa.eu/project/id/700952", "700952")</f>
        <v>0</v>
      </c>
      <c r="C740" t="s">
        <v>602</v>
      </c>
      <c r="D740" t="s">
        <v>1418</v>
      </c>
      <c r="E740" t="s">
        <v>1707</v>
      </c>
      <c r="F740" t="s">
        <v>2210</v>
      </c>
      <c r="G740" t="s">
        <v>2276</v>
      </c>
      <c r="H740" t="s">
        <v>2549</v>
      </c>
      <c r="I740" t="s">
        <v>2557</v>
      </c>
      <c r="J740" s="1">
        <f>HYPERLINK("https://ec.europa.eu/info/funding-tenders/opportunities/portal/screen/how-to-participate/org-details/996569368", "996569368")</f>
        <v>0</v>
      </c>
      <c r="K740" t="s">
        <v>2598</v>
      </c>
      <c r="L740" t="s">
        <v>2836</v>
      </c>
      <c r="M740" t="s">
        <v>2966</v>
      </c>
      <c r="N740" t="b">
        <v>0</v>
      </c>
      <c r="O740" t="s">
        <v>2998</v>
      </c>
      <c r="P740" t="s">
        <v>3164</v>
      </c>
      <c r="Q740">
        <v>2</v>
      </c>
      <c r="R740" t="s">
        <v>3345</v>
      </c>
      <c r="T740" s="2">
        <v>0</v>
      </c>
    </row>
    <row r="741" spans="1:21">
      <c r="A741" t="s">
        <v>22</v>
      </c>
      <c r="B741" s="1">
        <f>HYPERLINK("https://cordis.europa.eu/project/id/823827", "823827")</f>
        <v>0</v>
      </c>
      <c r="C741" t="s">
        <v>603</v>
      </c>
      <c r="D741" t="s">
        <v>1419</v>
      </c>
      <c r="E741" t="s">
        <v>1948</v>
      </c>
      <c r="F741" t="s">
        <v>2233</v>
      </c>
      <c r="G741" t="s">
        <v>2486</v>
      </c>
      <c r="H741" t="s">
        <v>2548</v>
      </c>
      <c r="I741" t="s">
        <v>2556</v>
      </c>
      <c r="J741" s="1">
        <f>HYPERLINK("https://ec.europa.eu/info/funding-tenders/opportunities/portal/screen/how-to-participate/org-details/998804927", "998804927")</f>
        <v>0</v>
      </c>
      <c r="K741" t="s">
        <v>2613</v>
      </c>
      <c r="M741" t="s">
        <v>2965</v>
      </c>
      <c r="N741" t="b">
        <v>0</v>
      </c>
      <c r="O741" t="s">
        <v>2993</v>
      </c>
      <c r="P741" t="s">
        <v>3223</v>
      </c>
      <c r="Q741">
        <v>28</v>
      </c>
      <c r="R741" t="s">
        <v>3344</v>
      </c>
      <c r="S741" s="2">
        <v>0</v>
      </c>
      <c r="T741" s="2">
        <v>0</v>
      </c>
      <c r="U741" s="2">
        <v>125000</v>
      </c>
    </row>
    <row r="742" spans="1:21">
      <c r="A742" t="s">
        <v>22</v>
      </c>
      <c r="B742" s="1">
        <f>HYPERLINK("https://cordis.europa.eu/project/id/722826", "722826")</f>
        <v>0</v>
      </c>
      <c r="C742" t="s">
        <v>604</v>
      </c>
      <c r="D742" t="s">
        <v>1420</v>
      </c>
      <c r="E742" t="s">
        <v>1949</v>
      </c>
      <c r="F742" t="s">
        <v>1892</v>
      </c>
      <c r="G742" t="s">
        <v>2421</v>
      </c>
      <c r="H742" t="s">
        <v>2548</v>
      </c>
      <c r="I742" t="s">
        <v>2556</v>
      </c>
      <c r="J742" s="1">
        <f>HYPERLINK("https://ec.europa.eu/info/funding-tenders/opportunities/portal/screen/how-to-participate/org-details/998082180", "998082180")</f>
        <v>0</v>
      </c>
      <c r="K742" t="s">
        <v>2565</v>
      </c>
      <c r="M742" t="s">
        <v>2965</v>
      </c>
      <c r="N742" t="b">
        <v>0</v>
      </c>
      <c r="O742" t="s">
        <v>3011</v>
      </c>
      <c r="P742" t="s">
        <v>3171</v>
      </c>
      <c r="Q742">
        <v>8</v>
      </c>
      <c r="R742" t="s">
        <v>3345</v>
      </c>
      <c r="T742" s="2">
        <v>0</v>
      </c>
      <c r="U742" s="2">
        <v>0</v>
      </c>
    </row>
    <row r="743" spans="1:21">
      <c r="A743" t="s">
        <v>22</v>
      </c>
      <c r="B743" s="1">
        <f>HYPERLINK("https://cordis.europa.eu/project/id/101024283", "101024283")</f>
        <v>0</v>
      </c>
      <c r="C743" t="s">
        <v>605</v>
      </c>
      <c r="D743" t="s">
        <v>1421</v>
      </c>
      <c r="E743" t="s">
        <v>1950</v>
      </c>
      <c r="F743" t="s">
        <v>2214</v>
      </c>
      <c r="G743" t="s">
        <v>2424</v>
      </c>
      <c r="H743" t="s">
        <v>2548</v>
      </c>
      <c r="I743" t="s">
        <v>2556</v>
      </c>
      <c r="J743" s="1">
        <f>HYPERLINK("https://ec.europa.eu/info/funding-tenders/opportunities/portal/screen/how-to-participate/org-details/997292018", "997292018")</f>
        <v>0</v>
      </c>
      <c r="K743" t="s">
        <v>2606</v>
      </c>
      <c r="L743" t="s">
        <v>2841</v>
      </c>
      <c r="M743" t="s">
        <v>2965</v>
      </c>
      <c r="N743" t="b">
        <v>0</v>
      </c>
      <c r="O743" t="s">
        <v>2997</v>
      </c>
      <c r="P743" t="s">
        <v>3166</v>
      </c>
      <c r="Q743">
        <v>2</v>
      </c>
      <c r="R743" t="s">
        <v>3345</v>
      </c>
      <c r="T743" s="2">
        <v>0</v>
      </c>
    </row>
    <row r="744" spans="1:21">
      <c r="A744" t="s">
        <v>22</v>
      </c>
      <c r="B744" s="1">
        <f>HYPERLINK("https://cordis.europa.eu/project/id/819960", "819960")</f>
        <v>0</v>
      </c>
      <c r="C744" t="s">
        <v>606</v>
      </c>
      <c r="D744" t="s">
        <v>1422</v>
      </c>
      <c r="E744" t="s">
        <v>1951</v>
      </c>
      <c r="F744" t="s">
        <v>2202</v>
      </c>
      <c r="G744" t="s">
        <v>2403</v>
      </c>
      <c r="H744" t="s">
        <v>2548</v>
      </c>
      <c r="I744" t="s">
        <v>2556</v>
      </c>
      <c r="J744" s="1">
        <f>HYPERLINK("https://ec.europa.eu/info/funding-tenders/opportunities/portal/screen/how-to-participate/org-details/919611896", "919611896")</f>
        <v>0</v>
      </c>
      <c r="K744" t="s">
        <v>2726</v>
      </c>
      <c r="M744" t="s">
        <v>2965</v>
      </c>
      <c r="N744" t="b">
        <v>0</v>
      </c>
      <c r="O744" t="s">
        <v>3001</v>
      </c>
      <c r="P744" t="s">
        <v>3168</v>
      </c>
      <c r="Q744">
        <v>4</v>
      </c>
      <c r="R744" t="s">
        <v>3342</v>
      </c>
      <c r="S744" s="2">
        <v>50000</v>
      </c>
      <c r="T744" s="2">
        <v>50000</v>
      </c>
      <c r="U744" s="2">
        <v>50000</v>
      </c>
    </row>
    <row r="745" spans="1:21">
      <c r="A745" t="s">
        <v>22</v>
      </c>
      <c r="B745" s="1">
        <f>HYPERLINK("https://cordis.europa.eu/project/id/101025938", "101025938")</f>
        <v>0</v>
      </c>
      <c r="C745" t="s">
        <v>607</v>
      </c>
      <c r="D745" t="s">
        <v>1423</v>
      </c>
      <c r="E745" t="s">
        <v>1952</v>
      </c>
      <c r="F745" t="s">
        <v>2216</v>
      </c>
      <c r="G745" t="s">
        <v>2430</v>
      </c>
      <c r="H745" t="s">
        <v>2548</v>
      </c>
      <c r="I745" t="s">
        <v>2556</v>
      </c>
      <c r="J745" s="1">
        <f>HYPERLINK("https://ec.europa.eu/info/funding-tenders/opportunities/portal/screen/how-to-participate/org-details/999885216", "999885216")</f>
        <v>0</v>
      </c>
      <c r="K745" t="s">
        <v>2658</v>
      </c>
      <c r="L745" t="s">
        <v>2884</v>
      </c>
      <c r="M745" t="s">
        <v>2965</v>
      </c>
      <c r="N745" t="b">
        <v>0</v>
      </c>
      <c r="O745" t="s">
        <v>2997</v>
      </c>
      <c r="P745" t="s">
        <v>3166</v>
      </c>
      <c r="Q745">
        <v>2</v>
      </c>
      <c r="R745" t="s">
        <v>3345</v>
      </c>
      <c r="T745" s="2">
        <v>0</v>
      </c>
    </row>
    <row r="746" spans="1:21">
      <c r="A746" t="s">
        <v>22</v>
      </c>
      <c r="B746" s="1">
        <f>HYPERLINK("https://cordis.europa.eu/project/id/833933", "833933")</f>
        <v>0</v>
      </c>
      <c r="C746" t="s">
        <v>608</v>
      </c>
      <c r="D746" t="s">
        <v>1424</v>
      </c>
      <c r="E746" t="s">
        <v>1953</v>
      </c>
      <c r="F746" t="s">
        <v>2191</v>
      </c>
      <c r="G746" t="s">
        <v>2489</v>
      </c>
      <c r="H746" t="s">
        <v>2548</v>
      </c>
      <c r="I746" t="s">
        <v>2556</v>
      </c>
      <c r="J746" s="1">
        <f>HYPERLINK("https://ec.europa.eu/info/funding-tenders/opportunities/portal/screen/how-to-participate/org-details/908228946", "908228946")</f>
        <v>0</v>
      </c>
      <c r="K746" t="s">
        <v>2770</v>
      </c>
      <c r="M746" t="s">
        <v>2968</v>
      </c>
      <c r="N746" t="b">
        <v>0</v>
      </c>
      <c r="O746" t="s">
        <v>2995</v>
      </c>
      <c r="P746" t="s">
        <v>3267</v>
      </c>
      <c r="Q746">
        <v>2</v>
      </c>
      <c r="R746" t="s">
        <v>3342</v>
      </c>
      <c r="S746" s="2">
        <v>1567142</v>
      </c>
      <c r="T746" s="2">
        <v>1567142</v>
      </c>
      <c r="U746" s="2">
        <v>1567142</v>
      </c>
    </row>
    <row r="747" spans="1:21">
      <c r="A747" t="s">
        <v>22</v>
      </c>
      <c r="B747" s="1">
        <f>HYPERLINK("https://cordis.europa.eu/project/id/745704", "745704")</f>
        <v>0</v>
      </c>
      <c r="C747" t="s">
        <v>609</v>
      </c>
      <c r="D747" t="s">
        <v>1425</v>
      </c>
      <c r="E747" t="s">
        <v>1827</v>
      </c>
      <c r="F747" t="s">
        <v>2197</v>
      </c>
      <c r="G747" t="s">
        <v>2418</v>
      </c>
      <c r="H747" t="s">
        <v>2548</v>
      </c>
      <c r="I747" t="s">
        <v>2556</v>
      </c>
      <c r="J747" s="1">
        <f>HYPERLINK("https://ec.europa.eu/info/funding-tenders/opportunities/portal/screen/how-to-participate/org-details/999845252", "999845252")</f>
        <v>0</v>
      </c>
      <c r="K747" t="s">
        <v>2687</v>
      </c>
      <c r="L747" t="s">
        <v>2908</v>
      </c>
      <c r="M747" t="s">
        <v>2965</v>
      </c>
      <c r="N747" t="b">
        <v>0</v>
      </c>
      <c r="O747" t="s">
        <v>2998</v>
      </c>
      <c r="P747" t="s">
        <v>3159</v>
      </c>
      <c r="Q747">
        <v>2</v>
      </c>
      <c r="R747" t="s">
        <v>3345</v>
      </c>
      <c r="T747" s="2">
        <v>0</v>
      </c>
    </row>
    <row r="748" spans="1:21">
      <c r="A748" t="s">
        <v>22</v>
      </c>
      <c r="B748" s="1">
        <f>HYPERLINK("https://cordis.europa.eu/project/id/897535", "897535")</f>
        <v>0</v>
      </c>
      <c r="C748" t="s">
        <v>610</v>
      </c>
      <c r="D748" t="s">
        <v>1426</v>
      </c>
      <c r="E748" t="s">
        <v>1680</v>
      </c>
      <c r="F748" t="s">
        <v>2216</v>
      </c>
      <c r="G748" t="s">
        <v>2428</v>
      </c>
      <c r="H748" t="s">
        <v>2548</v>
      </c>
      <c r="I748" t="s">
        <v>2556</v>
      </c>
      <c r="J748" s="1">
        <f>HYPERLINK("https://ec.europa.eu/info/funding-tenders/opportunities/portal/screen/how-to-participate/org-details/997151562", "997151562")</f>
        <v>0</v>
      </c>
      <c r="K748" t="s">
        <v>2604</v>
      </c>
      <c r="M748" t="s">
        <v>2965</v>
      </c>
      <c r="N748" t="b">
        <v>0</v>
      </c>
      <c r="O748" t="s">
        <v>2997</v>
      </c>
      <c r="P748" t="s">
        <v>3162</v>
      </c>
      <c r="Q748">
        <v>2</v>
      </c>
      <c r="R748" t="s">
        <v>3345</v>
      </c>
      <c r="T748" s="2">
        <v>0</v>
      </c>
    </row>
    <row r="749" spans="1:21">
      <c r="A749" t="s">
        <v>22</v>
      </c>
      <c r="B749" s="1">
        <f>HYPERLINK("https://cordis.europa.eu/project/id/688991", "688991")</f>
        <v>0</v>
      </c>
      <c r="C749" t="s">
        <v>611</v>
      </c>
      <c r="D749" t="s">
        <v>1427</v>
      </c>
      <c r="E749" t="s">
        <v>1905</v>
      </c>
      <c r="F749" t="s">
        <v>2188</v>
      </c>
      <c r="G749" t="s">
        <v>2387</v>
      </c>
      <c r="H749" t="s">
        <v>2548</v>
      </c>
      <c r="I749" t="s">
        <v>2556</v>
      </c>
      <c r="J749" s="1">
        <f>HYPERLINK("https://ec.europa.eu/info/funding-tenders/opportunities/portal/screen/how-to-participate/org-details/997151562", "997151562")</f>
        <v>0</v>
      </c>
      <c r="K749" t="s">
        <v>2604</v>
      </c>
      <c r="M749" t="s">
        <v>2965</v>
      </c>
      <c r="N749" t="b">
        <v>0</v>
      </c>
      <c r="O749" t="s">
        <v>3003</v>
      </c>
      <c r="P749" t="s">
        <v>3176</v>
      </c>
      <c r="Q749">
        <v>28</v>
      </c>
      <c r="R749" t="s">
        <v>3345</v>
      </c>
      <c r="T749" s="2">
        <v>0</v>
      </c>
      <c r="U749" s="2">
        <v>0</v>
      </c>
    </row>
    <row r="750" spans="1:21">
      <c r="A750" t="s">
        <v>22</v>
      </c>
      <c r="B750" s="1">
        <f>HYPERLINK("https://cordis.europa.eu/project/id/845799", "845799")</f>
        <v>0</v>
      </c>
      <c r="C750" t="s">
        <v>612</v>
      </c>
      <c r="D750" t="s">
        <v>1428</v>
      </c>
      <c r="E750" t="s">
        <v>1678</v>
      </c>
      <c r="F750" t="s">
        <v>2180</v>
      </c>
      <c r="G750" t="s">
        <v>2433</v>
      </c>
      <c r="H750" t="s">
        <v>2548</v>
      </c>
      <c r="I750" t="s">
        <v>2556</v>
      </c>
      <c r="J750" s="1">
        <f>HYPERLINK("https://ec.europa.eu/info/funding-tenders/opportunities/portal/screen/how-to-participate/org-details/985658420", "985658420")</f>
        <v>0</v>
      </c>
      <c r="K750" t="s">
        <v>2758</v>
      </c>
      <c r="M750" t="s">
        <v>2965</v>
      </c>
      <c r="N750" t="b">
        <v>0</v>
      </c>
      <c r="O750" t="s">
        <v>2997</v>
      </c>
      <c r="P750" t="s">
        <v>3158</v>
      </c>
      <c r="Q750">
        <v>2</v>
      </c>
      <c r="R750" t="s">
        <v>3345</v>
      </c>
      <c r="T750" s="2">
        <v>0</v>
      </c>
    </row>
    <row r="751" spans="1:21">
      <c r="A751" t="s">
        <v>22</v>
      </c>
      <c r="B751" s="1">
        <f>HYPERLINK("https://cordis.europa.eu/project/id/639363", "639363")</f>
        <v>0</v>
      </c>
      <c r="C751" t="s">
        <v>613</v>
      </c>
      <c r="D751" t="s">
        <v>1429</v>
      </c>
      <c r="E751" t="s">
        <v>1954</v>
      </c>
      <c r="F751" t="s">
        <v>2226</v>
      </c>
      <c r="G751" t="s">
        <v>2449</v>
      </c>
      <c r="H751" t="s">
        <v>2548</v>
      </c>
      <c r="I751" t="s">
        <v>2556</v>
      </c>
      <c r="J751" s="1">
        <f>HYPERLINK("https://ec.europa.eu/info/funding-tenders/opportunities/portal/screen/how-to-participate/org-details/999894043", "999894043")</f>
        <v>0</v>
      </c>
      <c r="K751" t="s">
        <v>2568</v>
      </c>
      <c r="L751" t="s">
        <v>2812</v>
      </c>
      <c r="M751" t="s">
        <v>2965</v>
      </c>
      <c r="N751" t="b">
        <v>0</v>
      </c>
      <c r="O751" t="s">
        <v>3006</v>
      </c>
      <c r="P751" t="s">
        <v>3219</v>
      </c>
      <c r="Q751">
        <v>3</v>
      </c>
      <c r="R751" t="s">
        <v>3342</v>
      </c>
      <c r="S751" s="2">
        <v>85000</v>
      </c>
      <c r="T751" s="2">
        <v>85000</v>
      </c>
      <c r="U751" s="2">
        <v>85000</v>
      </c>
    </row>
    <row r="752" spans="1:21">
      <c r="A752" t="s">
        <v>22</v>
      </c>
      <c r="B752" s="1">
        <f>HYPERLINK("https://cordis.europa.eu/project/id/897565", "897565")</f>
        <v>0</v>
      </c>
      <c r="C752" t="s">
        <v>614</v>
      </c>
      <c r="D752" t="s">
        <v>1430</v>
      </c>
      <c r="E752" t="s">
        <v>1681</v>
      </c>
      <c r="F752" t="s">
        <v>2279</v>
      </c>
      <c r="G752" t="s">
        <v>2508</v>
      </c>
      <c r="H752" t="s">
        <v>2548</v>
      </c>
      <c r="I752" t="s">
        <v>2556</v>
      </c>
      <c r="J752" s="1">
        <f>HYPERLINK("https://ec.europa.eu/info/funding-tenders/opportunities/portal/screen/how-to-participate/org-details/986276989", "986276989")</f>
        <v>0</v>
      </c>
      <c r="K752" t="s">
        <v>2666</v>
      </c>
      <c r="L752" t="s">
        <v>2891</v>
      </c>
      <c r="M752" t="s">
        <v>2965</v>
      </c>
      <c r="N752" t="b">
        <v>0</v>
      </c>
      <c r="O752" t="s">
        <v>2997</v>
      </c>
      <c r="P752" t="s">
        <v>3162</v>
      </c>
      <c r="Q752">
        <v>2</v>
      </c>
      <c r="R752" t="s">
        <v>3345</v>
      </c>
      <c r="T752" s="2">
        <v>0</v>
      </c>
    </row>
    <row r="753" spans="1:21">
      <c r="A753" t="s">
        <v>22</v>
      </c>
      <c r="B753" s="1">
        <f>HYPERLINK("https://cordis.europa.eu/project/id/813883", "813883")</f>
        <v>0</v>
      </c>
      <c r="C753" t="s">
        <v>615</v>
      </c>
      <c r="D753" t="s">
        <v>1431</v>
      </c>
      <c r="E753" t="s">
        <v>1955</v>
      </c>
      <c r="F753" t="s">
        <v>2259</v>
      </c>
      <c r="G753" t="s">
        <v>2434</v>
      </c>
      <c r="H753" t="s">
        <v>2548</v>
      </c>
      <c r="I753" t="s">
        <v>2556</v>
      </c>
      <c r="J753" s="1">
        <f>HYPERLINK("https://ec.europa.eu/info/funding-tenders/opportunities/portal/screen/how-to-participate/org-details/908829182", "908829182")</f>
        <v>0</v>
      </c>
      <c r="K753" t="s">
        <v>2771</v>
      </c>
      <c r="L753" t="s">
        <v>2948</v>
      </c>
      <c r="M753" t="s">
        <v>2968</v>
      </c>
      <c r="N753" t="b">
        <v>0</v>
      </c>
      <c r="O753" t="s">
        <v>3002</v>
      </c>
      <c r="P753" t="s">
        <v>3187</v>
      </c>
      <c r="Q753">
        <v>980</v>
      </c>
      <c r="R753" t="s">
        <v>3345</v>
      </c>
      <c r="T753" s="2">
        <v>0</v>
      </c>
      <c r="U753" s="2">
        <v>0</v>
      </c>
    </row>
    <row r="754" spans="1:21">
      <c r="A754" t="s">
        <v>22</v>
      </c>
      <c r="B754" s="1">
        <f>HYPERLINK("https://cordis.europa.eu/project/id/101007438", "101007438")</f>
        <v>0</v>
      </c>
      <c r="C754" t="s">
        <v>616</v>
      </c>
      <c r="D754" t="s">
        <v>1432</v>
      </c>
      <c r="E754" t="s">
        <v>1956</v>
      </c>
      <c r="F754" t="s">
        <v>2243</v>
      </c>
      <c r="G754" t="s">
        <v>2500</v>
      </c>
      <c r="H754" t="s">
        <v>2549</v>
      </c>
      <c r="I754" t="s">
        <v>2557</v>
      </c>
      <c r="J754" s="1">
        <f>HYPERLINK("https://ec.europa.eu/info/funding-tenders/opportunities/portal/screen/how-to-participate/org-details/999851654", "999851654")</f>
        <v>0</v>
      </c>
      <c r="K754" t="s">
        <v>2594</v>
      </c>
      <c r="M754" t="s">
        <v>2965</v>
      </c>
      <c r="N754" t="b">
        <v>0</v>
      </c>
      <c r="O754" t="s">
        <v>3003</v>
      </c>
      <c r="P754" t="s">
        <v>3216</v>
      </c>
      <c r="Q754">
        <v>9</v>
      </c>
      <c r="R754" t="s">
        <v>3345</v>
      </c>
      <c r="T754" s="2">
        <v>0</v>
      </c>
      <c r="U754" s="2">
        <v>27600</v>
      </c>
    </row>
    <row r="755" spans="1:21">
      <c r="A755" t="s">
        <v>22</v>
      </c>
      <c r="B755" s="1">
        <f>HYPERLINK("https://cordis.europa.eu/project/id/845061", "845061")</f>
        <v>0</v>
      </c>
      <c r="C755" t="s">
        <v>617</v>
      </c>
      <c r="D755" t="s">
        <v>1433</v>
      </c>
      <c r="E755" t="s">
        <v>1884</v>
      </c>
      <c r="F755" t="s">
        <v>2227</v>
      </c>
      <c r="G755" t="s">
        <v>2306</v>
      </c>
      <c r="H755" t="s">
        <v>2548</v>
      </c>
      <c r="I755" t="s">
        <v>2556</v>
      </c>
      <c r="J755" s="1">
        <f>HYPERLINK("https://ec.europa.eu/info/funding-tenders/opportunities/portal/screen/how-to-participate/org-details/999845252", "999845252")</f>
        <v>0</v>
      </c>
      <c r="K755" t="s">
        <v>2687</v>
      </c>
      <c r="L755" t="s">
        <v>2908</v>
      </c>
      <c r="M755" t="s">
        <v>2965</v>
      </c>
      <c r="N755" t="b">
        <v>0</v>
      </c>
      <c r="O755" t="s">
        <v>2997</v>
      </c>
      <c r="P755" t="s">
        <v>3158</v>
      </c>
      <c r="Q755">
        <v>2</v>
      </c>
      <c r="R755" t="s">
        <v>3345</v>
      </c>
      <c r="T755" s="2">
        <v>0</v>
      </c>
    </row>
    <row r="756" spans="1:21">
      <c r="A756" t="s">
        <v>22</v>
      </c>
      <c r="B756" s="1">
        <f>HYPERLINK("https://cordis.europa.eu/project/id/964215", "964215")</f>
        <v>0</v>
      </c>
      <c r="C756" t="s">
        <v>618</v>
      </c>
      <c r="D756" t="s">
        <v>1434</v>
      </c>
      <c r="E756" t="s">
        <v>1957</v>
      </c>
      <c r="F756" t="s">
        <v>2193</v>
      </c>
      <c r="G756" t="s">
        <v>2405</v>
      </c>
      <c r="H756" t="s">
        <v>2548</v>
      </c>
      <c r="I756" t="s">
        <v>2556</v>
      </c>
      <c r="J756" s="1">
        <f>HYPERLINK("https://ec.europa.eu/info/funding-tenders/opportunities/portal/screen/how-to-participate/org-details/963122410", "963122410")</f>
        <v>0</v>
      </c>
      <c r="K756" t="s">
        <v>2629</v>
      </c>
      <c r="L756" t="s">
        <v>2859</v>
      </c>
      <c r="M756" t="s">
        <v>2968</v>
      </c>
      <c r="N756" t="b">
        <v>0</v>
      </c>
      <c r="O756" t="s">
        <v>2992</v>
      </c>
      <c r="P756" t="s">
        <v>3143</v>
      </c>
      <c r="Q756">
        <v>4</v>
      </c>
      <c r="R756" t="s">
        <v>3342</v>
      </c>
      <c r="S756" s="2">
        <v>35887.5</v>
      </c>
      <c r="T756" s="2">
        <v>35887.5</v>
      </c>
      <c r="U756" s="2">
        <v>108750</v>
      </c>
    </row>
    <row r="757" spans="1:21">
      <c r="A757" t="s">
        <v>22</v>
      </c>
      <c r="B757" s="1">
        <f>HYPERLINK("https://cordis.europa.eu/project/id/892837", "892837")</f>
        <v>0</v>
      </c>
      <c r="C757" t="s">
        <v>619</v>
      </c>
      <c r="D757" t="s">
        <v>1435</v>
      </c>
      <c r="E757" t="s">
        <v>1868</v>
      </c>
      <c r="F757" t="s">
        <v>2212</v>
      </c>
      <c r="G757" t="s">
        <v>2509</v>
      </c>
      <c r="H757" t="s">
        <v>2548</v>
      </c>
      <c r="I757" t="s">
        <v>2556</v>
      </c>
      <c r="J757" s="1">
        <f>HYPERLINK("https://ec.europa.eu/info/funding-tenders/opportunities/portal/screen/how-to-participate/org-details/998089261", "998089261")</f>
        <v>0</v>
      </c>
      <c r="K757" t="s">
        <v>2661</v>
      </c>
      <c r="L757" t="s">
        <v>2887</v>
      </c>
      <c r="M757" t="s">
        <v>2966</v>
      </c>
      <c r="N757" t="b">
        <v>0</v>
      </c>
      <c r="O757" t="s">
        <v>2997</v>
      </c>
      <c r="P757" t="s">
        <v>3162</v>
      </c>
      <c r="Q757">
        <v>2</v>
      </c>
      <c r="R757" t="s">
        <v>3345</v>
      </c>
      <c r="T757" s="2">
        <v>0</v>
      </c>
    </row>
    <row r="758" spans="1:21">
      <c r="A758" t="s">
        <v>22</v>
      </c>
      <c r="B758" s="1">
        <f>HYPERLINK("https://cordis.europa.eu/project/id/701698", "701698")</f>
        <v>0</v>
      </c>
      <c r="C758" t="s">
        <v>620</v>
      </c>
      <c r="D758" t="s">
        <v>1436</v>
      </c>
      <c r="E758" t="s">
        <v>1725</v>
      </c>
      <c r="F758" t="s">
        <v>2209</v>
      </c>
      <c r="G758" t="s">
        <v>2510</v>
      </c>
      <c r="H758" t="s">
        <v>2548</v>
      </c>
      <c r="I758" t="s">
        <v>2556</v>
      </c>
      <c r="J758" s="1">
        <f>HYPERLINK("https://ec.europa.eu/info/funding-tenders/opportunities/portal/screen/how-to-participate/org-details/998804636", "998804636")</f>
        <v>0</v>
      </c>
      <c r="K758" t="s">
        <v>2612</v>
      </c>
      <c r="L758" t="s">
        <v>2845</v>
      </c>
      <c r="M758" t="s">
        <v>2965</v>
      </c>
      <c r="N758" t="b">
        <v>0</v>
      </c>
      <c r="O758" t="s">
        <v>2997</v>
      </c>
      <c r="P758" t="s">
        <v>3164</v>
      </c>
      <c r="Q758">
        <v>2</v>
      </c>
      <c r="R758" t="s">
        <v>3345</v>
      </c>
      <c r="T758" s="2">
        <v>0</v>
      </c>
    </row>
    <row r="759" spans="1:21">
      <c r="A759" t="s">
        <v>22</v>
      </c>
      <c r="B759" s="1">
        <f>HYPERLINK("https://cordis.europa.eu/project/id/793396", "793396")</f>
        <v>0</v>
      </c>
      <c r="C759" t="s">
        <v>621</v>
      </c>
      <c r="D759" t="s">
        <v>1437</v>
      </c>
      <c r="E759" t="s">
        <v>1958</v>
      </c>
      <c r="F759" t="s">
        <v>2192</v>
      </c>
      <c r="G759" t="s">
        <v>2511</v>
      </c>
      <c r="H759" t="s">
        <v>2548</v>
      </c>
      <c r="I759" t="s">
        <v>2556</v>
      </c>
      <c r="J759" s="1">
        <f>HYPERLINK("https://ec.europa.eu/info/funding-tenders/opportunities/portal/screen/how-to-participate/org-details/998826946", "998826946")</f>
        <v>0</v>
      </c>
      <c r="K759" t="s">
        <v>2617</v>
      </c>
      <c r="L759" t="s">
        <v>2848</v>
      </c>
      <c r="M759" t="s">
        <v>2965</v>
      </c>
      <c r="N759" t="b">
        <v>0</v>
      </c>
      <c r="O759" t="s">
        <v>2997</v>
      </c>
      <c r="P759" t="s">
        <v>3160</v>
      </c>
      <c r="Q759">
        <v>2</v>
      </c>
      <c r="R759" t="s">
        <v>3345</v>
      </c>
      <c r="T759" s="2">
        <v>0</v>
      </c>
    </row>
    <row r="760" spans="1:21">
      <c r="A760" t="s">
        <v>22</v>
      </c>
      <c r="B760" s="1">
        <f>HYPERLINK("https://cordis.europa.eu/project/id/872488", "872488")</f>
        <v>0</v>
      </c>
      <c r="C760" t="s">
        <v>622</v>
      </c>
      <c r="D760" t="s">
        <v>1438</v>
      </c>
      <c r="E760" t="s">
        <v>1800</v>
      </c>
      <c r="F760" t="s">
        <v>2180</v>
      </c>
      <c r="G760" t="s">
        <v>2489</v>
      </c>
      <c r="H760" t="s">
        <v>2549</v>
      </c>
      <c r="I760" t="s">
        <v>2557</v>
      </c>
      <c r="J760" s="1">
        <f>HYPERLINK("https://ec.europa.eu/info/funding-tenders/opportunities/portal/screen/how-to-participate/org-details/999873673", "999873673")</f>
        <v>0</v>
      </c>
      <c r="K760" t="s">
        <v>2578</v>
      </c>
      <c r="M760" t="s">
        <v>2965</v>
      </c>
      <c r="N760" t="b">
        <v>0</v>
      </c>
      <c r="O760" t="s">
        <v>3003</v>
      </c>
      <c r="P760" t="s">
        <v>3189</v>
      </c>
      <c r="Q760">
        <v>8</v>
      </c>
      <c r="R760" t="s">
        <v>3345</v>
      </c>
      <c r="T760" s="2">
        <v>0</v>
      </c>
      <c r="U760" s="2">
        <v>138000</v>
      </c>
    </row>
    <row r="761" spans="1:21">
      <c r="A761" t="s">
        <v>22</v>
      </c>
      <c r="B761" s="1">
        <f>HYPERLINK("https://cordis.europa.eu/project/id/872488", "872488")</f>
        <v>0</v>
      </c>
      <c r="C761" t="s">
        <v>622</v>
      </c>
      <c r="D761" t="s">
        <v>1438</v>
      </c>
      <c r="E761" t="s">
        <v>1800</v>
      </c>
      <c r="F761" t="s">
        <v>2180</v>
      </c>
      <c r="G761" t="s">
        <v>2489</v>
      </c>
      <c r="H761" t="s">
        <v>2549</v>
      </c>
      <c r="I761" t="s">
        <v>2557</v>
      </c>
      <c r="J761" s="1">
        <f>HYPERLINK("https://ec.europa.eu/info/funding-tenders/opportunities/portal/screen/how-to-participate/org-details/999613131", "999613131")</f>
        <v>0</v>
      </c>
      <c r="K761" t="s">
        <v>2591</v>
      </c>
      <c r="L761" t="s">
        <v>2831</v>
      </c>
      <c r="M761" t="s">
        <v>2965</v>
      </c>
      <c r="N761" t="b">
        <v>0</v>
      </c>
      <c r="O761" t="s">
        <v>3003</v>
      </c>
      <c r="P761" t="s">
        <v>3189</v>
      </c>
      <c r="Q761">
        <v>7</v>
      </c>
      <c r="R761" t="s">
        <v>3345</v>
      </c>
      <c r="T761" s="2">
        <v>0</v>
      </c>
      <c r="U761" s="2">
        <v>46000</v>
      </c>
    </row>
    <row r="762" spans="1:21">
      <c r="A762" t="s">
        <v>22</v>
      </c>
      <c r="B762" s="1">
        <f>HYPERLINK("https://cordis.europa.eu/project/id/825903", "825903")</f>
        <v>0</v>
      </c>
      <c r="C762" t="s">
        <v>623</v>
      </c>
      <c r="D762" t="s">
        <v>1439</v>
      </c>
      <c r="E762" t="s">
        <v>1959</v>
      </c>
      <c r="F762" t="s">
        <v>2251</v>
      </c>
      <c r="G762" t="s">
        <v>2397</v>
      </c>
      <c r="H762" t="s">
        <v>2548</v>
      </c>
      <c r="I762" t="s">
        <v>2556</v>
      </c>
      <c r="J762" s="1">
        <f>HYPERLINK("https://ec.europa.eu/info/funding-tenders/opportunities/portal/screen/how-to-participate/org-details/998225740", "998225740")</f>
        <v>0</v>
      </c>
      <c r="K762" t="s">
        <v>2637</v>
      </c>
      <c r="M762" t="s">
        <v>2965</v>
      </c>
      <c r="N762" t="b">
        <v>0</v>
      </c>
      <c r="O762" t="s">
        <v>2993</v>
      </c>
      <c r="P762" t="s">
        <v>3152</v>
      </c>
      <c r="Q762">
        <v>13</v>
      </c>
      <c r="R762" t="s">
        <v>3342</v>
      </c>
      <c r="S762" s="2">
        <v>0</v>
      </c>
      <c r="T762" s="2">
        <v>0</v>
      </c>
      <c r="U762" s="2">
        <v>194400</v>
      </c>
    </row>
    <row r="763" spans="1:21">
      <c r="A763" t="s">
        <v>22</v>
      </c>
      <c r="B763" s="1">
        <f>HYPERLINK("https://cordis.europa.eu/project/id/825903", "825903")</f>
        <v>0</v>
      </c>
      <c r="C763" t="s">
        <v>623</v>
      </c>
      <c r="D763" t="s">
        <v>1439</v>
      </c>
      <c r="E763" t="s">
        <v>1959</v>
      </c>
      <c r="F763" t="s">
        <v>2251</v>
      </c>
      <c r="G763" t="s">
        <v>2397</v>
      </c>
      <c r="H763" t="s">
        <v>2548</v>
      </c>
      <c r="I763" t="s">
        <v>2556</v>
      </c>
      <c r="J763" s="1">
        <f>HYPERLINK("https://ec.europa.eu/info/funding-tenders/opportunities/portal/screen/how-to-participate/org-details/998089261", "998089261")</f>
        <v>0</v>
      </c>
      <c r="K763" t="s">
        <v>2661</v>
      </c>
      <c r="L763" t="s">
        <v>2887</v>
      </c>
      <c r="M763" t="s">
        <v>2966</v>
      </c>
      <c r="N763" t="b">
        <v>0</v>
      </c>
      <c r="O763" t="s">
        <v>2993</v>
      </c>
      <c r="P763" t="s">
        <v>3152</v>
      </c>
      <c r="Q763">
        <v>2</v>
      </c>
      <c r="R763" t="s">
        <v>3342</v>
      </c>
      <c r="S763" s="2">
        <v>0</v>
      </c>
      <c r="T763" s="2">
        <v>0</v>
      </c>
      <c r="U763" s="2">
        <v>257750</v>
      </c>
    </row>
    <row r="764" spans="1:21">
      <c r="A764" t="s">
        <v>22</v>
      </c>
      <c r="B764" s="1">
        <f>HYPERLINK("https://cordis.europa.eu/project/id/825903", "825903")</f>
        <v>0</v>
      </c>
      <c r="C764" t="s">
        <v>623</v>
      </c>
      <c r="D764" t="s">
        <v>1439</v>
      </c>
      <c r="E764" t="s">
        <v>1959</v>
      </c>
      <c r="F764" t="s">
        <v>2251</v>
      </c>
      <c r="G764" t="s">
        <v>2397</v>
      </c>
      <c r="H764" t="s">
        <v>2548</v>
      </c>
      <c r="I764" t="s">
        <v>2556</v>
      </c>
      <c r="J764" s="1">
        <f>HYPERLINK("https://ec.europa.eu/info/funding-tenders/opportunities/portal/screen/how-to-participate/org-details/998826946", "998826946")</f>
        <v>0</v>
      </c>
      <c r="K764" t="s">
        <v>2617</v>
      </c>
      <c r="L764" t="s">
        <v>2848</v>
      </c>
      <c r="M764" t="s">
        <v>2965</v>
      </c>
      <c r="N764" t="b">
        <v>0</v>
      </c>
      <c r="O764" t="s">
        <v>2993</v>
      </c>
      <c r="P764" t="s">
        <v>3152</v>
      </c>
      <c r="Q764">
        <v>7</v>
      </c>
      <c r="R764" t="s">
        <v>3342</v>
      </c>
      <c r="S764" s="2">
        <v>0</v>
      </c>
      <c r="T764" s="2">
        <v>0</v>
      </c>
    </row>
    <row r="765" spans="1:21">
      <c r="A765" t="s">
        <v>22</v>
      </c>
      <c r="B765" s="1">
        <f>HYPERLINK("https://cordis.europa.eu/project/id/825746", "825746")</f>
        <v>0</v>
      </c>
      <c r="C765" t="s">
        <v>624</v>
      </c>
      <c r="D765" t="s">
        <v>1440</v>
      </c>
      <c r="E765" t="s">
        <v>1959</v>
      </c>
      <c r="F765" t="s">
        <v>2189</v>
      </c>
      <c r="G765" t="s">
        <v>2417</v>
      </c>
      <c r="H765" t="s">
        <v>2548</v>
      </c>
      <c r="I765" t="s">
        <v>2556</v>
      </c>
      <c r="J765" s="1">
        <f>HYPERLINK("https://ec.europa.eu/info/funding-tenders/opportunities/portal/screen/how-to-participate/org-details/998804636", "998804636")</f>
        <v>0</v>
      </c>
      <c r="K765" t="s">
        <v>2612</v>
      </c>
      <c r="L765" t="s">
        <v>2845</v>
      </c>
      <c r="M765" t="s">
        <v>2965</v>
      </c>
      <c r="N765" t="b">
        <v>0</v>
      </c>
      <c r="O765" t="s">
        <v>2993</v>
      </c>
      <c r="P765" t="s">
        <v>3152</v>
      </c>
      <c r="Q765">
        <v>7</v>
      </c>
      <c r="R765" t="s">
        <v>3342</v>
      </c>
      <c r="S765" s="2">
        <v>0</v>
      </c>
      <c r="T765" s="2">
        <v>0</v>
      </c>
    </row>
    <row r="766" spans="1:21">
      <c r="A766" t="s">
        <v>22</v>
      </c>
      <c r="B766" s="1">
        <f>HYPERLINK("https://cordis.europa.eu/project/id/825746", "825746")</f>
        <v>0</v>
      </c>
      <c r="C766" t="s">
        <v>624</v>
      </c>
      <c r="D766" t="s">
        <v>1440</v>
      </c>
      <c r="E766" t="s">
        <v>1959</v>
      </c>
      <c r="F766" t="s">
        <v>2189</v>
      </c>
      <c r="G766" t="s">
        <v>2417</v>
      </c>
      <c r="H766" t="s">
        <v>2548</v>
      </c>
      <c r="I766" t="s">
        <v>2556</v>
      </c>
      <c r="J766" s="1">
        <f>HYPERLINK("https://ec.europa.eu/info/funding-tenders/opportunities/portal/screen/how-to-participate/org-details/998225740", "998225740")</f>
        <v>0</v>
      </c>
      <c r="K766" t="s">
        <v>2637</v>
      </c>
      <c r="M766" t="s">
        <v>2965</v>
      </c>
      <c r="N766" t="b">
        <v>0</v>
      </c>
      <c r="O766" t="s">
        <v>2993</v>
      </c>
      <c r="P766" t="s">
        <v>3152</v>
      </c>
      <c r="Q766">
        <v>8</v>
      </c>
      <c r="R766" t="s">
        <v>3342</v>
      </c>
      <c r="S766" s="2">
        <v>0</v>
      </c>
      <c r="T766" s="2">
        <v>0</v>
      </c>
      <c r="U766" s="2">
        <v>478625</v>
      </c>
    </row>
    <row r="767" spans="1:21">
      <c r="A767" t="s">
        <v>22</v>
      </c>
      <c r="B767" s="1">
        <f>HYPERLINK("https://cordis.europa.eu/project/id/825746", "825746")</f>
        <v>0</v>
      </c>
      <c r="C767" t="s">
        <v>624</v>
      </c>
      <c r="D767" t="s">
        <v>1440</v>
      </c>
      <c r="E767" t="s">
        <v>1959</v>
      </c>
      <c r="F767" t="s">
        <v>2189</v>
      </c>
      <c r="G767" t="s">
        <v>2417</v>
      </c>
      <c r="H767" t="s">
        <v>2548</v>
      </c>
      <c r="I767" t="s">
        <v>2556</v>
      </c>
      <c r="J767" s="1">
        <f>HYPERLINK("https://ec.europa.eu/info/funding-tenders/opportunities/portal/screen/how-to-participate/org-details/998089261", "998089261")</f>
        <v>0</v>
      </c>
      <c r="K767" t="s">
        <v>2661</v>
      </c>
      <c r="L767" t="s">
        <v>2887</v>
      </c>
      <c r="M767" t="s">
        <v>2966</v>
      </c>
      <c r="N767" t="b">
        <v>0</v>
      </c>
      <c r="O767" t="s">
        <v>2993</v>
      </c>
      <c r="P767" t="s">
        <v>3152</v>
      </c>
      <c r="Q767">
        <v>15</v>
      </c>
      <c r="R767" t="s">
        <v>3342</v>
      </c>
      <c r="S767" s="2">
        <v>0</v>
      </c>
      <c r="T767" s="2">
        <v>0</v>
      </c>
      <c r="U767" s="2">
        <v>10000</v>
      </c>
    </row>
    <row r="768" spans="1:21">
      <c r="A768" t="s">
        <v>22</v>
      </c>
      <c r="B768" s="1">
        <f>HYPERLINK("https://cordis.europa.eu/project/id/825746", "825746")</f>
        <v>0</v>
      </c>
      <c r="C768" t="s">
        <v>624</v>
      </c>
      <c r="D768" t="s">
        <v>1440</v>
      </c>
      <c r="E768" t="s">
        <v>1959</v>
      </c>
      <c r="F768" t="s">
        <v>2189</v>
      </c>
      <c r="G768" t="s">
        <v>2417</v>
      </c>
      <c r="H768" t="s">
        <v>2548</v>
      </c>
      <c r="I768" t="s">
        <v>2556</v>
      </c>
      <c r="J768" s="1">
        <f>HYPERLINK("https://ec.europa.eu/info/funding-tenders/opportunities/portal/screen/how-to-participate/org-details/998826946", "998826946")</f>
        <v>0</v>
      </c>
      <c r="K768" t="s">
        <v>2617</v>
      </c>
      <c r="L768" t="s">
        <v>2848</v>
      </c>
      <c r="M768" t="s">
        <v>2965</v>
      </c>
      <c r="N768" t="b">
        <v>0</v>
      </c>
      <c r="O768" t="s">
        <v>2993</v>
      </c>
      <c r="P768" t="s">
        <v>3152</v>
      </c>
      <c r="Q768">
        <v>10</v>
      </c>
      <c r="R768" t="s">
        <v>3342</v>
      </c>
      <c r="S768" s="2">
        <v>0</v>
      </c>
      <c r="T768" s="2">
        <v>0</v>
      </c>
    </row>
    <row r="769" spans="1:21">
      <c r="A769" t="s">
        <v>22</v>
      </c>
      <c r="B769" s="1">
        <f>HYPERLINK("https://cordis.europa.eu/project/id/634935", "634935")</f>
        <v>0</v>
      </c>
      <c r="C769" t="s">
        <v>625</v>
      </c>
      <c r="D769" t="s">
        <v>1441</v>
      </c>
      <c r="E769" t="s">
        <v>1960</v>
      </c>
      <c r="F769" t="s">
        <v>2236</v>
      </c>
      <c r="G769" t="s">
        <v>2511</v>
      </c>
      <c r="H769" t="s">
        <v>2548</v>
      </c>
      <c r="I769" t="s">
        <v>2556</v>
      </c>
      <c r="J769" s="1">
        <f>HYPERLINK("https://ec.europa.eu/info/funding-tenders/opportunities/portal/screen/how-to-participate/org-details/998082180", "998082180")</f>
        <v>0</v>
      </c>
      <c r="K769" t="s">
        <v>2565</v>
      </c>
      <c r="M769" t="s">
        <v>2965</v>
      </c>
      <c r="N769" t="b">
        <v>0</v>
      </c>
      <c r="O769" t="s">
        <v>2993</v>
      </c>
      <c r="P769" t="s">
        <v>3227</v>
      </c>
      <c r="Q769">
        <v>15</v>
      </c>
      <c r="R769" t="s">
        <v>3342</v>
      </c>
      <c r="S769" s="2">
        <v>0</v>
      </c>
      <c r="T769" s="2">
        <v>0</v>
      </c>
      <c r="U769" s="2">
        <v>51250</v>
      </c>
    </row>
    <row r="770" spans="1:21">
      <c r="A770" t="s">
        <v>22</v>
      </c>
      <c r="B770" s="1">
        <f>HYPERLINK("https://cordis.europa.eu/project/id/965286", "965286")</f>
        <v>0</v>
      </c>
      <c r="C770" t="s">
        <v>626</v>
      </c>
      <c r="D770" t="s">
        <v>1442</v>
      </c>
      <c r="E770" t="s">
        <v>1957</v>
      </c>
      <c r="F770" t="s">
        <v>2182</v>
      </c>
      <c r="G770" t="s">
        <v>2393</v>
      </c>
      <c r="H770" t="s">
        <v>2548</v>
      </c>
      <c r="I770" t="s">
        <v>2556</v>
      </c>
      <c r="J770" s="1">
        <f>HYPERLINK("https://ec.europa.eu/info/funding-tenders/opportunities/portal/screen/how-to-participate/org-details/896236060", "896236060")</f>
        <v>0</v>
      </c>
      <c r="K770" t="s">
        <v>2772</v>
      </c>
      <c r="M770" t="s">
        <v>2969</v>
      </c>
      <c r="N770" t="b">
        <v>0</v>
      </c>
      <c r="O770" t="s">
        <v>2993</v>
      </c>
      <c r="P770" t="s">
        <v>3143</v>
      </c>
      <c r="Q770">
        <v>12</v>
      </c>
      <c r="R770" t="s">
        <v>3342</v>
      </c>
      <c r="S770" s="2">
        <v>0</v>
      </c>
      <c r="T770" s="2">
        <v>0</v>
      </c>
      <c r="U770" s="2">
        <v>605000</v>
      </c>
    </row>
    <row r="771" spans="1:21">
      <c r="A771" t="s">
        <v>22</v>
      </c>
      <c r="B771" s="1">
        <f>HYPERLINK("https://cordis.europa.eu/project/id/645740", "645740")</f>
        <v>0</v>
      </c>
      <c r="C771" t="s">
        <v>627</v>
      </c>
      <c r="D771" t="s">
        <v>1443</v>
      </c>
      <c r="E771" t="s">
        <v>1961</v>
      </c>
      <c r="F771" t="s">
        <v>2222</v>
      </c>
      <c r="G771" t="s">
        <v>2387</v>
      </c>
      <c r="H771" t="s">
        <v>2548</v>
      </c>
      <c r="I771" t="s">
        <v>2556</v>
      </c>
      <c r="J771" s="1">
        <f>HYPERLINK("https://ec.europa.eu/info/funding-tenders/opportunities/portal/screen/how-to-participate/org-details/998826946", "998826946")</f>
        <v>0</v>
      </c>
      <c r="K771" t="s">
        <v>2617</v>
      </c>
      <c r="L771" t="s">
        <v>2848</v>
      </c>
      <c r="M771" t="s">
        <v>2965</v>
      </c>
      <c r="N771" t="b">
        <v>0</v>
      </c>
      <c r="O771" t="s">
        <v>3003</v>
      </c>
      <c r="P771" t="s">
        <v>3175</v>
      </c>
      <c r="Q771">
        <v>11</v>
      </c>
      <c r="R771" t="s">
        <v>3345</v>
      </c>
      <c r="T771" s="2">
        <v>0</v>
      </c>
      <c r="U771" s="2">
        <v>0</v>
      </c>
    </row>
    <row r="772" spans="1:21">
      <c r="A772" t="s">
        <v>22</v>
      </c>
      <c r="B772" s="1">
        <f>HYPERLINK("https://cordis.europa.eu/project/id/653961", "653961")</f>
        <v>0</v>
      </c>
      <c r="C772" t="s">
        <v>628</v>
      </c>
      <c r="D772" t="s">
        <v>1444</v>
      </c>
      <c r="E772" t="s">
        <v>1703</v>
      </c>
      <c r="F772" t="s">
        <v>2226</v>
      </c>
      <c r="G772" t="s">
        <v>2475</v>
      </c>
      <c r="H772" t="s">
        <v>2548</v>
      </c>
      <c r="I772" t="s">
        <v>2556</v>
      </c>
      <c r="J772" s="1">
        <f>HYPERLINK("https://ec.europa.eu/info/funding-tenders/opportunities/portal/screen/how-to-participate/org-details/995410024", "995410024")</f>
        <v>0</v>
      </c>
      <c r="K772" t="s">
        <v>2646</v>
      </c>
      <c r="L772" t="s">
        <v>2874</v>
      </c>
      <c r="N772" t="b">
        <v>0</v>
      </c>
      <c r="O772" t="s">
        <v>2985</v>
      </c>
      <c r="P772" t="s">
        <v>3268</v>
      </c>
      <c r="Q772">
        <v>6</v>
      </c>
      <c r="R772" t="s">
        <v>3342</v>
      </c>
      <c r="S772" s="2">
        <v>0</v>
      </c>
      <c r="T772" s="2">
        <v>0</v>
      </c>
      <c r="U772" s="2">
        <v>6250</v>
      </c>
    </row>
    <row r="773" spans="1:21">
      <c r="A773" t="s">
        <v>22</v>
      </c>
      <c r="B773" s="1">
        <f>HYPERLINK("https://cordis.europa.eu/project/id/888692", "888692")</f>
        <v>0</v>
      </c>
      <c r="C773" t="s">
        <v>629</v>
      </c>
      <c r="D773" t="s">
        <v>1445</v>
      </c>
      <c r="E773" t="s">
        <v>1679</v>
      </c>
      <c r="F773" t="s">
        <v>2201</v>
      </c>
      <c r="G773" t="s">
        <v>2412</v>
      </c>
      <c r="H773" t="s">
        <v>2548</v>
      </c>
      <c r="I773" t="s">
        <v>2556</v>
      </c>
      <c r="J773" s="1">
        <f>HYPERLINK("https://ec.europa.eu/info/funding-tenders/opportunities/portal/screen/how-to-participate/org-details/917241216", "917241216")</f>
        <v>0</v>
      </c>
      <c r="K773" t="s">
        <v>2773</v>
      </c>
      <c r="L773" t="s">
        <v>2949</v>
      </c>
      <c r="M773" t="s">
        <v>2968</v>
      </c>
      <c r="N773" t="b">
        <v>0</v>
      </c>
      <c r="O773" t="s">
        <v>2997</v>
      </c>
      <c r="P773" t="s">
        <v>3162</v>
      </c>
      <c r="Q773">
        <v>2</v>
      </c>
      <c r="R773" t="s">
        <v>3345</v>
      </c>
      <c r="T773" s="2">
        <v>0</v>
      </c>
    </row>
    <row r="774" spans="1:21">
      <c r="A774" t="s">
        <v>22</v>
      </c>
      <c r="B774" s="1">
        <f>HYPERLINK("https://cordis.europa.eu/project/id/101036822", "101036822")</f>
        <v>0</v>
      </c>
      <c r="C774" t="s">
        <v>630</v>
      </c>
      <c r="D774" t="s">
        <v>1446</v>
      </c>
      <c r="E774" t="s">
        <v>1962</v>
      </c>
      <c r="F774" t="s">
        <v>2206</v>
      </c>
      <c r="G774" t="s">
        <v>2405</v>
      </c>
      <c r="H774" t="s">
        <v>2549</v>
      </c>
      <c r="I774" t="s">
        <v>2557</v>
      </c>
      <c r="J774" s="1">
        <f>HYPERLINK("https://ec.europa.eu/info/funding-tenders/opportunities/portal/screen/how-to-participate/org-details/996306013", "996306013")</f>
        <v>0</v>
      </c>
      <c r="K774" t="s">
        <v>2645</v>
      </c>
      <c r="M774" t="s">
        <v>2966</v>
      </c>
      <c r="N774" t="b">
        <v>0</v>
      </c>
      <c r="O774" t="s">
        <v>2994</v>
      </c>
      <c r="P774" t="s">
        <v>3269</v>
      </c>
      <c r="Q774">
        <v>3</v>
      </c>
      <c r="R774" t="s">
        <v>3342</v>
      </c>
      <c r="S774" s="2">
        <v>0</v>
      </c>
      <c r="T774" s="2">
        <v>0</v>
      </c>
      <c r="U774" s="2">
        <v>549750</v>
      </c>
    </row>
    <row r="775" spans="1:21">
      <c r="A775" t="s">
        <v>22</v>
      </c>
      <c r="B775" s="1">
        <f>HYPERLINK("https://cordis.europa.eu/project/id/101036822", "101036822")</f>
        <v>0</v>
      </c>
      <c r="C775" t="s">
        <v>630</v>
      </c>
      <c r="D775" t="s">
        <v>1446</v>
      </c>
      <c r="E775" t="s">
        <v>1962</v>
      </c>
      <c r="F775" t="s">
        <v>2206</v>
      </c>
      <c r="G775" t="s">
        <v>2405</v>
      </c>
      <c r="H775" t="s">
        <v>2549</v>
      </c>
      <c r="I775" t="s">
        <v>2557</v>
      </c>
      <c r="J775" s="1">
        <f>HYPERLINK("https://ec.europa.eu/info/funding-tenders/opportunities/portal/screen/how-to-participate/org-details/992582086", "992582086")</f>
        <v>0</v>
      </c>
      <c r="K775" t="s">
        <v>2678</v>
      </c>
      <c r="L775" t="s">
        <v>2900</v>
      </c>
      <c r="M775" t="s">
        <v>2965</v>
      </c>
      <c r="N775" t="b">
        <v>0</v>
      </c>
      <c r="O775" t="s">
        <v>2994</v>
      </c>
      <c r="P775" t="s">
        <v>3269</v>
      </c>
      <c r="Q775">
        <v>22</v>
      </c>
      <c r="R775" t="s">
        <v>3342</v>
      </c>
      <c r="S775" s="2">
        <v>0</v>
      </c>
      <c r="T775" s="2">
        <v>0</v>
      </c>
      <c r="U775" s="2">
        <v>105000</v>
      </c>
    </row>
    <row r="776" spans="1:21">
      <c r="A776" t="s">
        <v>22</v>
      </c>
      <c r="B776" s="1">
        <f>HYPERLINK("https://cordis.europa.eu/project/id/796451", "796451")</f>
        <v>0</v>
      </c>
      <c r="C776" t="s">
        <v>631</v>
      </c>
      <c r="D776" t="s">
        <v>1447</v>
      </c>
      <c r="E776" t="s">
        <v>1963</v>
      </c>
      <c r="F776" t="s">
        <v>2192</v>
      </c>
      <c r="G776" t="s">
        <v>2511</v>
      </c>
      <c r="H776" t="s">
        <v>2548</v>
      </c>
      <c r="I776" t="s">
        <v>2556</v>
      </c>
      <c r="J776" s="1">
        <f>HYPERLINK("https://ec.europa.eu/info/funding-tenders/opportunities/portal/screen/how-to-participate/org-details/998804636", "998804636")</f>
        <v>0</v>
      </c>
      <c r="K776" t="s">
        <v>2612</v>
      </c>
      <c r="L776" t="s">
        <v>2845</v>
      </c>
      <c r="M776" t="s">
        <v>2965</v>
      </c>
      <c r="N776" t="b">
        <v>0</v>
      </c>
      <c r="O776" t="s">
        <v>2997</v>
      </c>
      <c r="P776" t="s">
        <v>3160</v>
      </c>
      <c r="Q776">
        <v>2</v>
      </c>
      <c r="R776" t="s">
        <v>3345</v>
      </c>
      <c r="T776" s="2">
        <v>0</v>
      </c>
    </row>
    <row r="777" spans="1:21">
      <c r="A777" t="s">
        <v>22</v>
      </c>
      <c r="B777" s="1">
        <f>HYPERLINK("https://cordis.europa.eu/project/id/774378", "774378")</f>
        <v>0</v>
      </c>
      <c r="C777" t="s">
        <v>632</v>
      </c>
      <c r="D777" t="s">
        <v>1448</v>
      </c>
      <c r="E777" t="s">
        <v>1964</v>
      </c>
      <c r="F777" t="s">
        <v>2264</v>
      </c>
      <c r="G777" t="s">
        <v>2458</v>
      </c>
      <c r="H777" t="s">
        <v>2549</v>
      </c>
      <c r="I777" t="s">
        <v>2557</v>
      </c>
      <c r="J777" s="1">
        <f>HYPERLINK("https://ec.europa.eu/info/funding-tenders/opportunities/portal/screen/how-to-participate/org-details/996306013", "996306013")</f>
        <v>0</v>
      </c>
      <c r="K777" t="s">
        <v>2645</v>
      </c>
      <c r="M777" t="s">
        <v>2966</v>
      </c>
      <c r="N777" t="b">
        <v>0</v>
      </c>
      <c r="O777" t="s">
        <v>2985</v>
      </c>
      <c r="P777" t="s">
        <v>3270</v>
      </c>
      <c r="Q777">
        <v>20</v>
      </c>
      <c r="R777" t="s">
        <v>3342</v>
      </c>
      <c r="S777" s="2">
        <v>0</v>
      </c>
      <c r="T777" s="2">
        <v>0</v>
      </c>
      <c r="U777" s="2">
        <v>230000</v>
      </c>
    </row>
    <row r="778" spans="1:21">
      <c r="A778" t="s">
        <v>22</v>
      </c>
      <c r="B778" s="1">
        <f>HYPERLINK("https://cordis.europa.eu/project/id/730879", "730879")</f>
        <v>0</v>
      </c>
      <c r="C778" t="s">
        <v>633</v>
      </c>
      <c r="D778" t="s">
        <v>1449</v>
      </c>
      <c r="E778" t="s">
        <v>1835</v>
      </c>
      <c r="F778" t="s">
        <v>2223</v>
      </c>
      <c r="G778" t="s">
        <v>2446</v>
      </c>
      <c r="H778" t="s">
        <v>2548</v>
      </c>
      <c r="I778" t="s">
        <v>2556</v>
      </c>
      <c r="J778" s="1">
        <f>HYPERLINK("https://ec.europa.eu/info/funding-tenders/opportunities/portal/screen/how-to-participate/org-details/995410024", "995410024")</f>
        <v>0</v>
      </c>
      <c r="K778" t="s">
        <v>2646</v>
      </c>
      <c r="L778" t="s">
        <v>2874</v>
      </c>
      <c r="N778" t="b">
        <v>0</v>
      </c>
      <c r="O778" t="s">
        <v>2985</v>
      </c>
      <c r="P778" t="s">
        <v>3271</v>
      </c>
      <c r="Q778">
        <v>8</v>
      </c>
      <c r="R778" t="s">
        <v>3342</v>
      </c>
      <c r="S778" s="2">
        <v>0</v>
      </c>
      <c r="T778" s="2">
        <v>0</v>
      </c>
      <c r="U778" s="2">
        <v>12375</v>
      </c>
    </row>
    <row r="779" spans="1:21">
      <c r="A779" t="s">
        <v>22</v>
      </c>
      <c r="B779" s="1">
        <f>HYPERLINK("https://cordis.europa.eu/project/id/101026399", "101026399")</f>
        <v>0</v>
      </c>
      <c r="C779" t="s">
        <v>634</v>
      </c>
      <c r="D779" t="s">
        <v>1450</v>
      </c>
      <c r="E779" t="s">
        <v>1692</v>
      </c>
      <c r="F779" t="s">
        <v>2214</v>
      </c>
      <c r="G779" t="s">
        <v>2424</v>
      </c>
      <c r="H779" t="s">
        <v>2548</v>
      </c>
      <c r="I779" t="s">
        <v>2556</v>
      </c>
      <c r="J779" s="1">
        <f>HYPERLINK("https://ec.europa.eu/info/funding-tenders/opportunities/portal/screen/how-to-participate/org-details/999902773", "999902773")</f>
        <v>0</v>
      </c>
      <c r="K779" t="s">
        <v>2571</v>
      </c>
      <c r="L779" t="s">
        <v>2814</v>
      </c>
      <c r="M779" t="s">
        <v>2965</v>
      </c>
      <c r="N779" t="b">
        <v>0</v>
      </c>
      <c r="O779" t="s">
        <v>2997</v>
      </c>
      <c r="P779" t="s">
        <v>3166</v>
      </c>
      <c r="Q779">
        <v>2</v>
      </c>
      <c r="R779" t="s">
        <v>3345</v>
      </c>
      <c r="T779" s="2">
        <v>0</v>
      </c>
    </row>
    <row r="780" spans="1:21">
      <c r="A780" t="s">
        <v>22</v>
      </c>
      <c r="B780" s="1">
        <f>HYPERLINK("https://cordis.europa.eu/project/id/642774", "642774")</f>
        <v>0</v>
      </c>
      <c r="C780" t="s">
        <v>635</v>
      </c>
      <c r="D780" t="s">
        <v>1451</v>
      </c>
      <c r="E780" t="s">
        <v>1659</v>
      </c>
      <c r="F780" t="s">
        <v>2222</v>
      </c>
      <c r="G780" t="s">
        <v>2387</v>
      </c>
      <c r="H780" t="s">
        <v>2548</v>
      </c>
      <c r="I780" t="s">
        <v>2556</v>
      </c>
      <c r="J780" s="1">
        <f>HYPERLINK("https://ec.europa.eu/info/funding-tenders/opportunities/portal/screen/how-to-participate/org-details/996231614", "996231614")</f>
        <v>0</v>
      </c>
      <c r="K780" t="s">
        <v>2652</v>
      </c>
      <c r="L780" t="s">
        <v>2652</v>
      </c>
      <c r="M780" t="s">
        <v>2965</v>
      </c>
      <c r="N780" t="b">
        <v>0</v>
      </c>
      <c r="O780" t="s">
        <v>3002</v>
      </c>
      <c r="P780" t="s">
        <v>3188</v>
      </c>
      <c r="Q780">
        <v>11</v>
      </c>
      <c r="R780" t="s">
        <v>3345</v>
      </c>
      <c r="T780" s="2">
        <v>0</v>
      </c>
      <c r="U780" s="2">
        <v>0</v>
      </c>
    </row>
    <row r="781" spans="1:21">
      <c r="A781" t="s">
        <v>22</v>
      </c>
      <c r="B781" s="1">
        <f>HYPERLINK("https://cordis.europa.eu/project/id/873127", "873127")</f>
        <v>0</v>
      </c>
      <c r="C781" t="s">
        <v>636</v>
      </c>
      <c r="D781" t="s">
        <v>1452</v>
      </c>
      <c r="E781" t="s">
        <v>1800</v>
      </c>
      <c r="F781" t="s">
        <v>2180</v>
      </c>
      <c r="G781" t="s">
        <v>2403</v>
      </c>
      <c r="H781" t="s">
        <v>2548</v>
      </c>
      <c r="I781" t="s">
        <v>2556</v>
      </c>
      <c r="J781" s="1">
        <f>HYPERLINK("https://ec.europa.eu/info/funding-tenders/opportunities/portal/screen/how-to-participate/org-details/911181432", "911181432")</f>
        <v>0</v>
      </c>
      <c r="K781" t="s">
        <v>2774</v>
      </c>
      <c r="M781" t="s">
        <v>2966</v>
      </c>
      <c r="N781" t="b">
        <v>0</v>
      </c>
      <c r="O781" t="s">
        <v>3003</v>
      </c>
      <c r="P781" t="s">
        <v>3189</v>
      </c>
      <c r="Q781">
        <v>5</v>
      </c>
      <c r="R781" t="s">
        <v>3345</v>
      </c>
      <c r="T781" s="2">
        <v>0</v>
      </c>
      <c r="U781" s="2">
        <v>0</v>
      </c>
    </row>
    <row r="782" spans="1:21">
      <c r="A782" t="s">
        <v>22</v>
      </c>
      <c r="B782" s="1">
        <f>HYPERLINK("https://cordis.europa.eu/project/id/665735", "665735")</f>
        <v>0</v>
      </c>
      <c r="C782" t="s">
        <v>637</v>
      </c>
      <c r="D782" t="s">
        <v>1453</v>
      </c>
      <c r="E782" t="s">
        <v>1753</v>
      </c>
      <c r="F782" t="s">
        <v>2221</v>
      </c>
      <c r="G782" t="s">
        <v>2512</v>
      </c>
      <c r="H782" t="s">
        <v>2548</v>
      </c>
      <c r="I782" t="s">
        <v>2556</v>
      </c>
      <c r="J782" s="1">
        <f>HYPERLINK("https://ec.europa.eu/info/funding-tenders/opportunities/portal/screen/how-to-participate/org-details/998711419", "998711419")</f>
        <v>0</v>
      </c>
      <c r="K782" t="s">
        <v>2628</v>
      </c>
      <c r="M782" t="s">
        <v>2965</v>
      </c>
      <c r="N782" t="b">
        <v>0</v>
      </c>
      <c r="O782" t="s">
        <v>3004</v>
      </c>
      <c r="P782" t="s">
        <v>3185</v>
      </c>
      <c r="Q782">
        <v>8</v>
      </c>
      <c r="R782" t="s">
        <v>3345</v>
      </c>
      <c r="T782" s="2">
        <v>0</v>
      </c>
      <c r="U782" s="2">
        <v>0</v>
      </c>
    </row>
    <row r="783" spans="1:21">
      <c r="A783" t="s">
        <v>22</v>
      </c>
      <c r="B783" s="1">
        <f>HYPERLINK("https://cordis.europa.eu/project/id/665735", "665735")</f>
        <v>0</v>
      </c>
      <c r="C783" t="s">
        <v>637</v>
      </c>
      <c r="D783" t="s">
        <v>1453</v>
      </c>
      <c r="E783" t="s">
        <v>1753</v>
      </c>
      <c r="F783" t="s">
        <v>2221</v>
      </c>
      <c r="G783" t="s">
        <v>2512</v>
      </c>
      <c r="H783" t="s">
        <v>2548</v>
      </c>
      <c r="I783" t="s">
        <v>2556</v>
      </c>
      <c r="J783" s="1">
        <f>HYPERLINK("https://ec.europa.eu/info/funding-tenders/opportunities/portal/screen/how-to-participate/org-details/998826946", "998826946")</f>
        <v>0</v>
      </c>
      <c r="K783" t="s">
        <v>2617</v>
      </c>
      <c r="L783" t="s">
        <v>2848</v>
      </c>
      <c r="M783" t="s">
        <v>2965</v>
      </c>
      <c r="N783" t="b">
        <v>0</v>
      </c>
      <c r="O783" t="s">
        <v>3004</v>
      </c>
      <c r="P783" t="s">
        <v>3185</v>
      </c>
      <c r="Q783">
        <v>19</v>
      </c>
      <c r="R783" t="s">
        <v>3345</v>
      </c>
      <c r="T783" s="2">
        <v>0</v>
      </c>
      <c r="U783" s="2">
        <v>0</v>
      </c>
    </row>
    <row r="784" spans="1:21">
      <c r="A784" t="s">
        <v>22</v>
      </c>
      <c r="B784" s="1">
        <f>HYPERLINK("https://cordis.europa.eu/project/id/896313", "896313")</f>
        <v>0</v>
      </c>
      <c r="C784" t="s">
        <v>638</v>
      </c>
      <c r="D784" t="s">
        <v>1454</v>
      </c>
      <c r="E784" t="s">
        <v>1877</v>
      </c>
      <c r="F784" t="s">
        <v>2265</v>
      </c>
      <c r="G784" t="s">
        <v>2513</v>
      </c>
      <c r="H784" t="s">
        <v>2548</v>
      </c>
      <c r="I784" t="s">
        <v>2556</v>
      </c>
      <c r="J784" s="1">
        <f>HYPERLINK("https://ec.europa.eu/info/funding-tenders/opportunities/portal/screen/how-to-participate/org-details/998826946", "998826946")</f>
        <v>0</v>
      </c>
      <c r="K784" t="s">
        <v>2617</v>
      </c>
      <c r="L784" t="s">
        <v>2848</v>
      </c>
      <c r="M784" t="s">
        <v>2965</v>
      </c>
      <c r="N784" t="b">
        <v>0</v>
      </c>
      <c r="O784" t="s">
        <v>2997</v>
      </c>
      <c r="P784" t="s">
        <v>3162</v>
      </c>
      <c r="Q784">
        <v>2</v>
      </c>
      <c r="R784" t="s">
        <v>3345</v>
      </c>
      <c r="T784" s="2">
        <v>0</v>
      </c>
    </row>
    <row r="785" spans="1:21">
      <c r="A785" t="s">
        <v>22</v>
      </c>
      <c r="B785" s="1">
        <f>HYPERLINK("https://cordis.europa.eu/project/id/790012", "790012")</f>
        <v>0</v>
      </c>
      <c r="C785" t="s">
        <v>639</v>
      </c>
      <c r="D785" t="s">
        <v>1455</v>
      </c>
      <c r="E785" t="s">
        <v>1963</v>
      </c>
      <c r="F785" t="s">
        <v>2280</v>
      </c>
      <c r="G785" t="s">
        <v>2446</v>
      </c>
      <c r="H785" t="s">
        <v>2548</v>
      </c>
      <c r="I785" t="s">
        <v>2556</v>
      </c>
      <c r="J785" s="1">
        <f>HYPERLINK("https://ec.europa.eu/info/funding-tenders/opportunities/portal/screen/how-to-participate/org-details/996325704", "996325704")</f>
        <v>0</v>
      </c>
      <c r="K785" t="s">
        <v>2640</v>
      </c>
      <c r="L785" t="s">
        <v>2869</v>
      </c>
      <c r="M785" t="s">
        <v>2966</v>
      </c>
      <c r="N785" t="b">
        <v>0</v>
      </c>
      <c r="O785" t="s">
        <v>2998</v>
      </c>
      <c r="P785" t="s">
        <v>3160</v>
      </c>
      <c r="Q785">
        <v>2</v>
      </c>
      <c r="R785" t="s">
        <v>3345</v>
      </c>
      <c r="T785" s="2">
        <v>0</v>
      </c>
    </row>
    <row r="786" spans="1:21">
      <c r="A786" t="s">
        <v>22</v>
      </c>
      <c r="B786" s="1">
        <f>HYPERLINK("https://cordis.europa.eu/project/id/825835", "825835")</f>
        <v>0</v>
      </c>
      <c r="C786" t="s">
        <v>640</v>
      </c>
      <c r="D786" t="s">
        <v>1456</v>
      </c>
      <c r="E786" t="s">
        <v>1806</v>
      </c>
      <c r="F786" t="s">
        <v>2189</v>
      </c>
      <c r="G786" t="s">
        <v>2411</v>
      </c>
      <c r="H786" t="s">
        <v>2548</v>
      </c>
      <c r="I786" t="s">
        <v>2556</v>
      </c>
      <c r="J786" s="1">
        <f>HYPERLINK("https://ec.europa.eu/info/funding-tenders/opportunities/portal/screen/how-to-participate/org-details/999555513", "999555513")</f>
        <v>0</v>
      </c>
      <c r="K786" t="s">
        <v>2681</v>
      </c>
      <c r="M786" t="s">
        <v>2966</v>
      </c>
      <c r="N786" t="b">
        <v>0</v>
      </c>
      <c r="O786" t="s">
        <v>2993</v>
      </c>
      <c r="P786" t="s">
        <v>3152</v>
      </c>
      <c r="Q786">
        <v>3</v>
      </c>
      <c r="R786" t="s">
        <v>3342</v>
      </c>
      <c r="S786" s="2">
        <v>0</v>
      </c>
      <c r="T786" s="2">
        <v>0</v>
      </c>
      <c r="U786" s="2">
        <v>296230</v>
      </c>
    </row>
    <row r="787" spans="1:21">
      <c r="A787" t="s">
        <v>22</v>
      </c>
      <c r="B787" s="1">
        <f>HYPERLINK("https://cordis.europa.eu/project/id/825835", "825835")</f>
        <v>0</v>
      </c>
      <c r="C787" t="s">
        <v>640</v>
      </c>
      <c r="D787" t="s">
        <v>1456</v>
      </c>
      <c r="E787" t="s">
        <v>1806</v>
      </c>
      <c r="F787" t="s">
        <v>2189</v>
      </c>
      <c r="G787" t="s">
        <v>2411</v>
      </c>
      <c r="H787" t="s">
        <v>2548</v>
      </c>
      <c r="I787" t="s">
        <v>2556</v>
      </c>
      <c r="J787" s="1">
        <f>HYPERLINK("https://ec.europa.eu/info/funding-tenders/opportunities/portal/screen/how-to-participate/org-details/998826946", "998826946")</f>
        <v>0</v>
      </c>
      <c r="K787" t="s">
        <v>2617</v>
      </c>
      <c r="L787" t="s">
        <v>2848</v>
      </c>
      <c r="M787" t="s">
        <v>2965</v>
      </c>
      <c r="N787" t="b">
        <v>0</v>
      </c>
      <c r="O787" t="s">
        <v>2993</v>
      </c>
      <c r="P787" t="s">
        <v>3152</v>
      </c>
      <c r="Q787">
        <v>14</v>
      </c>
      <c r="R787" t="s">
        <v>3342</v>
      </c>
      <c r="S787" s="2">
        <v>0</v>
      </c>
      <c r="T787" s="2">
        <v>0</v>
      </c>
      <c r="U787" s="2">
        <v>231880</v>
      </c>
    </row>
    <row r="788" spans="1:21">
      <c r="A788" t="s">
        <v>22</v>
      </c>
      <c r="B788" s="1">
        <f>HYPERLINK("https://cordis.europa.eu/project/id/708169", "708169")</f>
        <v>0</v>
      </c>
      <c r="C788" t="s">
        <v>641</v>
      </c>
      <c r="D788" t="s">
        <v>1457</v>
      </c>
      <c r="E788" t="s">
        <v>1965</v>
      </c>
      <c r="F788" t="s">
        <v>2281</v>
      </c>
      <c r="G788" t="s">
        <v>2514</v>
      </c>
      <c r="H788" t="s">
        <v>2548</v>
      </c>
      <c r="I788" t="s">
        <v>2556</v>
      </c>
      <c r="J788" s="1">
        <f>HYPERLINK("https://ec.europa.eu/info/funding-tenders/opportunities/portal/screen/how-to-participate/org-details/998225740", "998225740")</f>
        <v>0</v>
      </c>
      <c r="K788" t="s">
        <v>2637</v>
      </c>
      <c r="M788" t="s">
        <v>2965</v>
      </c>
      <c r="N788" t="b">
        <v>0</v>
      </c>
      <c r="O788" t="s">
        <v>2998</v>
      </c>
      <c r="P788" t="s">
        <v>3164</v>
      </c>
      <c r="Q788">
        <v>2</v>
      </c>
      <c r="R788" t="s">
        <v>3345</v>
      </c>
      <c r="T788" s="2">
        <v>0</v>
      </c>
    </row>
    <row r="789" spans="1:21">
      <c r="A789" t="s">
        <v>22</v>
      </c>
      <c r="B789" s="1">
        <f>HYPERLINK("https://cordis.europa.eu/project/id/825510", "825510")</f>
        <v>0</v>
      </c>
      <c r="C789" t="s">
        <v>642</v>
      </c>
      <c r="D789" t="s">
        <v>1458</v>
      </c>
      <c r="E789" t="s">
        <v>1966</v>
      </c>
      <c r="F789" t="s">
        <v>2189</v>
      </c>
      <c r="G789" t="s">
        <v>2417</v>
      </c>
      <c r="H789" t="s">
        <v>2548</v>
      </c>
      <c r="I789" t="s">
        <v>2556</v>
      </c>
      <c r="J789" s="1">
        <f>HYPERLINK("https://ec.europa.eu/info/funding-tenders/opportunities/portal/screen/how-to-participate/org-details/999845252", "999845252")</f>
        <v>0</v>
      </c>
      <c r="K789" t="s">
        <v>2687</v>
      </c>
      <c r="L789" t="s">
        <v>2908</v>
      </c>
      <c r="M789" t="s">
        <v>2965</v>
      </c>
      <c r="N789" t="b">
        <v>0</v>
      </c>
      <c r="O789" t="s">
        <v>2993</v>
      </c>
      <c r="P789" t="s">
        <v>3152</v>
      </c>
      <c r="Q789">
        <v>8</v>
      </c>
      <c r="R789" t="s">
        <v>3342</v>
      </c>
      <c r="S789" s="2">
        <v>0</v>
      </c>
      <c r="T789" s="2">
        <v>0</v>
      </c>
      <c r="U789" s="2">
        <v>110000</v>
      </c>
    </row>
    <row r="790" spans="1:21">
      <c r="A790" t="s">
        <v>22</v>
      </c>
      <c r="B790" s="1">
        <f>HYPERLINK("https://cordis.europa.eu/project/id/945052", "945052")</f>
        <v>0</v>
      </c>
      <c r="C790" t="s">
        <v>643</v>
      </c>
      <c r="D790" t="s">
        <v>1459</v>
      </c>
      <c r="E790" t="s">
        <v>1967</v>
      </c>
      <c r="F790" t="s">
        <v>2193</v>
      </c>
      <c r="G790" t="s">
        <v>2400</v>
      </c>
      <c r="H790" t="s">
        <v>2548</v>
      </c>
      <c r="I790" t="s">
        <v>2556</v>
      </c>
      <c r="J790" s="1">
        <f>HYPERLINK("https://ec.europa.eu/info/funding-tenders/opportunities/portal/screen/how-to-participate/org-details/997151562", "997151562")</f>
        <v>0</v>
      </c>
      <c r="K790" t="s">
        <v>2604</v>
      </c>
      <c r="M790" t="s">
        <v>2965</v>
      </c>
      <c r="N790" t="b">
        <v>0</v>
      </c>
      <c r="O790" t="s">
        <v>2993</v>
      </c>
      <c r="P790" t="s">
        <v>3272</v>
      </c>
      <c r="Q790">
        <v>9</v>
      </c>
      <c r="R790" t="s">
        <v>3342</v>
      </c>
      <c r="S790" s="2">
        <v>0</v>
      </c>
      <c r="T790" s="2">
        <v>0</v>
      </c>
      <c r="U790" s="2">
        <v>20000</v>
      </c>
    </row>
    <row r="791" spans="1:21">
      <c r="A791" t="s">
        <v>22</v>
      </c>
      <c r="B791" s="1">
        <f>HYPERLINK("https://cordis.europa.eu/project/id/945052", "945052")</f>
        <v>0</v>
      </c>
      <c r="C791" t="s">
        <v>643</v>
      </c>
      <c r="D791" t="s">
        <v>1459</v>
      </c>
      <c r="E791" t="s">
        <v>1967</v>
      </c>
      <c r="F791" t="s">
        <v>2193</v>
      </c>
      <c r="G791" t="s">
        <v>2400</v>
      </c>
      <c r="H791" t="s">
        <v>2548</v>
      </c>
      <c r="I791" t="s">
        <v>2556</v>
      </c>
      <c r="J791" s="1">
        <f>HYPERLINK("https://ec.europa.eu/info/funding-tenders/opportunities/portal/screen/how-to-participate/org-details/911181432", "911181432")</f>
        <v>0</v>
      </c>
      <c r="K791" t="s">
        <v>2774</v>
      </c>
      <c r="M791" t="s">
        <v>2966</v>
      </c>
      <c r="N791" t="b">
        <v>0</v>
      </c>
      <c r="O791" t="s">
        <v>2993</v>
      </c>
      <c r="P791" t="s">
        <v>3272</v>
      </c>
      <c r="Q791">
        <v>21</v>
      </c>
      <c r="R791" t="s">
        <v>3342</v>
      </c>
      <c r="S791" s="2">
        <v>0</v>
      </c>
      <c r="T791" s="2">
        <v>0</v>
      </c>
      <c r="U791" s="2">
        <v>27256</v>
      </c>
    </row>
    <row r="792" spans="1:21">
      <c r="A792" t="s">
        <v>22</v>
      </c>
      <c r="B792" s="1">
        <f>HYPERLINK("https://cordis.europa.eu/project/id/875510", "875510")</f>
        <v>0</v>
      </c>
      <c r="C792" t="s">
        <v>644</v>
      </c>
      <c r="D792" t="s">
        <v>1460</v>
      </c>
      <c r="E792" t="s">
        <v>1968</v>
      </c>
      <c r="F792" t="s">
        <v>2265</v>
      </c>
      <c r="G792" t="s">
        <v>2487</v>
      </c>
      <c r="H792" t="s">
        <v>2548</v>
      </c>
      <c r="I792" t="s">
        <v>2556</v>
      </c>
      <c r="J792" s="1">
        <f>HYPERLINK("https://ec.europa.eu/info/funding-tenders/opportunities/portal/screen/how-to-participate/org-details/999555513", "999555513")</f>
        <v>0</v>
      </c>
      <c r="K792" t="s">
        <v>2681</v>
      </c>
      <c r="M792" t="s">
        <v>2966</v>
      </c>
      <c r="N792" t="b">
        <v>0</v>
      </c>
      <c r="O792" t="s">
        <v>2993</v>
      </c>
      <c r="P792" t="s">
        <v>3273</v>
      </c>
      <c r="Q792">
        <v>21</v>
      </c>
      <c r="R792" t="s">
        <v>3342</v>
      </c>
      <c r="S792" s="2">
        <v>0</v>
      </c>
      <c r="T792" s="2">
        <v>0</v>
      </c>
      <c r="U792" s="2">
        <v>999999</v>
      </c>
    </row>
    <row r="793" spans="1:21">
      <c r="A793" t="s">
        <v>22</v>
      </c>
      <c r="B793" s="1">
        <f>HYPERLINK("https://cordis.europa.eu/project/id/875510", "875510")</f>
        <v>0</v>
      </c>
      <c r="C793" t="s">
        <v>644</v>
      </c>
      <c r="D793" t="s">
        <v>1460</v>
      </c>
      <c r="E793" t="s">
        <v>1968</v>
      </c>
      <c r="F793" t="s">
        <v>2265</v>
      </c>
      <c r="G793" t="s">
        <v>2487</v>
      </c>
      <c r="H793" t="s">
        <v>2548</v>
      </c>
      <c r="I793" t="s">
        <v>2556</v>
      </c>
      <c r="J793" s="1">
        <f>HYPERLINK("https://ec.europa.eu/info/funding-tenders/opportunities/portal/screen/how-to-participate/org-details/999845252", "999845252")</f>
        <v>0</v>
      </c>
      <c r="K793" t="s">
        <v>2687</v>
      </c>
      <c r="L793" t="s">
        <v>2908</v>
      </c>
      <c r="M793" t="s">
        <v>2965</v>
      </c>
      <c r="N793" t="b">
        <v>0</v>
      </c>
      <c r="O793" t="s">
        <v>2993</v>
      </c>
      <c r="P793" t="s">
        <v>3273</v>
      </c>
      <c r="Q793">
        <v>12</v>
      </c>
      <c r="R793" t="s">
        <v>3342</v>
      </c>
      <c r="S793" s="2">
        <v>0</v>
      </c>
      <c r="T793" s="2">
        <v>0</v>
      </c>
    </row>
    <row r="794" spans="1:21">
      <c r="A794" t="s">
        <v>22</v>
      </c>
      <c r="B794" s="1">
        <f>HYPERLINK("https://cordis.europa.eu/project/id/875510", "875510")</f>
        <v>0</v>
      </c>
      <c r="C794" t="s">
        <v>644</v>
      </c>
      <c r="D794" t="s">
        <v>1460</v>
      </c>
      <c r="E794" t="s">
        <v>1968</v>
      </c>
      <c r="F794" t="s">
        <v>2265</v>
      </c>
      <c r="G794" t="s">
        <v>2487</v>
      </c>
      <c r="H794" t="s">
        <v>2548</v>
      </c>
      <c r="I794" t="s">
        <v>2556</v>
      </c>
      <c r="J794" s="1">
        <f>HYPERLINK("https://ec.europa.eu/info/funding-tenders/opportunities/portal/screen/how-to-participate/org-details/998826946", "998826946")</f>
        <v>0</v>
      </c>
      <c r="K794" t="s">
        <v>2617</v>
      </c>
      <c r="L794" t="s">
        <v>2848</v>
      </c>
      <c r="M794" t="s">
        <v>2965</v>
      </c>
      <c r="N794" t="b">
        <v>0</v>
      </c>
      <c r="O794" t="s">
        <v>2993</v>
      </c>
      <c r="P794" t="s">
        <v>3273</v>
      </c>
      <c r="Q794">
        <v>22</v>
      </c>
      <c r="R794" t="s">
        <v>3342</v>
      </c>
      <c r="S794" s="2">
        <v>0</v>
      </c>
      <c r="T794" s="2">
        <v>0</v>
      </c>
      <c r="U794" s="2">
        <v>660000</v>
      </c>
    </row>
    <row r="795" spans="1:21">
      <c r="A795" t="s">
        <v>22</v>
      </c>
      <c r="B795" s="1">
        <f>HYPERLINK("https://cordis.europa.eu/project/id/825821", "825821")</f>
        <v>0</v>
      </c>
      <c r="C795" t="s">
        <v>645</v>
      </c>
      <c r="D795" t="s">
        <v>1461</v>
      </c>
      <c r="E795" t="s">
        <v>1969</v>
      </c>
      <c r="F795" t="s">
        <v>2189</v>
      </c>
      <c r="G795" t="s">
        <v>2433</v>
      </c>
      <c r="H795" t="s">
        <v>2548</v>
      </c>
      <c r="I795" t="s">
        <v>2556</v>
      </c>
      <c r="J795" s="1">
        <f>HYPERLINK("https://ec.europa.eu/info/funding-tenders/opportunities/portal/screen/how-to-participate/org-details/986276989", "986276989")</f>
        <v>0</v>
      </c>
      <c r="K795" t="s">
        <v>2666</v>
      </c>
      <c r="L795" t="s">
        <v>2891</v>
      </c>
      <c r="M795" t="s">
        <v>2965</v>
      </c>
      <c r="N795" t="b">
        <v>0</v>
      </c>
      <c r="O795" t="s">
        <v>2993</v>
      </c>
      <c r="P795" t="s">
        <v>3152</v>
      </c>
      <c r="Q795">
        <v>2</v>
      </c>
      <c r="R795" t="s">
        <v>3342</v>
      </c>
      <c r="S795" s="2">
        <v>0</v>
      </c>
      <c r="T795" s="2">
        <v>0</v>
      </c>
      <c r="U795" s="2">
        <v>558000</v>
      </c>
    </row>
    <row r="796" spans="1:21">
      <c r="A796" t="s">
        <v>22</v>
      </c>
      <c r="B796" s="1">
        <f>HYPERLINK("https://cordis.europa.eu/project/id/825821", "825821")</f>
        <v>0</v>
      </c>
      <c r="C796" t="s">
        <v>645</v>
      </c>
      <c r="D796" t="s">
        <v>1461</v>
      </c>
      <c r="E796" t="s">
        <v>1969</v>
      </c>
      <c r="F796" t="s">
        <v>2189</v>
      </c>
      <c r="G796" t="s">
        <v>2433</v>
      </c>
      <c r="H796" t="s">
        <v>2548</v>
      </c>
      <c r="I796" t="s">
        <v>2556</v>
      </c>
      <c r="J796" s="1">
        <f>HYPERLINK("https://ec.europa.eu/info/funding-tenders/opportunities/portal/screen/how-to-participate/org-details/999845252", "999845252")</f>
        <v>0</v>
      </c>
      <c r="K796" t="s">
        <v>2687</v>
      </c>
      <c r="L796" t="s">
        <v>2908</v>
      </c>
      <c r="M796" t="s">
        <v>2965</v>
      </c>
      <c r="N796" t="b">
        <v>0</v>
      </c>
      <c r="O796" t="s">
        <v>2993</v>
      </c>
      <c r="P796" t="s">
        <v>3152</v>
      </c>
      <c r="Q796">
        <v>4</v>
      </c>
      <c r="R796" t="s">
        <v>3342</v>
      </c>
      <c r="S796" s="2">
        <v>0</v>
      </c>
      <c r="T796" s="2">
        <v>0</v>
      </c>
      <c r="U796" s="2">
        <v>90750</v>
      </c>
    </row>
    <row r="797" spans="1:21">
      <c r="A797" t="s">
        <v>22</v>
      </c>
      <c r="B797" s="1">
        <f>HYPERLINK("https://cordis.europa.eu/project/id/752869", "752869")</f>
        <v>0</v>
      </c>
      <c r="C797" t="s">
        <v>646</v>
      </c>
      <c r="D797" t="s">
        <v>1462</v>
      </c>
      <c r="E797" t="s">
        <v>1970</v>
      </c>
      <c r="F797" t="s">
        <v>2264</v>
      </c>
      <c r="G797" t="s">
        <v>2320</v>
      </c>
      <c r="H797" t="s">
        <v>2548</v>
      </c>
      <c r="I797" t="s">
        <v>2556</v>
      </c>
      <c r="J797" s="1">
        <f>HYPERLINK("https://ec.europa.eu/info/funding-tenders/opportunities/portal/screen/how-to-participate/org-details/998804636", "998804636")</f>
        <v>0</v>
      </c>
      <c r="K797" t="s">
        <v>2612</v>
      </c>
      <c r="L797" t="s">
        <v>2845</v>
      </c>
      <c r="M797" t="s">
        <v>2965</v>
      </c>
      <c r="N797" t="b">
        <v>0</v>
      </c>
      <c r="O797" t="s">
        <v>2998</v>
      </c>
      <c r="P797" t="s">
        <v>3159</v>
      </c>
      <c r="Q797">
        <v>2</v>
      </c>
      <c r="R797" t="s">
        <v>3345</v>
      </c>
      <c r="T797" s="2">
        <v>0</v>
      </c>
    </row>
    <row r="798" spans="1:21">
      <c r="A798" t="s">
        <v>22</v>
      </c>
      <c r="B798" s="1">
        <f>HYPERLINK("https://cordis.europa.eu/project/id/766030", "766030")</f>
        <v>0</v>
      </c>
      <c r="C798" t="s">
        <v>647</v>
      </c>
      <c r="D798" t="s">
        <v>1463</v>
      </c>
      <c r="E798" t="s">
        <v>1971</v>
      </c>
      <c r="F798" t="s">
        <v>2199</v>
      </c>
      <c r="G798" t="s">
        <v>2068</v>
      </c>
      <c r="H798" t="s">
        <v>2548</v>
      </c>
      <c r="I798" t="s">
        <v>2556</v>
      </c>
      <c r="J798" s="1">
        <f>HYPERLINK("https://ec.europa.eu/info/funding-tenders/opportunities/portal/screen/how-to-participate/org-details/951068026", "951068026")</f>
        <v>0</v>
      </c>
      <c r="K798" t="s">
        <v>2775</v>
      </c>
      <c r="L798" t="s">
        <v>2950</v>
      </c>
      <c r="M798" t="s">
        <v>2966</v>
      </c>
      <c r="N798" t="b">
        <v>0</v>
      </c>
      <c r="O798" t="s">
        <v>3005</v>
      </c>
      <c r="P798" t="s">
        <v>3163</v>
      </c>
      <c r="Q798">
        <v>15</v>
      </c>
      <c r="R798" t="s">
        <v>3345</v>
      </c>
      <c r="T798" s="2">
        <v>0</v>
      </c>
      <c r="U798" s="2">
        <v>0</v>
      </c>
    </row>
    <row r="799" spans="1:21">
      <c r="A799" t="s">
        <v>22</v>
      </c>
      <c r="B799" s="1">
        <f>HYPERLINK("https://cordis.europa.eu/project/id/690817", "690817")</f>
        <v>0</v>
      </c>
      <c r="C799" t="s">
        <v>648</v>
      </c>
      <c r="D799" t="s">
        <v>1464</v>
      </c>
      <c r="E799" t="s">
        <v>1820</v>
      </c>
      <c r="F799" t="s">
        <v>2188</v>
      </c>
      <c r="G799" t="s">
        <v>2436</v>
      </c>
      <c r="H799" t="s">
        <v>2548</v>
      </c>
      <c r="I799" t="s">
        <v>2556</v>
      </c>
      <c r="J799" s="1">
        <f>HYPERLINK("https://ec.europa.eu/info/funding-tenders/opportunities/portal/screen/how-to-participate/org-details/961046416", "961046416")</f>
        <v>0</v>
      </c>
      <c r="K799" t="s">
        <v>2776</v>
      </c>
      <c r="M799" t="s">
        <v>2965</v>
      </c>
      <c r="N799" t="b">
        <v>0</v>
      </c>
      <c r="O799" t="s">
        <v>3003</v>
      </c>
      <c r="P799" t="s">
        <v>3176</v>
      </c>
      <c r="Q799">
        <v>7</v>
      </c>
      <c r="R799" t="s">
        <v>3345</v>
      </c>
      <c r="T799" s="2">
        <v>0</v>
      </c>
      <c r="U799" s="2">
        <v>27000</v>
      </c>
    </row>
    <row r="800" spans="1:21">
      <c r="A800" t="s">
        <v>22</v>
      </c>
      <c r="B800" s="1">
        <f>HYPERLINK("https://cordis.europa.eu/project/id/642866", "642866")</f>
        <v>0</v>
      </c>
      <c r="C800" t="s">
        <v>649</v>
      </c>
      <c r="D800" t="s">
        <v>1465</v>
      </c>
      <c r="E800" t="s">
        <v>1749</v>
      </c>
      <c r="F800" t="s">
        <v>2222</v>
      </c>
      <c r="G800" t="s">
        <v>2387</v>
      </c>
      <c r="H800" t="s">
        <v>2548</v>
      </c>
      <c r="I800" t="s">
        <v>2556</v>
      </c>
      <c r="J800" s="1">
        <f>HYPERLINK("https://ec.europa.eu/info/funding-tenders/opportunities/portal/screen/how-to-participate/org-details/998711419", "998711419")</f>
        <v>0</v>
      </c>
      <c r="K800" t="s">
        <v>2628</v>
      </c>
      <c r="M800" t="s">
        <v>2965</v>
      </c>
      <c r="N800" t="b">
        <v>0</v>
      </c>
      <c r="O800" t="s">
        <v>3002</v>
      </c>
      <c r="P800" t="s">
        <v>3188</v>
      </c>
      <c r="Q800">
        <v>19</v>
      </c>
      <c r="R800" t="s">
        <v>3345</v>
      </c>
      <c r="T800" s="2">
        <v>0</v>
      </c>
      <c r="U800" s="2">
        <v>0</v>
      </c>
    </row>
    <row r="801" spans="1:21">
      <c r="A801" t="s">
        <v>22</v>
      </c>
      <c r="B801" s="1">
        <f>HYPERLINK("https://cordis.europa.eu/project/id/101003472", "101003472")</f>
        <v>0</v>
      </c>
      <c r="C801" t="s">
        <v>650</v>
      </c>
      <c r="D801" t="s">
        <v>1466</v>
      </c>
      <c r="E801" t="s">
        <v>1972</v>
      </c>
      <c r="F801" t="s">
        <v>2213</v>
      </c>
      <c r="G801" t="s">
        <v>2405</v>
      </c>
      <c r="H801" t="s">
        <v>2548</v>
      </c>
      <c r="I801" t="s">
        <v>2556</v>
      </c>
      <c r="J801" s="1">
        <f>HYPERLINK("https://ec.europa.eu/info/funding-tenders/opportunities/portal/screen/how-to-participate/org-details/983932402", "983932402")</f>
        <v>0</v>
      </c>
      <c r="K801" t="s">
        <v>2684</v>
      </c>
      <c r="L801" t="s">
        <v>2905</v>
      </c>
      <c r="M801" t="s">
        <v>2966</v>
      </c>
      <c r="N801" t="b">
        <v>0</v>
      </c>
      <c r="O801" t="s">
        <v>2993</v>
      </c>
      <c r="P801" t="s">
        <v>3241</v>
      </c>
      <c r="Q801">
        <v>30</v>
      </c>
      <c r="R801" t="s">
        <v>3342</v>
      </c>
      <c r="S801" s="2">
        <v>0</v>
      </c>
      <c r="T801" s="2">
        <v>0</v>
      </c>
      <c r="U801" s="2">
        <v>320990</v>
      </c>
    </row>
    <row r="802" spans="1:21">
      <c r="A802" t="s">
        <v>22</v>
      </c>
      <c r="B802" s="1">
        <f>HYPERLINK("https://cordis.europa.eu/project/id/633680", "633680")</f>
        <v>0</v>
      </c>
      <c r="C802" t="s">
        <v>651</v>
      </c>
      <c r="D802" t="s">
        <v>1467</v>
      </c>
      <c r="E802" t="s">
        <v>1925</v>
      </c>
      <c r="F802" t="s">
        <v>2179</v>
      </c>
      <c r="G802" t="s">
        <v>2468</v>
      </c>
      <c r="H802" t="s">
        <v>2548</v>
      </c>
      <c r="I802" t="s">
        <v>2556</v>
      </c>
      <c r="J802" s="1">
        <f>HYPERLINK("https://ec.europa.eu/info/funding-tenders/opportunities/portal/screen/how-to-participate/org-details/998908426", "998908426")</f>
        <v>0</v>
      </c>
      <c r="K802" t="s">
        <v>2569</v>
      </c>
      <c r="M802" t="s">
        <v>2965</v>
      </c>
      <c r="N802" t="b">
        <v>0</v>
      </c>
      <c r="O802" t="s">
        <v>2993</v>
      </c>
      <c r="P802" t="s">
        <v>3249</v>
      </c>
      <c r="Q802">
        <v>31</v>
      </c>
      <c r="R802" t="s">
        <v>3342</v>
      </c>
      <c r="S802" s="2">
        <v>0</v>
      </c>
      <c r="T802" s="2">
        <v>0</v>
      </c>
      <c r="U802" s="2">
        <v>551125</v>
      </c>
    </row>
    <row r="803" spans="1:21">
      <c r="A803" t="s">
        <v>22</v>
      </c>
      <c r="B803" s="1">
        <f>HYPERLINK("https://cordis.europa.eu/project/id/847770", "847770")</f>
        <v>0</v>
      </c>
      <c r="C803" t="s">
        <v>652</v>
      </c>
      <c r="D803" t="s">
        <v>1468</v>
      </c>
      <c r="E803" t="s">
        <v>1973</v>
      </c>
      <c r="F803" t="s">
        <v>2180</v>
      </c>
      <c r="G803" t="s">
        <v>2435</v>
      </c>
      <c r="H803" t="s">
        <v>2548</v>
      </c>
      <c r="I803" t="s">
        <v>2556</v>
      </c>
      <c r="J803" s="1">
        <f>HYPERLINK("https://ec.europa.eu/info/funding-tenders/opportunities/portal/screen/how-to-participate/org-details/998225740", "998225740")</f>
        <v>0</v>
      </c>
      <c r="K803" t="s">
        <v>2637</v>
      </c>
      <c r="M803" t="s">
        <v>2965</v>
      </c>
      <c r="N803" t="b">
        <v>0</v>
      </c>
      <c r="O803" t="s">
        <v>2993</v>
      </c>
      <c r="P803" t="s">
        <v>3274</v>
      </c>
      <c r="Q803">
        <v>8</v>
      </c>
      <c r="R803" t="s">
        <v>3342</v>
      </c>
      <c r="S803" s="2">
        <v>58763</v>
      </c>
      <c r="T803" s="2">
        <v>58763</v>
      </c>
    </row>
    <row r="804" spans="1:21">
      <c r="A804" t="s">
        <v>22</v>
      </c>
      <c r="B804" s="1">
        <f>HYPERLINK("https://cordis.europa.eu/project/id/730938", "730938")</f>
        <v>0</v>
      </c>
      <c r="C804" t="s">
        <v>201</v>
      </c>
      <c r="D804" t="s">
        <v>1012</v>
      </c>
      <c r="E804" t="s">
        <v>1974</v>
      </c>
      <c r="F804" t="s">
        <v>2210</v>
      </c>
      <c r="G804" t="s">
        <v>2399</v>
      </c>
      <c r="H804" t="s">
        <v>2548</v>
      </c>
      <c r="I804" t="s">
        <v>2556</v>
      </c>
      <c r="J804" s="1">
        <f>HYPERLINK("https://ec.europa.eu/info/funding-tenders/opportunities/portal/screen/how-to-participate/org-details/919704919", "919704919")</f>
        <v>0</v>
      </c>
      <c r="K804" t="s">
        <v>2768</v>
      </c>
      <c r="M804" t="s">
        <v>2965</v>
      </c>
      <c r="N804" t="b">
        <v>0</v>
      </c>
      <c r="O804" t="s">
        <v>2993</v>
      </c>
      <c r="P804" t="s">
        <v>3275</v>
      </c>
      <c r="Q804">
        <v>37</v>
      </c>
      <c r="R804" t="s">
        <v>3342</v>
      </c>
      <c r="S804" s="2">
        <v>111972</v>
      </c>
      <c r="T804" s="2">
        <v>111972</v>
      </c>
      <c r="U804" s="2">
        <v>111972</v>
      </c>
    </row>
    <row r="805" spans="1:21">
      <c r="A805" t="s">
        <v>22</v>
      </c>
      <c r="B805" s="1">
        <f>HYPERLINK("https://cordis.europa.eu/project/id/730938", "730938")</f>
        <v>0</v>
      </c>
      <c r="C805" t="s">
        <v>201</v>
      </c>
      <c r="D805" t="s">
        <v>1012</v>
      </c>
      <c r="E805" t="s">
        <v>1974</v>
      </c>
      <c r="F805" t="s">
        <v>2210</v>
      </c>
      <c r="G805" t="s">
        <v>2399</v>
      </c>
      <c r="H805" t="s">
        <v>2548</v>
      </c>
      <c r="I805" t="s">
        <v>2556</v>
      </c>
      <c r="J805" s="1">
        <f>HYPERLINK("https://ec.europa.eu/info/funding-tenders/opportunities/portal/screen/how-to-participate/org-details/983932402", "983932402")</f>
        <v>0</v>
      </c>
      <c r="K805" t="s">
        <v>2684</v>
      </c>
      <c r="L805" t="s">
        <v>2905</v>
      </c>
      <c r="M805" t="s">
        <v>2966</v>
      </c>
      <c r="N805" t="b">
        <v>0</v>
      </c>
      <c r="O805" t="s">
        <v>2993</v>
      </c>
      <c r="P805" t="s">
        <v>3275</v>
      </c>
      <c r="Q805">
        <v>38</v>
      </c>
      <c r="R805" t="s">
        <v>3342</v>
      </c>
      <c r="S805" s="2">
        <v>78009</v>
      </c>
      <c r="T805" s="2">
        <v>78009</v>
      </c>
      <c r="U805" s="2">
        <v>78009</v>
      </c>
    </row>
    <row r="806" spans="1:21">
      <c r="A806" t="s">
        <v>22</v>
      </c>
      <c r="B806" s="1">
        <f>HYPERLINK("https://cordis.europa.eu/project/id/730938", "730938")</f>
        <v>0</v>
      </c>
      <c r="C806" t="s">
        <v>201</v>
      </c>
      <c r="D806" t="s">
        <v>1012</v>
      </c>
      <c r="E806" t="s">
        <v>1974</v>
      </c>
      <c r="F806" t="s">
        <v>2210</v>
      </c>
      <c r="G806" t="s">
        <v>2399</v>
      </c>
      <c r="H806" t="s">
        <v>2548</v>
      </c>
      <c r="I806" t="s">
        <v>2556</v>
      </c>
      <c r="J806" s="1">
        <f>HYPERLINK("https://ec.europa.eu/info/funding-tenders/opportunities/portal/screen/how-to-participate/org-details/998082180", "998082180")</f>
        <v>0</v>
      </c>
      <c r="K806" t="s">
        <v>2565</v>
      </c>
      <c r="M806" t="s">
        <v>2965</v>
      </c>
      <c r="N806" t="b">
        <v>0</v>
      </c>
      <c r="O806" t="s">
        <v>2993</v>
      </c>
      <c r="P806" t="s">
        <v>3275</v>
      </c>
      <c r="Q806">
        <v>29</v>
      </c>
      <c r="R806" t="s">
        <v>3342</v>
      </c>
      <c r="S806" s="2">
        <v>98919.25</v>
      </c>
      <c r="T806" s="2">
        <v>98919.25</v>
      </c>
    </row>
    <row r="807" spans="1:21">
      <c r="A807" t="s">
        <v>22</v>
      </c>
      <c r="B807" s="1">
        <f>HYPERLINK("https://cordis.europa.eu/project/id/635761", "635761")</f>
        <v>0</v>
      </c>
      <c r="C807" t="s">
        <v>653</v>
      </c>
      <c r="D807" t="s">
        <v>1469</v>
      </c>
      <c r="E807" t="s">
        <v>1975</v>
      </c>
      <c r="F807" t="s">
        <v>2179</v>
      </c>
      <c r="G807" t="s">
        <v>2468</v>
      </c>
      <c r="H807" t="s">
        <v>2548</v>
      </c>
      <c r="I807" t="s">
        <v>2556</v>
      </c>
      <c r="J807" s="1">
        <f>HYPERLINK("https://ec.europa.eu/info/funding-tenders/opportunities/portal/screen/how-to-participate/org-details/998908426", "998908426")</f>
        <v>0</v>
      </c>
      <c r="K807" t="s">
        <v>2569</v>
      </c>
      <c r="M807" t="s">
        <v>2965</v>
      </c>
      <c r="N807" t="b">
        <v>0</v>
      </c>
      <c r="O807" t="s">
        <v>2993</v>
      </c>
      <c r="P807" t="s">
        <v>3218</v>
      </c>
      <c r="Q807">
        <v>16</v>
      </c>
      <c r="R807" t="s">
        <v>3342</v>
      </c>
      <c r="S807" s="2">
        <v>0</v>
      </c>
      <c r="T807" s="2">
        <v>0</v>
      </c>
    </row>
    <row r="808" spans="1:21">
      <c r="A808" t="s">
        <v>22</v>
      </c>
      <c r="B808" s="1">
        <f>HYPERLINK("https://cordis.europa.eu/project/id/677039", "677039")</f>
        <v>0</v>
      </c>
      <c r="C808" t="s">
        <v>654</v>
      </c>
      <c r="D808" t="s">
        <v>1470</v>
      </c>
      <c r="E808" t="s">
        <v>1807</v>
      </c>
      <c r="F808" t="s">
        <v>2271</v>
      </c>
      <c r="G808" t="s">
        <v>1679</v>
      </c>
      <c r="H808" t="s">
        <v>2548</v>
      </c>
      <c r="I808" t="s">
        <v>2556</v>
      </c>
      <c r="J808" s="1">
        <f>HYPERLINK("https://ec.europa.eu/info/funding-tenders/opportunities/portal/screen/how-to-participate/org-details/998908426", "998908426")</f>
        <v>0</v>
      </c>
      <c r="K808" t="s">
        <v>2569</v>
      </c>
      <c r="M808" t="s">
        <v>2965</v>
      </c>
      <c r="N808" t="b">
        <v>0</v>
      </c>
      <c r="O808" t="s">
        <v>2993</v>
      </c>
      <c r="P808" t="s">
        <v>3220</v>
      </c>
      <c r="Q808">
        <v>2</v>
      </c>
      <c r="R808" t="s">
        <v>3342</v>
      </c>
      <c r="S808" s="2">
        <v>0</v>
      </c>
      <c r="T808" s="2">
        <v>0</v>
      </c>
      <c r="U808" s="2">
        <v>187091</v>
      </c>
    </row>
    <row r="809" spans="1:21">
      <c r="A809" t="s">
        <v>22</v>
      </c>
      <c r="B809" s="1">
        <f>HYPERLINK("https://cordis.europa.eu/project/id/818173", "818173")</f>
        <v>0</v>
      </c>
      <c r="C809" t="s">
        <v>655</v>
      </c>
      <c r="D809" t="s">
        <v>1471</v>
      </c>
      <c r="E809" t="s">
        <v>1856</v>
      </c>
      <c r="F809" t="s">
        <v>2186</v>
      </c>
      <c r="G809" t="s">
        <v>2401</v>
      </c>
      <c r="H809" t="s">
        <v>2548</v>
      </c>
      <c r="I809" t="s">
        <v>2556</v>
      </c>
      <c r="J809" s="1">
        <f>HYPERLINK("https://ec.europa.eu/info/funding-tenders/opportunities/portal/screen/how-to-participate/org-details/991708019", "991708019")</f>
        <v>0</v>
      </c>
      <c r="K809" t="s">
        <v>2704</v>
      </c>
      <c r="L809" t="s">
        <v>2917</v>
      </c>
      <c r="M809" t="s">
        <v>2965</v>
      </c>
      <c r="N809" t="b">
        <v>0</v>
      </c>
      <c r="O809" t="s">
        <v>2993</v>
      </c>
      <c r="P809" t="s">
        <v>3236</v>
      </c>
      <c r="Q809">
        <v>6</v>
      </c>
      <c r="R809" t="s">
        <v>3342</v>
      </c>
      <c r="S809" s="2">
        <v>0</v>
      </c>
      <c r="T809" s="2">
        <v>0</v>
      </c>
      <c r="U809" s="2">
        <v>111015</v>
      </c>
    </row>
    <row r="810" spans="1:21">
      <c r="A810" t="s">
        <v>22</v>
      </c>
      <c r="B810" s="1">
        <f>HYPERLINK("https://cordis.europa.eu/project/id/101036996", "101036996")</f>
        <v>0</v>
      </c>
      <c r="C810" t="s">
        <v>656</v>
      </c>
      <c r="D810" t="s">
        <v>1472</v>
      </c>
      <c r="E810" t="s">
        <v>1976</v>
      </c>
      <c r="F810" t="s">
        <v>2206</v>
      </c>
      <c r="G810" t="s">
        <v>2405</v>
      </c>
      <c r="H810" t="s">
        <v>2548</v>
      </c>
      <c r="I810" t="s">
        <v>2556</v>
      </c>
      <c r="J810" s="1">
        <f>HYPERLINK("https://ec.europa.eu/info/funding-tenders/opportunities/portal/screen/how-to-participate/org-details/892819332", "892819332")</f>
        <v>0</v>
      </c>
      <c r="K810" t="s">
        <v>2777</v>
      </c>
      <c r="M810" t="s">
        <v>2967</v>
      </c>
      <c r="N810" t="b">
        <v>0</v>
      </c>
      <c r="O810" t="s">
        <v>2994</v>
      </c>
      <c r="P810" t="s">
        <v>3233</v>
      </c>
      <c r="Q810">
        <v>27</v>
      </c>
      <c r="R810" t="s">
        <v>3346</v>
      </c>
      <c r="S810" s="2">
        <v>0</v>
      </c>
      <c r="T810" s="2">
        <v>0</v>
      </c>
      <c r="U810" s="2">
        <v>0</v>
      </c>
    </row>
    <row r="811" spans="1:21">
      <c r="A811" t="s">
        <v>22</v>
      </c>
      <c r="B811" s="1">
        <f>HYPERLINK("https://cordis.europa.eu/project/id/734690", "734690")</f>
        <v>0</v>
      </c>
      <c r="C811" t="s">
        <v>657</v>
      </c>
      <c r="D811" t="s">
        <v>1473</v>
      </c>
      <c r="E811" t="s">
        <v>1776</v>
      </c>
      <c r="F811" t="s">
        <v>2223</v>
      </c>
      <c r="G811" t="s">
        <v>2433</v>
      </c>
      <c r="H811" t="s">
        <v>2549</v>
      </c>
      <c r="I811" t="s">
        <v>2557</v>
      </c>
      <c r="J811" s="1">
        <f>HYPERLINK("https://ec.europa.eu/info/funding-tenders/opportunities/portal/screen/how-to-participate/org-details/999613131", "999613131")</f>
        <v>0</v>
      </c>
      <c r="K811" t="s">
        <v>2591</v>
      </c>
      <c r="L811" t="s">
        <v>2831</v>
      </c>
      <c r="M811" t="s">
        <v>2965</v>
      </c>
      <c r="N811" t="b">
        <v>0</v>
      </c>
      <c r="O811" t="s">
        <v>3003</v>
      </c>
      <c r="P811" t="s">
        <v>3177</v>
      </c>
      <c r="Q811">
        <v>9</v>
      </c>
      <c r="R811" t="s">
        <v>3345</v>
      </c>
      <c r="T811" s="2">
        <v>0</v>
      </c>
      <c r="U811" s="2">
        <v>0</v>
      </c>
    </row>
    <row r="812" spans="1:21">
      <c r="A812" t="s">
        <v>22</v>
      </c>
      <c r="B812" s="1">
        <f>HYPERLINK("https://cordis.europa.eu/project/id/734690", "734690")</f>
        <v>0</v>
      </c>
      <c r="C812" t="s">
        <v>657</v>
      </c>
      <c r="D812" t="s">
        <v>1473</v>
      </c>
      <c r="E812" t="s">
        <v>1776</v>
      </c>
      <c r="F812" t="s">
        <v>2223</v>
      </c>
      <c r="G812" t="s">
        <v>2433</v>
      </c>
      <c r="H812" t="s">
        <v>2548</v>
      </c>
      <c r="I812" t="s">
        <v>2556</v>
      </c>
      <c r="J812" s="1">
        <f>HYPERLINK("https://ec.europa.eu/info/funding-tenders/opportunities/portal/screen/how-to-participate/org-details/997151562", "997151562")</f>
        <v>0</v>
      </c>
      <c r="K812" t="s">
        <v>2604</v>
      </c>
      <c r="M812" t="s">
        <v>2965</v>
      </c>
      <c r="N812" t="b">
        <v>0</v>
      </c>
      <c r="O812" t="s">
        <v>3003</v>
      </c>
      <c r="P812" t="s">
        <v>3177</v>
      </c>
      <c r="Q812">
        <v>10</v>
      </c>
      <c r="R812" t="s">
        <v>3345</v>
      </c>
      <c r="T812" s="2">
        <v>0</v>
      </c>
      <c r="U812" s="2">
        <v>0</v>
      </c>
    </row>
    <row r="813" spans="1:21">
      <c r="A813" t="s">
        <v>22</v>
      </c>
      <c r="B813" s="1">
        <f>HYPERLINK("https://cordis.europa.eu/project/id/764987", "764987")</f>
        <v>0</v>
      </c>
      <c r="C813" t="s">
        <v>658</v>
      </c>
      <c r="D813" t="s">
        <v>1474</v>
      </c>
      <c r="E813" t="s">
        <v>1927</v>
      </c>
      <c r="F813" t="s">
        <v>2200</v>
      </c>
      <c r="G813" t="s">
        <v>2465</v>
      </c>
      <c r="H813" t="s">
        <v>2548</v>
      </c>
      <c r="I813" t="s">
        <v>2556</v>
      </c>
      <c r="J813" s="1">
        <f>HYPERLINK("https://ec.europa.eu/info/funding-tenders/opportunities/portal/screen/how-to-participate/org-details/923384614", "923384614")</f>
        <v>0</v>
      </c>
      <c r="K813" t="s">
        <v>2778</v>
      </c>
      <c r="L813" t="s">
        <v>2951</v>
      </c>
      <c r="M813" t="s">
        <v>2969</v>
      </c>
      <c r="N813" t="b">
        <v>0</v>
      </c>
      <c r="O813" t="s">
        <v>3002</v>
      </c>
      <c r="P813" t="s">
        <v>3163</v>
      </c>
      <c r="Q813">
        <v>14</v>
      </c>
      <c r="R813" t="s">
        <v>3345</v>
      </c>
      <c r="T813" s="2">
        <v>0</v>
      </c>
      <c r="U813" s="2">
        <v>0</v>
      </c>
    </row>
    <row r="814" spans="1:21">
      <c r="A814" t="s">
        <v>22</v>
      </c>
      <c r="B814" s="1">
        <f>HYPERLINK("https://cordis.europa.eu/project/id/838904", "838904")</f>
        <v>0</v>
      </c>
      <c r="C814" t="s">
        <v>659</v>
      </c>
      <c r="D814" t="s">
        <v>1475</v>
      </c>
      <c r="E814" t="s">
        <v>1977</v>
      </c>
      <c r="F814" t="s">
        <v>2227</v>
      </c>
      <c r="G814" t="s">
        <v>2306</v>
      </c>
      <c r="H814" t="s">
        <v>2548</v>
      </c>
      <c r="I814" t="s">
        <v>2556</v>
      </c>
      <c r="J814" s="1">
        <f>HYPERLINK("https://ec.europa.eu/info/funding-tenders/opportunities/portal/screen/how-to-participate/org-details/998804636", "998804636")</f>
        <v>0</v>
      </c>
      <c r="K814" t="s">
        <v>2612</v>
      </c>
      <c r="L814" t="s">
        <v>2845</v>
      </c>
      <c r="M814" t="s">
        <v>2965</v>
      </c>
      <c r="N814" t="b">
        <v>0</v>
      </c>
      <c r="O814" t="s">
        <v>2997</v>
      </c>
      <c r="P814" t="s">
        <v>3158</v>
      </c>
      <c r="Q814">
        <v>2</v>
      </c>
      <c r="R814" t="s">
        <v>3345</v>
      </c>
      <c r="T814" s="2">
        <v>0</v>
      </c>
    </row>
    <row r="815" spans="1:21">
      <c r="A815" t="s">
        <v>22</v>
      </c>
      <c r="B815" s="1">
        <f>HYPERLINK("https://cordis.europa.eu/project/id/101022180", "101022180")</f>
        <v>0</v>
      </c>
      <c r="C815" t="s">
        <v>660</v>
      </c>
      <c r="D815" t="s">
        <v>1476</v>
      </c>
      <c r="E815" t="s">
        <v>1978</v>
      </c>
      <c r="F815" t="s">
        <v>2261</v>
      </c>
      <c r="G815" t="s">
        <v>2445</v>
      </c>
      <c r="H815" t="s">
        <v>2548</v>
      </c>
      <c r="I815" t="s">
        <v>2556</v>
      </c>
      <c r="J815" s="1">
        <f>HYPERLINK("https://ec.europa.eu/info/funding-tenders/opportunities/portal/screen/how-to-participate/org-details/999845252", "999845252")</f>
        <v>0</v>
      </c>
      <c r="K815" t="s">
        <v>2687</v>
      </c>
      <c r="L815" t="s">
        <v>2908</v>
      </c>
      <c r="M815" t="s">
        <v>2965</v>
      </c>
      <c r="N815" t="b">
        <v>0</v>
      </c>
      <c r="O815" t="s">
        <v>2997</v>
      </c>
      <c r="P815" t="s">
        <v>3166</v>
      </c>
      <c r="Q815">
        <v>2</v>
      </c>
      <c r="R815" t="s">
        <v>3345</v>
      </c>
      <c r="T815" s="2">
        <v>0</v>
      </c>
    </row>
    <row r="816" spans="1:21">
      <c r="A816" t="s">
        <v>22</v>
      </c>
      <c r="B816" s="1">
        <f>HYPERLINK("https://cordis.europa.eu/project/id/870845", "870845")</f>
        <v>0</v>
      </c>
      <c r="C816" t="s">
        <v>661</v>
      </c>
      <c r="D816" t="s">
        <v>1477</v>
      </c>
      <c r="E816" t="s">
        <v>1979</v>
      </c>
      <c r="F816" t="s">
        <v>2196</v>
      </c>
      <c r="G816" t="s">
        <v>2411</v>
      </c>
      <c r="H816" t="s">
        <v>2548</v>
      </c>
      <c r="I816" t="s">
        <v>2556</v>
      </c>
      <c r="J816" s="1">
        <f>HYPERLINK("https://ec.europa.eu/info/funding-tenders/opportunities/portal/screen/how-to-participate/org-details/998385014", "998385014")</f>
        <v>0</v>
      </c>
      <c r="K816" t="s">
        <v>2618</v>
      </c>
      <c r="L816" t="s">
        <v>2849</v>
      </c>
      <c r="M816" t="s">
        <v>2965</v>
      </c>
      <c r="N816" t="b">
        <v>0</v>
      </c>
      <c r="O816" t="s">
        <v>2993</v>
      </c>
      <c r="P816" t="s">
        <v>3242</v>
      </c>
      <c r="Q816">
        <v>8</v>
      </c>
      <c r="R816" t="s">
        <v>3342</v>
      </c>
      <c r="S816" s="2">
        <v>0</v>
      </c>
      <c r="T816" s="2">
        <v>0</v>
      </c>
      <c r="U816" s="2">
        <v>62435</v>
      </c>
    </row>
    <row r="817" spans="1:21">
      <c r="A817" t="s">
        <v>22</v>
      </c>
      <c r="B817" s="1">
        <f>HYPERLINK("https://cordis.europa.eu/project/id/870845", "870845")</f>
        <v>0</v>
      </c>
      <c r="C817" t="s">
        <v>661</v>
      </c>
      <c r="D817" t="s">
        <v>1477</v>
      </c>
      <c r="E817" t="s">
        <v>1979</v>
      </c>
      <c r="F817" t="s">
        <v>2196</v>
      </c>
      <c r="G817" t="s">
        <v>2411</v>
      </c>
      <c r="H817" t="s">
        <v>2548</v>
      </c>
      <c r="I817" t="s">
        <v>2556</v>
      </c>
      <c r="J817" s="1">
        <f>HYPERLINK("https://ec.europa.eu/info/funding-tenders/opportunities/portal/screen/how-to-participate/org-details/998826946", "998826946")</f>
        <v>0</v>
      </c>
      <c r="K817" t="s">
        <v>2617</v>
      </c>
      <c r="L817" t="s">
        <v>2848</v>
      </c>
      <c r="M817" t="s">
        <v>2965</v>
      </c>
      <c r="N817" t="b">
        <v>0</v>
      </c>
      <c r="O817" t="s">
        <v>2993</v>
      </c>
      <c r="P817" t="s">
        <v>3242</v>
      </c>
      <c r="Q817">
        <v>7</v>
      </c>
      <c r="R817" t="s">
        <v>3342</v>
      </c>
      <c r="S817" s="2">
        <v>0</v>
      </c>
      <c r="T817" s="2">
        <v>0</v>
      </c>
      <c r="U817" s="2">
        <v>28275</v>
      </c>
    </row>
    <row r="818" spans="1:21">
      <c r="A818" t="s">
        <v>22</v>
      </c>
      <c r="B818" s="1">
        <f>HYPERLINK("https://cordis.europa.eu/project/id/870845", "870845")</f>
        <v>0</v>
      </c>
      <c r="C818" t="s">
        <v>661</v>
      </c>
      <c r="D818" t="s">
        <v>1477</v>
      </c>
      <c r="E818" t="s">
        <v>1979</v>
      </c>
      <c r="F818" t="s">
        <v>2196</v>
      </c>
      <c r="G818" t="s">
        <v>2411</v>
      </c>
      <c r="H818" t="s">
        <v>2548</v>
      </c>
      <c r="I818" t="s">
        <v>2556</v>
      </c>
      <c r="J818" s="1">
        <f>HYPERLINK("https://ec.europa.eu/info/funding-tenders/opportunities/portal/screen/how-to-participate/org-details/999885216", "999885216")</f>
        <v>0</v>
      </c>
      <c r="K818" t="s">
        <v>2658</v>
      </c>
      <c r="L818" t="s">
        <v>2884</v>
      </c>
      <c r="M818" t="s">
        <v>2965</v>
      </c>
      <c r="N818" t="b">
        <v>0</v>
      </c>
      <c r="O818" t="s">
        <v>2993</v>
      </c>
      <c r="P818" t="s">
        <v>3242</v>
      </c>
      <c r="Q818">
        <v>6</v>
      </c>
      <c r="R818" t="s">
        <v>3342</v>
      </c>
      <c r="S818" s="2">
        <v>0</v>
      </c>
      <c r="T818" s="2">
        <v>0</v>
      </c>
    </row>
    <row r="819" spans="1:21">
      <c r="A819" t="s">
        <v>22</v>
      </c>
      <c r="B819" s="1">
        <f>HYPERLINK("https://cordis.europa.eu/project/id/754326", "754326")</f>
        <v>0</v>
      </c>
      <c r="C819" t="s">
        <v>662</v>
      </c>
      <c r="D819" t="s">
        <v>1478</v>
      </c>
      <c r="E819" t="s">
        <v>1980</v>
      </c>
      <c r="F819" t="s">
        <v>2199</v>
      </c>
      <c r="G819" t="s">
        <v>2417</v>
      </c>
      <c r="H819" t="s">
        <v>2548</v>
      </c>
      <c r="I819" t="s">
        <v>2556</v>
      </c>
      <c r="J819" s="1">
        <f>HYPERLINK("https://ec.europa.eu/info/funding-tenders/opportunities/portal/screen/how-to-participate/org-details/998711419", "998711419")</f>
        <v>0</v>
      </c>
      <c r="K819" t="s">
        <v>2628</v>
      </c>
      <c r="M819" t="s">
        <v>2965</v>
      </c>
      <c r="N819" t="b">
        <v>0</v>
      </c>
      <c r="O819" t="s">
        <v>2999</v>
      </c>
      <c r="P819" t="s">
        <v>3161</v>
      </c>
      <c r="Q819">
        <v>6</v>
      </c>
      <c r="R819" t="s">
        <v>3345</v>
      </c>
      <c r="T819" s="2">
        <v>0</v>
      </c>
      <c r="U819" s="2">
        <v>0</v>
      </c>
    </row>
    <row r="820" spans="1:21">
      <c r="A820" t="s">
        <v>22</v>
      </c>
      <c r="B820" s="1">
        <f>HYPERLINK("https://cordis.europa.eu/project/id/754326", "754326")</f>
        <v>0</v>
      </c>
      <c r="C820" t="s">
        <v>662</v>
      </c>
      <c r="D820" t="s">
        <v>1478</v>
      </c>
      <c r="E820" t="s">
        <v>1980</v>
      </c>
      <c r="F820" t="s">
        <v>2199</v>
      </c>
      <c r="G820" t="s">
        <v>2417</v>
      </c>
      <c r="H820" t="s">
        <v>2548</v>
      </c>
      <c r="I820" t="s">
        <v>2556</v>
      </c>
      <c r="J820" s="1">
        <f>HYPERLINK("https://ec.europa.eu/info/funding-tenders/opportunities/portal/screen/how-to-participate/org-details/999845252", "999845252")</f>
        <v>0</v>
      </c>
      <c r="K820" t="s">
        <v>2687</v>
      </c>
      <c r="L820" t="s">
        <v>2908</v>
      </c>
      <c r="M820" t="s">
        <v>2965</v>
      </c>
      <c r="N820" t="b">
        <v>0</v>
      </c>
      <c r="O820" t="s">
        <v>2999</v>
      </c>
      <c r="P820" t="s">
        <v>3161</v>
      </c>
      <c r="Q820">
        <v>10</v>
      </c>
      <c r="R820" t="s">
        <v>3345</v>
      </c>
      <c r="T820" s="2">
        <v>0</v>
      </c>
      <c r="U820" s="2">
        <v>0</v>
      </c>
    </row>
    <row r="821" spans="1:21">
      <c r="A821" t="s">
        <v>22</v>
      </c>
      <c r="B821" s="1">
        <f>HYPERLINK("https://cordis.europa.eu/project/id/754326", "754326")</f>
        <v>0</v>
      </c>
      <c r="C821" t="s">
        <v>662</v>
      </c>
      <c r="D821" t="s">
        <v>1478</v>
      </c>
      <c r="E821" t="s">
        <v>1980</v>
      </c>
      <c r="F821" t="s">
        <v>2199</v>
      </c>
      <c r="G821" t="s">
        <v>2417</v>
      </c>
      <c r="H821" t="s">
        <v>2548</v>
      </c>
      <c r="I821" t="s">
        <v>2556</v>
      </c>
      <c r="J821" s="1">
        <f>HYPERLINK("https://ec.europa.eu/info/funding-tenders/opportunities/portal/screen/how-to-participate/org-details/999885216", "999885216")</f>
        <v>0</v>
      </c>
      <c r="K821" t="s">
        <v>2658</v>
      </c>
      <c r="L821" t="s">
        <v>2884</v>
      </c>
      <c r="M821" t="s">
        <v>2965</v>
      </c>
      <c r="N821" t="b">
        <v>0</v>
      </c>
      <c r="O821" t="s">
        <v>2999</v>
      </c>
      <c r="P821" t="s">
        <v>3161</v>
      </c>
      <c r="Q821">
        <v>15</v>
      </c>
      <c r="R821" t="s">
        <v>3345</v>
      </c>
      <c r="T821" s="2">
        <v>0</v>
      </c>
      <c r="U821" s="2">
        <v>0</v>
      </c>
    </row>
    <row r="822" spans="1:21">
      <c r="A822" t="s">
        <v>22</v>
      </c>
      <c r="B822" s="1">
        <f>HYPERLINK("https://cordis.europa.eu/project/id/660426", "660426")</f>
        <v>0</v>
      </c>
      <c r="C822" t="s">
        <v>663</v>
      </c>
      <c r="D822" t="s">
        <v>1479</v>
      </c>
      <c r="E822" t="s">
        <v>1981</v>
      </c>
      <c r="F822" t="s">
        <v>2282</v>
      </c>
      <c r="G822" t="s">
        <v>1955</v>
      </c>
      <c r="H822" t="s">
        <v>2548</v>
      </c>
      <c r="I822" t="s">
        <v>2556</v>
      </c>
      <c r="J822" s="1">
        <f>HYPERLINK("https://ec.europa.eu/info/funding-tenders/opportunities/portal/screen/how-to-participate/org-details/998804636", "998804636")</f>
        <v>0</v>
      </c>
      <c r="K822" t="s">
        <v>2612</v>
      </c>
      <c r="L822" t="s">
        <v>2845</v>
      </c>
      <c r="M822" t="s">
        <v>2965</v>
      </c>
      <c r="N822" t="b">
        <v>0</v>
      </c>
      <c r="O822" t="s">
        <v>2997</v>
      </c>
      <c r="P822" t="s">
        <v>3165</v>
      </c>
      <c r="Q822">
        <v>2</v>
      </c>
      <c r="R822" t="s">
        <v>3345</v>
      </c>
      <c r="T822" s="2">
        <v>0</v>
      </c>
    </row>
    <row r="823" spans="1:21">
      <c r="A823" t="s">
        <v>22</v>
      </c>
      <c r="B823" s="1">
        <f>HYPERLINK("https://cordis.europa.eu/project/id/675441", "675441")</f>
        <v>0</v>
      </c>
      <c r="C823" t="s">
        <v>664</v>
      </c>
      <c r="D823" t="s">
        <v>1480</v>
      </c>
      <c r="E823" t="s">
        <v>1982</v>
      </c>
      <c r="F823" t="s">
        <v>2188</v>
      </c>
      <c r="G823" t="s">
        <v>2436</v>
      </c>
      <c r="H823" t="s">
        <v>2548</v>
      </c>
      <c r="I823" t="s">
        <v>2556</v>
      </c>
      <c r="J823" s="1">
        <f>HYPERLINK("https://ec.europa.eu/info/funding-tenders/opportunities/portal/screen/how-to-participate/org-details/998083247", "998083247")</f>
        <v>0</v>
      </c>
      <c r="K823" t="s">
        <v>2605</v>
      </c>
      <c r="M823" t="s">
        <v>2965</v>
      </c>
      <c r="N823" t="b">
        <v>0</v>
      </c>
      <c r="O823" t="s">
        <v>3011</v>
      </c>
      <c r="P823" t="s">
        <v>3195</v>
      </c>
      <c r="Q823">
        <v>6</v>
      </c>
      <c r="R823" t="s">
        <v>3345</v>
      </c>
      <c r="T823" s="2">
        <v>0</v>
      </c>
      <c r="U823" s="2">
        <v>0</v>
      </c>
    </row>
    <row r="824" spans="1:21">
      <c r="A824" t="s">
        <v>22</v>
      </c>
      <c r="B824" s="1">
        <f>HYPERLINK("https://cordis.europa.eu/project/id/101008099", "101008099")</f>
        <v>0</v>
      </c>
      <c r="C824" t="s">
        <v>665</v>
      </c>
      <c r="D824" t="s">
        <v>1481</v>
      </c>
      <c r="E824" t="s">
        <v>1824</v>
      </c>
      <c r="F824" t="s">
        <v>2216</v>
      </c>
      <c r="G824" t="s">
        <v>2499</v>
      </c>
      <c r="H824" t="s">
        <v>2548</v>
      </c>
      <c r="I824" t="s">
        <v>2556</v>
      </c>
      <c r="J824" s="1">
        <f>HYPERLINK("https://ec.europa.eu/info/funding-tenders/opportunities/portal/screen/how-to-participate/org-details/996726411", "996726411")</f>
        <v>0</v>
      </c>
      <c r="K824" t="s">
        <v>2609</v>
      </c>
      <c r="M824" t="s">
        <v>2969</v>
      </c>
      <c r="N824" t="b">
        <v>0</v>
      </c>
      <c r="O824" t="s">
        <v>3003</v>
      </c>
      <c r="P824" t="s">
        <v>3216</v>
      </c>
      <c r="Q824">
        <v>19</v>
      </c>
      <c r="R824" t="s">
        <v>3345</v>
      </c>
      <c r="T824" s="2">
        <v>0</v>
      </c>
      <c r="U824" s="2">
        <v>0</v>
      </c>
    </row>
    <row r="825" spans="1:21">
      <c r="A825" t="s">
        <v>22</v>
      </c>
      <c r="B825" s="1">
        <f>HYPERLINK("https://cordis.europa.eu/project/id/823895", "823895")</f>
        <v>0</v>
      </c>
      <c r="C825" t="s">
        <v>666</v>
      </c>
      <c r="D825" t="s">
        <v>1482</v>
      </c>
      <c r="E825" t="s">
        <v>1983</v>
      </c>
      <c r="F825" t="s">
        <v>2189</v>
      </c>
      <c r="G825" t="s">
        <v>2417</v>
      </c>
      <c r="H825" t="s">
        <v>2548</v>
      </c>
      <c r="I825" t="s">
        <v>2556</v>
      </c>
      <c r="J825" s="1">
        <f>HYPERLINK("https://ec.europa.eu/info/funding-tenders/opportunities/portal/screen/how-to-participate/org-details/996231614", "996231614")</f>
        <v>0</v>
      </c>
      <c r="K825" t="s">
        <v>2652</v>
      </c>
      <c r="L825" t="s">
        <v>2652</v>
      </c>
      <c r="M825" t="s">
        <v>2965</v>
      </c>
      <c r="N825" t="b">
        <v>0</v>
      </c>
      <c r="O825" t="s">
        <v>3003</v>
      </c>
      <c r="P825" t="s">
        <v>3174</v>
      </c>
      <c r="Q825">
        <v>10</v>
      </c>
      <c r="R825" t="s">
        <v>3345</v>
      </c>
      <c r="T825" s="2">
        <v>0</v>
      </c>
      <c r="U825" s="2">
        <v>50600</v>
      </c>
    </row>
    <row r="826" spans="1:21">
      <c r="A826" t="s">
        <v>22</v>
      </c>
      <c r="B826" s="1">
        <f>HYPERLINK("https://cordis.europa.eu/project/id/825828", "825828")</f>
        <v>0</v>
      </c>
      <c r="C826" t="s">
        <v>667</v>
      </c>
      <c r="D826" t="s">
        <v>1483</v>
      </c>
      <c r="E826" t="s">
        <v>1984</v>
      </c>
      <c r="F826" t="s">
        <v>2227</v>
      </c>
      <c r="G826" t="s">
        <v>2452</v>
      </c>
      <c r="H826" t="s">
        <v>2548</v>
      </c>
      <c r="I826" t="s">
        <v>2556</v>
      </c>
      <c r="J826" s="1">
        <f>HYPERLINK("https://ec.europa.eu/info/funding-tenders/opportunities/portal/screen/how-to-participate/org-details/998804636", "998804636")</f>
        <v>0</v>
      </c>
      <c r="K826" t="s">
        <v>2612</v>
      </c>
      <c r="L826" t="s">
        <v>2845</v>
      </c>
      <c r="M826" t="s">
        <v>2965</v>
      </c>
      <c r="N826" t="b">
        <v>0</v>
      </c>
      <c r="O826" t="s">
        <v>2993</v>
      </c>
      <c r="P826" t="s">
        <v>3152</v>
      </c>
      <c r="Q826">
        <v>1</v>
      </c>
      <c r="R826" t="s">
        <v>3344</v>
      </c>
      <c r="S826" s="2">
        <v>0</v>
      </c>
      <c r="T826" s="2">
        <v>0</v>
      </c>
      <c r="U826" s="2">
        <v>78750</v>
      </c>
    </row>
    <row r="827" spans="1:21">
      <c r="A827" t="s">
        <v>22</v>
      </c>
      <c r="B827" s="1">
        <f>HYPERLINK("https://cordis.europa.eu/project/id/778133", "778133")</f>
        <v>0</v>
      </c>
      <c r="C827" t="s">
        <v>668</v>
      </c>
      <c r="D827" t="s">
        <v>1484</v>
      </c>
      <c r="E827" t="s">
        <v>1985</v>
      </c>
      <c r="F827" t="s">
        <v>2190</v>
      </c>
      <c r="G827" t="s">
        <v>2466</v>
      </c>
      <c r="H827" t="s">
        <v>2548</v>
      </c>
      <c r="I827" t="s">
        <v>2556</v>
      </c>
      <c r="J827" s="1">
        <f>HYPERLINK("https://ec.europa.eu/info/funding-tenders/opportunities/portal/screen/how-to-participate/org-details/998826946", "998826946")</f>
        <v>0</v>
      </c>
      <c r="K827" t="s">
        <v>2617</v>
      </c>
      <c r="L827" t="s">
        <v>2848</v>
      </c>
      <c r="M827" t="s">
        <v>2965</v>
      </c>
      <c r="N827" t="b">
        <v>0</v>
      </c>
      <c r="O827" t="s">
        <v>3003</v>
      </c>
      <c r="P827" t="s">
        <v>3173</v>
      </c>
      <c r="Q827">
        <v>5</v>
      </c>
      <c r="R827" t="s">
        <v>3345</v>
      </c>
      <c r="T827" s="2">
        <v>0</v>
      </c>
      <c r="U827" s="2">
        <v>0</v>
      </c>
    </row>
    <row r="828" spans="1:21">
      <c r="A828" t="s">
        <v>23</v>
      </c>
      <c r="B828" s="1">
        <f>HYPERLINK("https://cordis.europa.eu/project/id/101084066", "101084066")</f>
        <v>0</v>
      </c>
      <c r="C828" t="s">
        <v>669</v>
      </c>
      <c r="D828" t="s">
        <v>1485</v>
      </c>
      <c r="E828" t="s">
        <v>1986</v>
      </c>
      <c r="F828" t="s">
        <v>2101</v>
      </c>
      <c r="G828" t="s">
        <v>2489</v>
      </c>
      <c r="H828" t="s">
        <v>2548</v>
      </c>
      <c r="I828" t="s">
        <v>2556</v>
      </c>
      <c r="J828" s="1">
        <f>HYPERLINK("https://ec.europa.eu/info/funding-tenders/opportunities/portal/screen/how-to-participate/org-details/998757203", "998757203")</f>
        <v>0</v>
      </c>
      <c r="K828" t="s">
        <v>2575</v>
      </c>
      <c r="L828" t="s">
        <v>2817</v>
      </c>
      <c r="M828" t="s">
        <v>2965</v>
      </c>
      <c r="N828" t="b">
        <v>0</v>
      </c>
      <c r="O828" t="s">
        <v>3012</v>
      </c>
      <c r="P828" t="s">
        <v>3276</v>
      </c>
      <c r="Q828">
        <v>12</v>
      </c>
      <c r="R828" t="s">
        <v>3347</v>
      </c>
      <c r="T828" s="2">
        <v>0</v>
      </c>
    </row>
    <row r="829" spans="1:21">
      <c r="A829" t="s">
        <v>23</v>
      </c>
      <c r="B829" s="1">
        <f>HYPERLINK("https://cordis.europa.eu/project/id/101138620", "101138620")</f>
        <v>0</v>
      </c>
      <c r="C829" t="s">
        <v>670</v>
      </c>
      <c r="D829" t="s">
        <v>1486</v>
      </c>
      <c r="E829" t="s">
        <v>1987</v>
      </c>
      <c r="F829" t="s">
        <v>2283</v>
      </c>
      <c r="G829" t="s">
        <v>2515</v>
      </c>
      <c r="H829" t="s">
        <v>2548</v>
      </c>
      <c r="I829" t="s">
        <v>2556</v>
      </c>
      <c r="J829" s="1">
        <f>HYPERLINK("https://ec.europa.eu/info/funding-tenders/opportunities/portal/screen/how-to-participate/org-details/892819332", "892819332")</f>
        <v>0</v>
      </c>
      <c r="K829" t="s">
        <v>2777</v>
      </c>
      <c r="M829" t="s">
        <v>2967</v>
      </c>
      <c r="N829" t="b">
        <v>0</v>
      </c>
      <c r="O829" t="s">
        <v>3013</v>
      </c>
      <c r="P829" t="s">
        <v>3277</v>
      </c>
      <c r="Q829">
        <v>5</v>
      </c>
      <c r="R829" t="s">
        <v>3346</v>
      </c>
      <c r="S829" s="2">
        <v>0</v>
      </c>
      <c r="T829" s="2">
        <v>0</v>
      </c>
      <c r="U829" s="2">
        <v>0</v>
      </c>
    </row>
    <row r="830" spans="1:21">
      <c r="A830" t="s">
        <v>23</v>
      </c>
      <c r="B830" s="1">
        <f>HYPERLINK("https://cordis.europa.eu/project/id/101131120", "101131120")</f>
        <v>0</v>
      </c>
      <c r="C830" t="s">
        <v>671</v>
      </c>
      <c r="D830" t="s">
        <v>1487</v>
      </c>
      <c r="E830" t="s">
        <v>1988</v>
      </c>
      <c r="F830" t="s">
        <v>2283</v>
      </c>
      <c r="G830" t="s">
        <v>2516</v>
      </c>
      <c r="H830" t="s">
        <v>2548</v>
      </c>
      <c r="I830" t="s">
        <v>2556</v>
      </c>
      <c r="J830" s="1">
        <f>HYPERLINK("https://ec.europa.eu/info/funding-tenders/opportunities/portal/screen/how-to-participate/org-details/986196188", "986196188")</f>
        <v>0</v>
      </c>
      <c r="K830" t="s">
        <v>2709</v>
      </c>
      <c r="L830" t="s">
        <v>2920</v>
      </c>
      <c r="M830" t="s">
        <v>2965</v>
      </c>
      <c r="N830" t="b">
        <v>0</v>
      </c>
      <c r="O830" t="s">
        <v>3014</v>
      </c>
      <c r="P830" t="s">
        <v>3278</v>
      </c>
      <c r="Q830">
        <v>9</v>
      </c>
      <c r="R830" t="s">
        <v>3347</v>
      </c>
      <c r="T830" s="2">
        <v>0</v>
      </c>
    </row>
    <row r="831" spans="1:21">
      <c r="A831" t="s">
        <v>23</v>
      </c>
      <c r="B831" s="1">
        <f>HYPERLINK("https://cordis.europa.eu/project/id/101107288", "101107288")</f>
        <v>0</v>
      </c>
      <c r="C831" t="s">
        <v>672</v>
      </c>
      <c r="D831" t="s">
        <v>1488</v>
      </c>
      <c r="E831" t="s">
        <v>1989</v>
      </c>
      <c r="F831" t="s">
        <v>2284</v>
      </c>
      <c r="G831" t="s">
        <v>2403</v>
      </c>
      <c r="H831" t="s">
        <v>2548</v>
      </c>
      <c r="I831" t="s">
        <v>2556</v>
      </c>
      <c r="J831" s="1">
        <f>HYPERLINK("https://ec.europa.eu/info/funding-tenders/opportunities/portal/screen/how-to-participate/org-details/998826946", "998826946")</f>
        <v>0</v>
      </c>
      <c r="K831" t="s">
        <v>2617</v>
      </c>
      <c r="L831" t="s">
        <v>2848</v>
      </c>
      <c r="M831" t="s">
        <v>2965</v>
      </c>
      <c r="N831" t="b">
        <v>0</v>
      </c>
      <c r="O831" t="s">
        <v>3015</v>
      </c>
      <c r="P831" t="s">
        <v>3279</v>
      </c>
      <c r="Q831">
        <v>2</v>
      </c>
      <c r="R831" t="s">
        <v>3347</v>
      </c>
      <c r="T831" s="2">
        <v>0</v>
      </c>
    </row>
    <row r="832" spans="1:21">
      <c r="A832" t="s">
        <v>23</v>
      </c>
      <c r="B832" s="1">
        <f>HYPERLINK("https://cordis.europa.eu/project/id/101147317", "101147317")</f>
        <v>0</v>
      </c>
      <c r="C832" t="s">
        <v>673</v>
      </c>
      <c r="D832" t="s">
        <v>1489</v>
      </c>
      <c r="E832" t="s">
        <v>1990</v>
      </c>
      <c r="F832" t="s">
        <v>2285</v>
      </c>
      <c r="G832" t="s">
        <v>2517</v>
      </c>
      <c r="H832" t="s">
        <v>2548</v>
      </c>
      <c r="I832" t="s">
        <v>2556</v>
      </c>
      <c r="J832" s="1">
        <f>HYPERLINK("https://ec.europa.eu/info/funding-tenders/opportunities/portal/screen/how-to-participate/org-details/998826946", "998826946")</f>
        <v>0</v>
      </c>
      <c r="K832" t="s">
        <v>2617</v>
      </c>
      <c r="L832" t="s">
        <v>2848</v>
      </c>
      <c r="M832" t="s">
        <v>2965</v>
      </c>
      <c r="N832" t="b">
        <v>0</v>
      </c>
      <c r="O832" t="s">
        <v>3016</v>
      </c>
      <c r="P832" t="s">
        <v>3280</v>
      </c>
      <c r="Q832">
        <v>2</v>
      </c>
      <c r="R832" t="s">
        <v>3347</v>
      </c>
      <c r="T832" s="2">
        <v>0</v>
      </c>
    </row>
    <row r="833" spans="1:21">
      <c r="A833" t="s">
        <v>23</v>
      </c>
      <c r="B833" s="1">
        <f>HYPERLINK("https://cordis.europa.eu/project/id/101153662", "101153662")</f>
        <v>0</v>
      </c>
      <c r="C833" t="s">
        <v>674</v>
      </c>
      <c r="D833" t="s">
        <v>1490</v>
      </c>
      <c r="E833" t="s">
        <v>1991</v>
      </c>
      <c r="F833" t="s">
        <v>2286</v>
      </c>
      <c r="G833" t="s">
        <v>2518</v>
      </c>
      <c r="H833" t="s">
        <v>2548</v>
      </c>
      <c r="I833" t="s">
        <v>2556</v>
      </c>
      <c r="J833" s="1">
        <f>HYPERLINK("https://ec.europa.eu/info/funding-tenders/opportunities/portal/screen/how-to-participate/org-details/998804636", "998804636")</f>
        <v>0</v>
      </c>
      <c r="K833" t="s">
        <v>2612</v>
      </c>
      <c r="L833" t="s">
        <v>2845</v>
      </c>
      <c r="M833" t="s">
        <v>2965</v>
      </c>
      <c r="N833" t="b">
        <v>0</v>
      </c>
      <c r="O833" t="s">
        <v>3016</v>
      </c>
      <c r="P833" t="s">
        <v>3280</v>
      </c>
      <c r="Q833">
        <v>3</v>
      </c>
      <c r="R833" t="s">
        <v>3347</v>
      </c>
      <c r="T833" s="2">
        <v>0</v>
      </c>
    </row>
    <row r="834" spans="1:21">
      <c r="A834" t="s">
        <v>23</v>
      </c>
      <c r="B834" s="1">
        <f>HYPERLINK("https://cordis.europa.eu/project/id/101154092", "101154092")</f>
        <v>0</v>
      </c>
      <c r="C834" t="s">
        <v>675</v>
      </c>
      <c r="D834" t="s">
        <v>1491</v>
      </c>
      <c r="E834" t="s">
        <v>1992</v>
      </c>
      <c r="F834" t="s">
        <v>2287</v>
      </c>
      <c r="G834" t="s">
        <v>2519</v>
      </c>
      <c r="H834" t="s">
        <v>2548</v>
      </c>
      <c r="I834" t="s">
        <v>2556</v>
      </c>
      <c r="J834" s="1">
        <f>HYPERLINK("https://ec.europa.eu/info/funding-tenders/opportunities/portal/screen/how-to-participate/org-details/999885216", "999885216")</f>
        <v>0</v>
      </c>
      <c r="K834" t="s">
        <v>2658</v>
      </c>
      <c r="L834" t="s">
        <v>2884</v>
      </c>
      <c r="M834" t="s">
        <v>2965</v>
      </c>
      <c r="N834" t="b">
        <v>0</v>
      </c>
      <c r="O834" t="s">
        <v>3016</v>
      </c>
      <c r="P834" t="s">
        <v>3280</v>
      </c>
      <c r="Q834">
        <v>2</v>
      </c>
      <c r="R834" t="s">
        <v>3347</v>
      </c>
      <c r="T834" s="2">
        <v>0</v>
      </c>
    </row>
    <row r="835" spans="1:21">
      <c r="A835" t="s">
        <v>23</v>
      </c>
      <c r="B835" s="1">
        <f>HYPERLINK("https://cordis.europa.eu/project/id/101150779", "101150779")</f>
        <v>0</v>
      </c>
      <c r="C835" t="s">
        <v>676</v>
      </c>
      <c r="D835" t="s">
        <v>1492</v>
      </c>
      <c r="E835" t="s">
        <v>1993</v>
      </c>
      <c r="F835" t="s">
        <v>2288</v>
      </c>
      <c r="G835" t="s">
        <v>2488</v>
      </c>
      <c r="H835" t="s">
        <v>2548</v>
      </c>
      <c r="I835" t="s">
        <v>2556</v>
      </c>
      <c r="J835" s="1">
        <f>HYPERLINK("https://ec.europa.eu/info/funding-tenders/opportunities/portal/screen/how-to-participate/org-details/880799674", "880799674")</f>
        <v>0</v>
      </c>
      <c r="K835" t="s">
        <v>2779</v>
      </c>
      <c r="L835" t="s">
        <v>2952</v>
      </c>
      <c r="M835" t="s">
        <v>2969</v>
      </c>
      <c r="N835" t="b">
        <v>0</v>
      </c>
      <c r="O835" t="s">
        <v>3015</v>
      </c>
      <c r="P835" t="s">
        <v>3280</v>
      </c>
      <c r="Q835">
        <v>2</v>
      </c>
      <c r="R835" t="s">
        <v>3347</v>
      </c>
      <c r="T835" s="2">
        <v>0</v>
      </c>
    </row>
    <row r="836" spans="1:21">
      <c r="A836" t="s">
        <v>23</v>
      </c>
      <c r="B836" s="1">
        <f>HYPERLINK("https://cordis.europa.eu/project/id/101155517", "101155517")</f>
        <v>0</v>
      </c>
      <c r="C836" t="s">
        <v>53</v>
      </c>
      <c r="D836" t="s">
        <v>1493</v>
      </c>
      <c r="E836" t="s">
        <v>1994</v>
      </c>
      <c r="F836" t="s">
        <v>2289</v>
      </c>
      <c r="G836" t="s">
        <v>2520</v>
      </c>
      <c r="H836" t="s">
        <v>2548</v>
      </c>
      <c r="I836" t="s">
        <v>2556</v>
      </c>
      <c r="J836" s="1">
        <f>HYPERLINK("https://ec.europa.eu/info/funding-tenders/opportunities/portal/screen/how-to-participate/org-details/969848487", "969848487")</f>
        <v>0</v>
      </c>
      <c r="K836" t="s">
        <v>2574</v>
      </c>
      <c r="L836" t="s">
        <v>2816</v>
      </c>
      <c r="M836" t="s">
        <v>2965</v>
      </c>
      <c r="N836" t="b">
        <v>0</v>
      </c>
      <c r="O836" t="s">
        <v>3016</v>
      </c>
      <c r="P836" t="s">
        <v>3280</v>
      </c>
      <c r="Q836">
        <v>2</v>
      </c>
      <c r="R836" t="s">
        <v>3347</v>
      </c>
      <c r="T836" s="2">
        <v>0</v>
      </c>
    </row>
    <row r="837" spans="1:21">
      <c r="A837" t="s">
        <v>23</v>
      </c>
      <c r="B837" s="1">
        <f>HYPERLINK("https://cordis.europa.eu/project/id/101146728", "101146728")</f>
        <v>0</v>
      </c>
      <c r="C837" t="s">
        <v>677</v>
      </c>
      <c r="D837" t="s">
        <v>1494</v>
      </c>
      <c r="E837" t="s">
        <v>1995</v>
      </c>
      <c r="F837" t="s">
        <v>2288</v>
      </c>
      <c r="G837" t="s">
        <v>2521</v>
      </c>
      <c r="H837" t="s">
        <v>2548</v>
      </c>
      <c r="I837" t="s">
        <v>2556</v>
      </c>
      <c r="J837" s="1">
        <f>HYPERLINK("https://ec.europa.eu/info/funding-tenders/opportunities/portal/screen/how-to-participate/org-details/998539535", "998539535")</f>
        <v>0</v>
      </c>
      <c r="K837" t="s">
        <v>2662</v>
      </c>
      <c r="L837" t="s">
        <v>2662</v>
      </c>
      <c r="M837" t="s">
        <v>2965</v>
      </c>
      <c r="N837" t="b">
        <v>0</v>
      </c>
      <c r="O837" t="s">
        <v>3016</v>
      </c>
      <c r="P837" t="s">
        <v>3280</v>
      </c>
      <c r="Q837">
        <v>2</v>
      </c>
      <c r="R837" t="s">
        <v>3347</v>
      </c>
      <c r="T837" s="2">
        <v>0</v>
      </c>
    </row>
    <row r="838" spans="1:21">
      <c r="A838" t="s">
        <v>23</v>
      </c>
      <c r="B838" s="1">
        <f>HYPERLINK("https://cordis.europa.eu/project/id/101154087", "101154087")</f>
        <v>0</v>
      </c>
      <c r="C838" t="s">
        <v>678</v>
      </c>
      <c r="D838" t="s">
        <v>1495</v>
      </c>
      <c r="E838" t="s">
        <v>1996</v>
      </c>
      <c r="F838" t="s">
        <v>2290</v>
      </c>
      <c r="G838" t="s">
        <v>2495</v>
      </c>
      <c r="H838" t="s">
        <v>2548</v>
      </c>
      <c r="I838" t="s">
        <v>2556</v>
      </c>
      <c r="J838" s="1">
        <f>HYPERLINK("https://ec.europa.eu/info/funding-tenders/opportunities/portal/screen/how-to-participate/org-details/998826946", "998826946")</f>
        <v>0</v>
      </c>
      <c r="K838" t="s">
        <v>2617</v>
      </c>
      <c r="L838" t="s">
        <v>2848</v>
      </c>
      <c r="M838" t="s">
        <v>2965</v>
      </c>
      <c r="N838" t="b">
        <v>0</v>
      </c>
      <c r="O838" t="s">
        <v>3016</v>
      </c>
      <c r="P838" t="s">
        <v>3280</v>
      </c>
      <c r="Q838">
        <v>2</v>
      </c>
      <c r="R838" t="s">
        <v>3347</v>
      </c>
      <c r="T838" s="2">
        <v>0</v>
      </c>
    </row>
    <row r="839" spans="1:21">
      <c r="A839" t="s">
        <v>23</v>
      </c>
      <c r="B839" s="1">
        <f>HYPERLINK("https://cordis.europa.eu/project/id/101149227", "101149227")</f>
        <v>0</v>
      </c>
      <c r="C839" t="s">
        <v>679</v>
      </c>
      <c r="D839" t="s">
        <v>1496</v>
      </c>
      <c r="E839" t="s">
        <v>1997</v>
      </c>
      <c r="F839" t="s">
        <v>2291</v>
      </c>
      <c r="G839" t="s">
        <v>2522</v>
      </c>
      <c r="H839" t="s">
        <v>2548</v>
      </c>
      <c r="I839" t="s">
        <v>2556</v>
      </c>
      <c r="J839" s="1">
        <f>HYPERLINK("https://ec.europa.eu/info/funding-tenders/opportunities/portal/screen/how-to-participate/org-details/968922622", "968922622")</f>
        <v>0</v>
      </c>
      <c r="K839" t="s">
        <v>2700</v>
      </c>
      <c r="L839" t="s">
        <v>2700</v>
      </c>
      <c r="M839" t="s">
        <v>2965</v>
      </c>
      <c r="N839" t="b">
        <v>0</v>
      </c>
      <c r="O839" t="s">
        <v>3016</v>
      </c>
      <c r="P839" t="s">
        <v>3280</v>
      </c>
      <c r="Q839">
        <v>2</v>
      </c>
      <c r="R839" t="s">
        <v>3347</v>
      </c>
      <c r="T839" s="2">
        <v>0</v>
      </c>
    </row>
    <row r="840" spans="1:21">
      <c r="A840" t="s">
        <v>23</v>
      </c>
      <c r="B840" s="1">
        <f>HYPERLINK("https://cordis.europa.eu/project/id/101150926", "101150926")</f>
        <v>0</v>
      </c>
      <c r="C840" t="s">
        <v>680</v>
      </c>
      <c r="D840" t="s">
        <v>1497</v>
      </c>
      <c r="E840" t="s">
        <v>1991</v>
      </c>
      <c r="F840" t="s">
        <v>2285</v>
      </c>
      <c r="G840" t="s">
        <v>2517</v>
      </c>
      <c r="H840" t="s">
        <v>2548</v>
      </c>
      <c r="I840" t="s">
        <v>2556</v>
      </c>
      <c r="J840" s="1">
        <f>HYPERLINK("https://ec.europa.eu/info/funding-tenders/opportunities/portal/screen/how-to-participate/org-details/998539535", "998539535")</f>
        <v>0</v>
      </c>
      <c r="K840" t="s">
        <v>2662</v>
      </c>
      <c r="L840" t="s">
        <v>2662</v>
      </c>
      <c r="M840" t="s">
        <v>2965</v>
      </c>
      <c r="N840" t="b">
        <v>0</v>
      </c>
      <c r="O840" t="s">
        <v>3016</v>
      </c>
      <c r="P840" t="s">
        <v>3280</v>
      </c>
      <c r="Q840">
        <v>2</v>
      </c>
      <c r="R840" t="s">
        <v>3347</v>
      </c>
      <c r="T840" s="2">
        <v>0</v>
      </c>
    </row>
    <row r="841" spans="1:21">
      <c r="A841" t="s">
        <v>23</v>
      </c>
      <c r="B841" s="1">
        <f>HYPERLINK("https://cordis.europa.eu/project/id/101149941", "101149941")</f>
        <v>0</v>
      </c>
      <c r="C841" t="s">
        <v>681</v>
      </c>
      <c r="D841" t="s">
        <v>1498</v>
      </c>
      <c r="E841" t="s">
        <v>1998</v>
      </c>
      <c r="F841" t="s">
        <v>2290</v>
      </c>
      <c r="G841" t="s">
        <v>2499</v>
      </c>
      <c r="H841" t="s">
        <v>2548</v>
      </c>
      <c r="I841" t="s">
        <v>2556</v>
      </c>
      <c r="J841" s="1">
        <f>HYPERLINK("https://ec.europa.eu/info/funding-tenders/opportunities/portal/screen/how-to-participate/org-details/999845252", "999845252")</f>
        <v>0</v>
      </c>
      <c r="K841" t="s">
        <v>2687</v>
      </c>
      <c r="L841" t="s">
        <v>2908</v>
      </c>
      <c r="M841" t="s">
        <v>2965</v>
      </c>
      <c r="N841" t="b">
        <v>0</v>
      </c>
      <c r="O841" t="s">
        <v>3015</v>
      </c>
      <c r="P841" t="s">
        <v>3280</v>
      </c>
      <c r="Q841">
        <v>2</v>
      </c>
      <c r="R841" t="s">
        <v>3347</v>
      </c>
      <c r="T841" s="2">
        <v>0</v>
      </c>
    </row>
    <row r="842" spans="1:21">
      <c r="A842" t="s">
        <v>23</v>
      </c>
      <c r="B842" s="1">
        <f>HYPERLINK("https://cordis.europa.eu/project/id/101151006", "101151006")</f>
        <v>0</v>
      </c>
      <c r="C842" t="s">
        <v>682</v>
      </c>
      <c r="D842" t="s">
        <v>1499</v>
      </c>
      <c r="E842" t="s">
        <v>1991</v>
      </c>
      <c r="F842" t="s">
        <v>2292</v>
      </c>
      <c r="G842" t="s">
        <v>2523</v>
      </c>
      <c r="H842" t="s">
        <v>2548</v>
      </c>
      <c r="I842" t="s">
        <v>2556</v>
      </c>
      <c r="J842" s="1">
        <f>HYPERLINK("https://ec.europa.eu/info/funding-tenders/opportunities/portal/screen/how-to-participate/org-details/998225740", "998225740")</f>
        <v>0</v>
      </c>
      <c r="K842" t="s">
        <v>2637</v>
      </c>
      <c r="M842" t="s">
        <v>2965</v>
      </c>
      <c r="N842" t="b">
        <v>0</v>
      </c>
      <c r="O842" t="s">
        <v>3016</v>
      </c>
      <c r="P842" t="s">
        <v>3280</v>
      </c>
      <c r="Q842">
        <v>2</v>
      </c>
      <c r="R842" t="s">
        <v>3347</v>
      </c>
      <c r="T842" s="2">
        <v>0</v>
      </c>
    </row>
    <row r="843" spans="1:21">
      <c r="A843" t="s">
        <v>23</v>
      </c>
      <c r="B843" s="1">
        <f>HYPERLINK("https://cordis.europa.eu/project/id/101148550", "101148550")</f>
        <v>0</v>
      </c>
      <c r="C843" t="s">
        <v>683</v>
      </c>
      <c r="D843" t="s">
        <v>1500</v>
      </c>
      <c r="E843" t="s">
        <v>1993</v>
      </c>
      <c r="F843" t="s">
        <v>2287</v>
      </c>
      <c r="G843" t="s">
        <v>2519</v>
      </c>
      <c r="H843" t="s">
        <v>2549</v>
      </c>
      <c r="I843" t="s">
        <v>2557</v>
      </c>
      <c r="J843" s="1">
        <f>HYPERLINK("https://ec.europa.eu/info/funding-tenders/opportunities/portal/screen/how-to-participate/org-details/999613131", "999613131")</f>
        <v>0</v>
      </c>
      <c r="K843" t="s">
        <v>2591</v>
      </c>
      <c r="L843" t="s">
        <v>2831</v>
      </c>
      <c r="M843" t="s">
        <v>2965</v>
      </c>
      <c r="N843" t="b">
        <v>0</v>
      </c>
      <c r="O843" t="s">
        <v>3016</v>
      </c>
      <c r="P843" t="s">
        <v>3280</v>
      </c>
      <c r="Q843">
        <v>2</v>
      </c>
      <c r="R843" t="s">
        <v>3347</v>
      </c>
      <c r="T843" s="2">
        <v>0</v>
      </c>
    </row>
    <row r="844" spans="1:21">
      <c r="A844" t="s">
        <v>23</v>
      </c>
      <c r="B844" s="1">
        <f>HYPERLINK("https://cordis.europa.eu/project/id/101126733", "101126733")</f>
        <v>0</v>
      </c>
      <c r="C844" t="s">
        <v>684</v>
      </c>
      <c r="D844" t="s">
        <v>1501</v>
      </c>
      <c r="E844" t="s">
        <v>1999</v>
      </c>
      <c r="F844" t="s">
        <v>2293</v>
      </c>
      <c r="G844" t="s">
        <v>2524</v>
      </c>
      <c r="H844" t="s">
        <v>2548</v>
      </c>
      <c r="I844" t="s">
        <v>2556</v>
      </c>
      <c r="J844" s="1">
        <f>HYPERLINK("https://ec.europa.eu/info/funding-tenders/opportunities/portal/screen/how-to-participate/org-details/957524443", "957524443")</f>
        <v>0</v>
      </c>
      <c r="K844" t="s">
        <v>2702</v>
      </c>
      <c r="L844" t="s">
        <v>2916</v>
      </c>
      <c r="M844" t="s">
        <v>2965</v>
      </c>
      <c r="N844" t="b">
        <v>0</v>
      </c>
      <c r="O844" t="s">
        <v>3017</v>
      </c>
      <c r="P844" t="s">
        <v>3281</v>
      </c>
      <c r="Q844">
        <v>5</v>
      </c>
      <c r="R844" t="s">
        <v>3347</v>
      </c>
      <c r="T844" s="2">
        <v>0</v>
      </c>
    </row>
    <row r="845" spans="1:21">
      <c r="A845" t="s">
        <v>23</v>
      </c>
      <c r="B845" s="1">
        <f>HYPERLINK("https://cordis.europa.eu/project/id/101108204", "101108204")</f>
        <v>0</v>
      </c>
      <c r="C845" t="s">
        <v>685</v>
      </c>
      <c r="D845" t="s">
        <v>1502</v>
      </c>
      <c r="E845" t="s">
        <v>2000</v>
      </c>
      <c r="F845" t="s">
        <v>2285</v>
      </c>
      <c r="G845" t="s">
        <v>2517</v>
      </c>
      <c r="H845" t="s">
        <v>2548</v>
      </c>
      <c r="I845" t="s">
        <v>2556</v>
      </c>
      <c r="J845" s="1">
        <f>HYPERLINK("https://ec.europa.eu/info/funding-tenders/opportunities/portal/screen/how-to-participate/org-details/998757203", "998757203")</f>
        <v>0</v>
      </c>
      <c r="K845" t="s">
        <v>2575</v>
      </c>
      <c r="L845" t="s">
        <v>2817</v>
      </c>
      <c r="M845" t="s">
        <v>2965</v>
      </c>
      <c r="N845" t="b">
        <v>0</v>
      </c>
      <c r="O845" t="s">
        <v>3016</v>
      </c>
      <c r="P845" t="s">
        <v>3279</v>
      </c>
      <c r="Q845">
        <v>2</v>
      </c>
      <c r="R845" t="s">
        <v>3347</v>
      </c>
      <c r="T845" s="2">
        <v>0</v>
      </c>
    </row>
    <row r="846" spans="1:21">
      <c r="A846" t="s">
        <v>23</v>
      </c>
      <c r="B846" s="1">
        <f>HYPERLINK("https://cordis.europa.eu/project/id/101059407", "101059407")</f>
        <v>0</v>
      </c>
      <c r="C846" t="s">
        <v>686</v>
      </c>
      <c r="D846" t="s">
        <v>1503</v>
      </c>
      <c r="E846" t="s">
        <v>2001</v>
      </c>
      <c r="F846" t="s">
        <v>2294</v>
      </c>
      <c r="G846" t="s">
        <v>2500</v>
      </c>
      <c r="H846" t="s">
        <v>2548</v>
      </c>
      <c r="I846" t="s">
        <v>2556</v>
      </c>
      <c r="J846" s="1">
        <f>HYPERLINK("https://ec.europa.eu/info/funding-tenders/opportunities/portal/screen/how-to-participate/org-details/889741231", "889741231")</f>
        <v>0</v>
      </c>
      <c r="K846" t="s">
        <v>2780</v>
      </c>
      <c r="L846" t="s">
        <v>2780</v>
      </c>
      <c r="M846" t="s">
        <v>2968</v>
      </c>
      <c r="N846" t="b">
        <v>0</v>
      </c>
      <c r="O846" t="s">
        <v>3012</v>
      </c>
      <c r="P846" t="s">
        <v>3282</v>
      </c>
      <c r="Q846">
        <v>16</v>
      </c>
      <c r="R846" t="s">
        <v>3347</v>
      </c>
      <c r="T846" s="2">
        <v>0</v>
      </c>
      <c r="U846" s="2">
        <v>0</v>
      </c>
    </row>
    <row r="847" spans="1:21">
      <c r="A847" t="s">
        <v>23</v>
      </c>
      <c r="B847" s="1">
        <f>HYPERLINK("https://cordis.europa.eu/project/id/101081357", "101081357")</f>
        <v>0</v>
      </c>
      <c r="C847" t="s">
        <v>687</v>
      </c>
      <c r="D847" t="s">
        <v>1504</v>
      </c>
      <c r="E847" t="s">
        <v>2002</v>
      </c>
      <c r="F847" t="s">
        <v>2295</v>
      </c>
      <c r="G847" t="s">
        <v>2525</v>
      </c>
      <c r="H847" t="s">
        <v>2548</v>
      </c>
      <c r="I847" t="s">
        <v>2556</v>
      </c>
      <c r="J847" s="1">
        <f>HYPERLINK("https://ec.europa.eu/info/funding-tenders/opportunities/portal/screen/how-to-participate/org-details/951840146", "951840146")</f>
        <v>0</v>
      </c>
      <c r="K847" t="s">
        <v>2699</v>
      </c>
      <c r="L847" t="s">
        <v>2915</v>
      </c>
      <c r="M847" t="s">
        <v>2965</v>
      </c>
      <c r="N847" t="b">
        <v>0</v>
      </c>
      <c r="O847" t="s">
        <v>3012</v>
      </c>
      <c r="P847" t="s">
        <v>3283</v>
      </c>
      <c r="Q847">
        <v>20</v>
      </c>
      <c r="R847" t="s">
        <v>3347</v>
      </c>
      <c r="T847" s="2">
        <v>0</v>
      </c>
      <c r="U847" s="2">
        <v>0</v>
      </c>
    </row>
    <row r="848" spans="1:21">
      <c r="A848" t="s">
        <v>23</v>
      </c>
      <c r="B848" s="1">
        <f>HYPERLINK("https://cordis.europa.eu/project/id/101081357", "101081357")</f>
        <v>0</v>
      </c>
      <c r="C848" t="s">
        <v>687</v>
      </c>
      <c r="D848" t="s">
        <v>1504</v>
      </c>
      <c r="E848" t="s">
        <v>2002</v>
      </c>
      <c r="F848" t="s">
        <v>2295</v>
      </c>
      <c r="G848" t="s">
        <v>2525</v>
      </c>
      <c r="H848" t="s">
        <v>2548</v>
      </c>
      <c r="I848" t="s">
        <v>2556</v>
      </c>
      <c r="J848" s="1">
        <f>HYPERLINK("https://ec.europa.eu/info/funding-tenders/opportunities/portal/screen/how-to-participate/org-details/985658420", "985658420")</f>
        <v>0</v>
      </c>
      <c r="K848" t="s">
        <v>2758</v>
      </c>
      <c r="M848" t="s">
        <v>2965</v>
      </c>
      <c r="N848" t="b">
        <v>0</v>
      </c>
      <c r="O848" t="s">
        <v>3012</v>
      </c>
      <c r="P848" t="s">
        <v>3283</v>
      </c>
      <c r="Q848">
        <v>21</v>
      </c>
      <c r="R848" t="s">
        <v>3347</v>
      </c>
      <c r="T848" s="2">
        <v>0</v>
      </c>
      <c r="U848" s="2">
        <v>0</v>
      </c>
    </row>
    <row r="849" spans="1:21">
      <c r="A849" t="s">
        <v>23</v>
      </c>
      <c r="B849" s="1">
        <f>HYPERLINK("https://cordis.europa.eu/project/id/101071836", "101071836")</f>
        <v>0</v>
      </c>
      <c r="C849" t="s">
        <v>688</v>
      </c>
      <c r="D849" t="s">
        <v>1505</v>
      </c>
      <c r="E849" t="s">
        <v>2003</v>
      </c>
      <c r="F849" t="s">
        <v>2296</v>
      </c>
      <c r="G849" t="s">
        <v>2526</v>
      </c>
      <c r="H849" t="s">
        <v>2548</v>
      </c>
      <c r="I849" t="s">
        <v>2556</v>
      </c>
      <c r="J849" s="1">
        <f>HYPERLINK("https://ec.europa.eu/info/funding-tenders/opportunities/portal/screen/how-to-participate/org-details/986276989", "986276989")</f>
        <v>0</v>
      </c>
      <c r="K849" t="s">
        <v>2666</v>
      </c>
      <c r="L849" t="s">
        <v>2891</v>
      </c>
      <c r="M849" t="s">
        <v>2965</v>
      </c>
      <c r="N849" t="b">
        <v>0</v>
      </c>
      <c r="O849" t="s">
        <v>3018</v>
      </c>
      <c r="P849" t="s">
        <v>3284</v>
      </c>
      <c r="Q849">
        <v>5</v>
      </c>
      <c r="R849" t="s">
        <v>3342</v>
      </c>
      <c r="S849" s="2">
        <v>268250</v>
      </c>
      <c r="T849" s="2">
        <v>268250</v>
      </c>
      <c r="U849" s="2">
        <v>268250</v>
      </c>
    </row>
    <row r="850" spans="1:21">
      <c r="A850" t="s">
        <v>23</v>
      </c>
      <c r="B850" s="1">
        <f>HYPERLINK("https://cordis.europa.eu/project/id/101133587", "101133587")</f>
        <v>0</v>
      </c>
      <c r="C850" t="s">
        <v>689</v>
      </c>
      <c r="D850" t="s">
        <v>1506</v>
      </c>
      <c r="E850" t="s">
        <v>2004</v>
      </c>
      <c r="F850" t="s">
        <v>2283</v>
      </c>
      <c r="G850" t="s">
        <v>2516</v>
      </c>
      <c r="H850" t="s">
        <v>2548</v>
      </c>
      <c r="I850" t="s">
        <v>2556</v>
      </c>
      <c r="J850" s="1">
        <f>HYPERLINK("https://ec.europa.eu/info/funding-tenders/opportunities/portal/screen/how-to-participate/org-details/998539535", "998539535")</f>
        <v>0</v>
      </c>
      <c r="K850" t="s">
        <v>2662</v>
      </c>
      <c r="L850" t="s">
        <v>2662</v>
      </c>
      <c r="M850" t="s">
        <v>2965</v>
      </c>
      <c r="N850" t="b">
        <v>0</v>
      </c>
      <c r="O850" t="s">
        <v>3012</v>
      </c>
      <c r="P850" t="s">
        <v>3285</v>
      </c>
      <c r="Q850">
        <v>14</v>
      </c>
      <c r="R850" t="s">
        <v>3347</v>
      </c>
      <c r="T850" s="2">
        <v>0</v>
      </c>
    </row>
    <row r="851" spans="1:21">
      <c r="A851" t="s">
        <v>23</v>
      </c>
      <c r="B851" s="1">
        <f>HYPERLINK("https://cordis.europa.eu/project/id/101133587", "101133587")</f>
        <v>0</v>
      </c>
      <c r="C851" t="s">
        <v>689</v>
      </c>
      <c r="D851" t="s">
        <v>1506</v>
      </c>
      <c r="E851" t="s">
        <v>2004</v>
      </c>
      <c r="F851" t="s">
        <v>2283</v>
      </c>
      <c r="G851" t="s">
        <v>2516</v>
      </c>
      <c r="H851" t="s">
        <v>2548</v>
      </c>
      <c r="I851" t="s">
        <v>2556</v>
      </c>
      <c r="J851" s="1">
        <f>HYPERLINK("https://ec.europa.eu/info/funding-tenders/opportunities/portal/screen/how-to-participate/org-details/998082180", "998082180")</f>
        <v>0</v>
      </c>
      <c r="K851" t="s">
        <v>2565</v>
      </c>
      <c r="M851" t="s">
        <v>2965</v>
      </c>
      <c r="N851" t="b">
        <v>0</v>
      </c>
      <c r="O851" t="s">
        <v>3012</v>
      </c>
      <c r="P851" t="s">
        <v>3285</v>
      </c>
      <c r="Q851">
        <v>15</v>
      </c>
      <c r="R851" t="s">
        <v>3347</v>
      </c>
      <c r="T851" s="2">
        <v>0</v>
      </c>
    </row>
    <row r="852" spans="1:21">
      <c r="A852" t="s">
        <v>23</v>
      </c>
      <c r="B852" s="1">
        <f>HYPERLINK("https://cordis.europa.eu/project/id/101137209", "101137209")</f>
        <v>0</v>
      </c>
      <c r="C852" t="s">
        <v>690</v>
      </c>
      <c r="D852" t="s">
        <v>1507</v>
      </c>
      <c r="E852" t="s">
        <v>2005</v>
      </c>
      <c r="F852" t="s">
        <v>2283</v>
      </c>
      <c r="G852" t="s">
        <v>2527</v>
      </c>
      <c r="H852" t="s">
        <v>2548</v>
      </c>
      <c r="I852" t="s">
        <v>2556</v>
      </c>
      <c r="J852" s="1">
        <f>HYPERLINK("https://ec.europa.eu/info/funding-tenders/opportunities/portal/screen/how-to-participate/org-details/999879978", "999879978")</f>
        <v>0</v>
      </c>
      <c r="K852" t="s">
        <v>2615</v>
      </c>
      <c r="M852" t="s">
        <v>2965</v>
      </c>
      <c r="N852" t="b">
        <v>0</v>
      </c>
      <c r="O852" t="s">
        <v>3012</v>
      </c>
      <c r="P852" t="s">
        <v>3286</v>
      </c>
      <c r="Q852">
        <v>18</v>
      </c>
      <c r="R852" t="s">
        <v>3347</v>
      </c>
      <c r="T852" s="2">
        <v>0</v>
      </c>
      <c r="U852" s="2">
        <v>0</v>
      </c>
    </row>
    <row r="853" spans="1:21">
      <c r="A853" t="s">
        <v>23</v>
      </c>
      <c r="B853" s="1">
        <f>HYPERLINK("https://cordis.europa.eu/project/id/101081974", "101081974")</f>
        <v>0</v>
      </c>
      <c r="C853" t="s">
        <v>691</v>
      </c>
      <c r="D853" t="s">
        <v>1508</v>
      </c>
      <c r="E853" t="s">
        <v>2000</v>
      </c>
      <c r="F853" t="s">
        <v>2296</v>
      </c>
      <c r="G853" t="s">
        <v>2521</v>
      </c>
      <c r="H853" t="s">
        <v>2548</v>
      </c>
      <c r="I853" t="s">
        <v>2556</v>
      </c>
      <c r="J853" s="1">
        <f>HYPERLINK("https://ec.europa.eu/info/funding-tenders/opportunities/portal/screen/how-to-participate/org-details/998804636", "998804636")</f>
        <v>0</v>
      </c>
      <c r="K853" t="s">
        <v>2612</v>
      </c>
      <c r="L853" t="s">
        <v>2845</v>
      </c>
      <c r="M853" t="s">
        <v>2965</v>
      </c>
      <c r="N853" t="b">
        <v>0</v>
      </c>
      <c r="O853" t="s">
        <v>3012</v>
      </c>
      <c r="P853" t="s">
        <v>3287</v>
      </c>
      <c r="Q853">
        <v>16</v>
      </c>
      <c r="R853" t="s">
        <v>3347</v>
      </c>
      <c r="T853" s="2">
        <v>0</v>
      </c>
      <c r="U853" s="2">
        <v>0</v>
      </c>
    </row>
    <row r="854" spans="1:21">
      <c r="A854" t="s">
        <v>23</v>
      </c>
      <c r="B854" s="1">
        <f>HYPERLINK("https://cordis.europa.eu/project/id/101056921", "101056921")</f>
        <v>0</v>
      </c>
      <c r="C854" t="s">
        <v>692</v>
      </c>
      <c r="D854" t="s">
        <v>1509</v>
      </c>
      <c r="E854" t="s">
        <v>2006</v>
      </c>
      <c r="F854" t="s">
        <v>2297</v>
      </c>
      <c r="G854" t="s">
        <v>2494</v>
      </c>
      <c r="H854" t="s">
        <v>2548</v>
      </c>
      <c r="I854" t="s">
        <v>2556</v>
      </c>
      <c r="J854" s="1">
        <f>HYPERLINK("https://ec.europa.eu/info/funding-tenders/opportunities/portal/screen/how-to-participate/org-details/998711419", "998711419")</f>
        <v>0</v>
      </c>
      <c r="K854" t="s">
        <v>2628</v>
      </c>
      <c r="M854" t="s">
        <v>2965</v>
      </c>
      <c r="N854" t="b">
        <v>0</v>
      </c>
      <c r="O854" t="s">
        <v>3012</v>
      </c>
      <c r="P854" t="s">
        <v>3288</v>
      </c>
      <c r="Q854">
        <v>14</v>
      </c>
      <c r="R854" t="s">
        <v>3347</v>
      </c>
      <c r="T854" s="2">
        <v>0</v>
      </c>
      <c r="U854" s="2">
        <v>0</v>
      </c>
    </row>
    <row r="855" spans="1:21">
      <c r="A855" t="s">
        <v>23</v>
      </c>
      <c r="B855" s="1">
        <f>HYPERLINK("https://cordis.europa.eu/project/id/101059877", "101059877")</f>
        <v>0</v>
      </c>
      <c r="C855" t="s">
        <v>693</v>
      </c>
      <c r="D855" t="s">
        <v>1510</v>
      </c>
      <c r="E855" t="s">
        <v>2007</v>
      </c>
      <c r="F855" t="s">
        <v>2214</v>
      </c>
      <c r="G855" t="s">
        <v>2499</v>
      </c>
      <c r="H855" t="s">
        <v>2548</v>
      </c>
      <c r="I855" t="s">
        <v>2556</v>
      </c>
      <c r="J855" s="1">
        <f>HYPERLINK("https://ec.europa.eu/info/funding-tenders/opportunities/portal/screen/how-to-participate/org-details/889741231", "889741231")</f>
        <v>0</v>
      </c>
      <c r="K855" t="s">
        <v>2780</v>
      </c>
      <c r="L855" t="s">
        <v>2780</v>
      </c>
      <c r="M855" t="s">
        <v>2968</v>
      </c>
      <c r="N855" t="b">
        <v>0</v>
      </c>
      <c r="O855" t="s">
        <v>3012</v>
      </c>
      <c r="P855" t="s">
        <v>3282</v>
      </c>
      <c r="Q855">
        <v>18</v>
      </c>
      <c r="R855" t="s">
        <v>3347</v>
      </c>
      <c r="T855" s="2">
        <v>0</v>
      </c>
      <c r="U855" s="2">
        <v>0</v>
      </c>
    </row>
    <row r="856" spans="1:21">
      <c r="A856" t="s">
        <v>23</v>
      </c>
      <c r="B856" s="1">
        <f>HYPERLINK("https://cordis.europa.eu/project/id/101071417", "101071417")</f>
        <v>0</v>
      </c>
      <c r="C856" t="s">
        <v>694</v>
      </c>
      <c r="D856" t="s">
        <v>1511</v>
      </c>
      <c r="E856" t="s">
        <v>2008</v>
      </c>
      <c r="F856" t="s">
        <v>2298</v>
      </c>
      <c r="G856" t="s">
        <v>2528</v>
      </c>
      <c r="H856" t="s">
        <v>2548</v>
      </c>
      <c r="I856" t="s">
        <v>2556</v>
      </c>
      <c r="J856" s="1">
        <f>HYPERLINK("https://ec.europa.eu/info/funding-tenders/opportunities/portal/screen/how-to-participate/org-details/998804636", "998804636")</f>
        <v>0</v>
      </c>
      <c r="K856" t="s">
        <v>2612</v>
      </c>
      <c r="L856" t="s">
        <v>2845</v>
      </c>
      <c r="M856" t="s">
        <v>2965</v>
      </c>
      <c r="N856" t="b">
        <v>0</v>
      </c>
      <c r="O856" t="s">
        <v>3019</v>
      </c>
      <c r="P856" t="s">
        <v>3284</v>
      </c>
      <c r="Q856">
        <v>4</v>
      </c>
      <c r="R856" t="s">
        <v>3342</v>
      </c>
      <c r="S856" s="2">
        <v>1952122.5</v>
      </c>
      <c r="T856" s="2">
        <v>1952122.5</v>
      </c>
    </row>
    <row r="857" spans="1:21">
      <c r="A857" t="s">
        <v>23</v>
      </c>
      <c r="B857" s="1">
        <f>HYPERLINK("https://cordis.europa.eu/project/id/101136875", "101136875")</f>
        <v>0</v>
      </c>
      <c r="C857" t="s">
        <v>695</v>
      </c>
      <c r="D857" t="s">
        <v>1512</v>
      </c>
      <c r="E857" t="s">
        <v>2009</v>
      </c>
      <c r="F857" t="s">
        <v>2299</v>
      </c>
      <c r="G857" t="s">
        <v>2522</v>
      </c>
      <c r="H857" t="s">
        <v>2548</v>
      </c>
      <c r="I857" t="s">
        <v>2556</v>
      </c>
      <c r="J857" s="1">
        <f>HYPERLINK("https://ec.europa.eu/info/funding-tenders/opportunities/portal/screen/how-to-participate/org-details/998711419", "998711419")</f>
        <v>0</v>
      </c>
      <c r="K857" t="s">
        <v>2628</v>
      </c>
      <c r="M857" t="s">
        <v>2965</v>
      </c>
      <c r="N857" t="b">
        <v>0</v>
      </c>
      <c r="O857" t="s">
        <v>3012</v>
      </c>
      <c r="P857" t="s">
        <v>3289</v>
      </c>
      <c r="Q857">
        <v>12</v>
      </c>
      <c r="R857" t="s">
        <v>3347</v>
      </c>
      <c r="T857" s="2">
        <v>0</v>
      </c>
    </row>
    <row r="858" spans="1:21">
      <c r="A858" t="s">
        <v>23</v>
      </c>
      <c r="B858" s="1">
        <f>HYPERLINK("https://cordis.europa.eu/project/id/101136875", "101136875")</f>
        <v>0</v>
      </c>
      <c r="C858" t="s">
        <v>695</v>
      </c>
      <c r="D858" t="s">
        <v>1512</v>
      </c>
      <c r="E858" t="s">
        <v>2009</v>
      </c>
      <c r="F858" t="s">
        <v>2299</v>
      </c>
      <c r="G858" t="s">
        <v>2522</v>
      </c>
      <c r="H858" t="s">
        <v>2548</v>
      </c>
      <c r="I858" t="s">
        <v>2556</v>
      </c>
      <c r="J858" s="1">
        <f>HYPERLINK("https://ec.europa.eu/info/funding-tenders/opportunities/portal/screen/how-to-participate/org-details/998082180", "998082180")</f>
        <v>0</v>
      </c>
      <c r="K858" t="s">
        <v>2565</v>
      </c>
      <c r="M858" t="s">
        <v>2965</v>
      </c>
      <c r="N858" t="b">
        <v>0</v>
      </c>
      <c r="O858" t="s">
        <v>3012</v>
      </c>
      <c r="P858" t="s">
        <v>3289</v>
      </c>
      <c r="Q858">
        <v>11</v>
      </c>
      <c r="R858" t="s">
        <v>3347</v>
      </c>
      <c r="T858" s="2">
        <v>0</v>
      </c>
    </row>
    <row r="859" spans="1:21">
      <c r="A859" t="s">
        <v>23</v>
      </c>
      <c r="B859" s="1">
        <f>HYPERLINK("https://cordis.europa.eu/project/id/101136875", "101136875")</f>
        <v>0</v>
      </c>
      <c r="C859" t="s">
        <v>695</v>
      </c>
      <c r="D859" t="s">
        <v>1512</v>
      </c>
      <c r="E859" t="s">
        <v>2009</v>
      </c>
      <c r="F859" t="s">
        <v>2299</v>
      </c>
      <c r="G859" t="s">
        <v>2522</v>
      </c>
      <c r="H859" t="s">
        <v>2548</v>
      </c>
      <c r="I859" t="s">
        <v>2556</v>
      </c>
      <c r="J859" s="1">
        <f>HYPERLINK("https://ec.europa.eu/info/funding-tenders/opportunities/portal/screen/how-to-participate/org-details/969848487", "969848487")</f>
        <v>0</v>
      </c>
      <c r="K859" t="s">
        <v>2574</v>
      </c>
      <c r="L859" t="s">
        <v>2816</v>
      </c>
      <c r="M859" t="s">
        <v>2965</v>
      </c>
      <c r="N859" t="b">
        <v>0</v>
      </c>
      <c r="O859" t="s">
        <v>3012</v>
      </c>
      <c r="P859" t="s">
        <v>3289</v>
      </c>
      <c r="Q859">
        <v>13</v>
      </c>
      <c r="R859" t="s">
        <v>3347</v>
      </c>
      <c r="T859" s="2">
        <v>0</v>
      </c>
    </row>
    <row r="860" spans="1:21">
      <c r="A860" t="s">
        <v>23</v>
      </c>
      <c r="B860" s="1">
        <f>HYPERLINK("https://cordis.europa.eu/project/id/101130949", "101130949")</f>
        <v>0</v>
      </c>
      <c r="C860" t="s">
        <v>696</v>
      </c>
      <c r="D860" t="s">
        <v>1513</v>
      </c>
      <c r="E860" t="s">
        <v>2010</v>
      </c>
      <c r="F860" t="s">
        <v>2300</v>
      </c>
      <c r="G860" t="s">
        <v>2529</v>
      </c>
      <c r="H860" t="s">
        <v>2548</v>
      </c>
      <c r="I860" t="s">
        <v>2556</v>
      </c>
      <c r="J860" s="1">
        <f>HYPERLINK("https://ec.europa.eu/info/funding-tenders/opportunities/portal/screen/how-to-participate/org-details/919704919", "919704919")</f>
        <v>0</v>
      </c>
      <c r="K860" t="s">
        <v>2768</v>
      </c>
      <c r="M860" t="s">
        <v>2965</v>
      </c>
      <c r="N860" t="b">
        <v>0</v>
      </c>
      <c r="O860" t="s">
        <v>3012</v>
      </c>
      <c r="P860" t="s">
        <v>3290</v>
      </c>
      <c r="Q860">
        <v>36</v>
      </c>
      <c r="R860" t="s">
        <v>3342</v>
      </c>
      <c r="S860" s="2">
        <v>98407.75</v>
      </c>
      <c r="T860" s="2">
        <v>98407.75</v>
      </c>
    </row>
    <row r="861" spans="1:21">
      <c r="A861" t="s">
        <v>23</v>
      </c>
      <c r="B861" s="1">
        <f>HYPERLINK("https://cordis.europa.eu/project/id/101130949", "101130949")</f>
        <v>0</v>
      </c>
      <c r="C861" t="s">
        <v>696</v>
      </c>
      <c r="D861" t="s">
        <v>1513</v>
      </c>
      <c r="E861" t="s">
        <v>2010</v>
      </c>
      <c r="F861" t="s">
        <v>2300</v>
      </c>
      <c r="G861" t="s">
        <v>2529</v>
      </c>
      <c r="H861" t="s">
        <v>2548</v>
      </c>
      <c r="I861" t="s">
        <v>2556</v>
      </c>
      <c r="J861" s="1">
        <f>HYPERLINK("https://ec.europa.eu/info/funding-tenders/opportunities/portal/screen/how-to-participate/org-details/998082180", "998082180")</f>
        <v>0</v>
      </c>
      <c r="K861" t="s">
        <v>2565</v>
      </c>
      <c r="M861" t="s">
        <v>2965</v>
      </c>
      <c r="N861" t="b">
        <v>0</v>
      </c>
      <c r="O861" t="s">
        <v>3012</v>
      </c>
      <c r="P861" t="s">
        <v>3290</v>
      </c>
      <c r="Q861">
        <v>29</v>
      </c>
      <c r="R861" t="s">
        <v>3342</v>
      </c>
      <c r="S861" s="2">
        <v>597036</v>
      </c>
      <c r="T861" s="2">
        <v>597036</v>
      </c>
      <c r="U861" s="2">
        <v>597036</v>
      </c>
    </row>
    <row r="862" spans="1:21">
      <c r="A862" t="s">
        <v>23</v>
      </c>
      <c r="B862" s="1">
        <f>HYPERLINK("https://cordis.europa.eu/project/id/101152621", "101152621")</f>
        <v>0</v>
      </c>
      <c r="C862" t="s">
        <v>697</v>
      </c>
      <c r="D862" t="s">
        <v>1514</v>
      </c>
      <c r="E862" t="s">
        <v>1994</v>
      </c>
      <c r="F862" t="s">
        <v>2301</v>
      </c>
      <c r="G862" t="s">
        <v>2530</v>
      </c>
      <c r="H862" t="s">
        <v>2549</v>
      </c>
      <c r="I862" t="s">
        <v>2557</v>
      </c>
      <c r="J862" s="1">
        <f>HYPERLINK("https://ec.europa.eu/info/funding-tenders/opportunities/portal/screen/how-to-participate/org-details/999613131", "999613131")</f>
        <v>0</v>
      </c>
      <c r="K862" t="s">
        <v>2591</v>
      </c>
      <c r="L862" t="s">
        <v>2831</v>
      </c>
      <c r="M862" t="s">
        <v>2965</v>
      </c>
      <c r="N862" t="b">
        <v>0</v>
      </c>
      <c r="O862" t="s">
        <v>3016</v>
      </c>
      <c r="P862" t="s">
        <v>3280</v>
      </c>
      <c r="Q862">
        <v>2</v>
      </c>
      <c r="R862" t="s">
        <v>3347</v>
      </c>
      <c r="T862" s="2">
        <v>0</v>
      </c>
    </row>
    <row r="863" spans="1:21">
      <c r="A863" t="s">
        <v>23</v>
      </c>
      <c r="B863" s="1">
        <f>HYPERLINK("https://cordis.europa.eu/project/id/101070700", "101070700")</f>
        <v>0</v>
      </c>
      <c r="C863" t="s">
        <v>698</v>
      </c>
      <c r="D863" t="s">
        <v>1515</v>
      </c>
      <c r="E863" t="s">
        <v>2001</v>
      </c>
      <c r="F863" t="s">
        <v>2294</v>
      </c>
      <c r="G863" t="s">
        <v>2500</v>
      </c>
      <c r="H863" t="s">
        <v>2548</v>
      </c>
      <c r="I863" t="s">
        <v>2556</v>
      </c>
      <c r="J863" s="1">
        <f>HYPERLINK("https://ec.europa.eu/info/funding-tenders/opportunities/portal/screen/how-to-participate/org-details/957524443", "957524443")</f>
        <v>0</v>
      </c>
      <c r="K863" t="s">
        <v>2702</v>
      </c>
      <c r="L863" t="s">
        <v>2916</v>
      </c>
      <c r="M863" t="s">
        <v>2965</v>
      </c>
      <c r="N863" t="b">
        <v>0</v>
      </c>
      <c r="O863" t="s">
        <v>3012</v>
      </c>
      <c r="P863" t="s">
        <v>3291</v>
      </c>
      <c r="Q863">
        <v>10</v>
      </c>
      <c r="R863" t="s">
        <v>3347</v>
      </c>
      <c r="T863" s="2">
        <v>0</v>
      </c>
    </row>
    <row r="864" spans="1:21">
      <c r="A864" t="s">
        <v>23</v>
      </c>
      <c r="B864" s="1">
        <f>HYPERLINK("https://cordis.europa.eu/project/id/101070700", "101070700")</f>
        <v>0</v>
      </c>
      <c r="C864" t="s">
        <v>698</v>
      </c>
      <c r="D864" t="s">
        <v>1515</v>
      </c>
      <c r="E864" t="s">
        <v>2001</v>
      </c>
      <c r="F864" t="s">
        <v>2294</v>
      </c>
      <c r="G864" t="s">
        <v>2500</v>
      </c>
      <c r="H864" t="s">
        <v>2548</v>
      </c>
      <c r="I864" t="s">
        <v>2556</v>
      </c>
      <c r="J864" s="1">
        <f>HYPERLINK("https://ec.europa.eu/info/funding-tenders/opportunities/portal/screen/how-to-participate/org-details/999845252", "999845252")</f>
        <v>0</v>
      </c>
      <c r="K864" t="s">
        <v>2687</v>
      </c>
      <c r="L864" t="s">
        <v>2908</v>
      </c>
      <c r="M864" t="s">
        <v>2965</v>
      </c>
      <c r="N864" t="b">
        <v>0</v>
      </c>
      <c r="O864" t="s">
        <v>3012</v>
      </c>
      <c r="P864" t="s">
        <v>3291</v>
      </c>
      <c r="Q864">
        <v>9</v>
      </c>
      <c r="R864" t="s">
        <v>3347</v>
      </c>
      <c r="T864" s="2">
        <v>0</v>
      </c>
    </row>
    <row r="865" spans="1:21">
      <c r="A865" t="s">
        <v>23</v>
      </c>
      <c r="B865" s="1">
        <f>HYPERLINK("https://cordis.europa.eu/project/id/101136749", "101136749")</f>
        <v>0</v>
      </c>
      <c r="C865" t="s">
        <v>699</v>
      </c>
      <c r="D865" t="s">
        <v>1516</v>
      </c>
      <c r="E865" t="s">
        <v>2009</v>
      </c>
      <c r="F865" t="s">
        <v>2302</v>
      </c>
      <c r="G865" t="s">
        <v>2531</v>
      </c>
      <c r="H865" t="s">
        <v>2548</v>
      </c>
      <c r="I865" t="s">
        <v>2556</v>
      </c>
      <c r="J865" s="1">
        <f>HYPERLINK("https://ec.europa.eu/info/funding-tenders/opportunities/portal/screen/how-to-participate/org-details/882382229", "882382229")</f>
        <v>0</v>
      </c>
      <c r="K865" t="s">
        <v>2781</v>
      </c>
      <c r="L865" t="s">
        <v>2781</v>
      </c>
      <c r="M865" t="s">
        <v>2967</v>
      </c>
      <c r="N865" t="b">
        <v>0</v>
      </c>
      <c r="O865" t="s">
        <v>3012</v>
      </c>
      <c r="P865" t="s">
        <v>3292</v>
      </c>
      <c r="Q865">
        <v>35</v>
      </c>
      <c r="R865" t="s">
        <v>3347</v>
      </c>
      <c r="T865" s="2">
        <v>0</v>
      </c>
      <c r="U865" s="2">
        <v>0</v>
      </c>
    </row>
    <row r="866" spans="1:21">
      <c r="A866" t="s">
        <v>23</v>
      </c>
      <c r="B866" s="1">
        <f>HYPERLINK("https://cordis.europa.eu/project/id/101070168", "101070168")</f>
        <v>0</v>
      </c>
      <c r="C866" t="s">
        <v>700</v>
      </c>
      <c r="D866" t="s">
        <v>1517</v>
      </c>
      <c r="E866" t="s">
        <v>2011</v>
      </c>
      <c r="F866" t="s">
        <v>2294</v>
      </c>
      <c r="G866" t="s">
        <v>2500</v>
      </c>
      <c r="H866" t="s">
        <v>2548</v>
      </c>
      <c r="I866" t="s">
        <v>2556</v>
      </c>
      <c r="J866" s="1">
        <f>HYPERLINK("https://ec.europa.eu/info/funding-tenders/opportunities/portal/screen/how-to-participate/org-details/996231614", "996231614")</f>
        <v>0</v>
      </c>
      <c r="K866" t="s">
        <v>2652</v>
      </c>
      <c r="L866" t="s">
        <v>2652</v>
      </c>
      <c r="M866" t="s">
        <v>2965</v>
      </c>
      <c r="N866" t="b">
        <v>0</v>
      </c>
      <c r="O866" t="s">
        <v>3012</v>
      </c>
      <c r="P866" t="s">
        <v>3291</v>
      </c>
      <c r="Q866">
        <v>8</v>
      </c>
      <c r="R866" t="s">
        <v>3347</v>
      </c>
      <c r="T866" s="2">
        <v>0</v>
      </c>
    </row>
    <row r="867" spans="1:21">
      <c r="A867" t="s">
        <v>23</v>
      </c>
      <c r="B867" s="1">
        <f>HYPERLINK("https://cordis.europa.eu/project/id/101070168", "101070168")</f>
        <v>0</v>
      </c>
      <c r="C867" t="s">
        <v>700</v>
      </c>
      <c r="D867" t="s">
        <v>1517</v>
      </c>
      <c r="E867" t="s">
        <v>2011</v>
      </c>
      <c r="F867" t="s">
        <v>2294</v>
      </c>
      <c r="G867" t="s">
        <v>2500</v>
      </c>
      <c r="H867" t="s">
        <v>2548</v>
      </c>
      <c r="I867" t="s">
        <v>2556</v>
      </c>
      <c r="J867" s="1">
        <f>HYPERLINK("https://ec.europa.eu/info/funding-tenders/opportunities/portal/screen/how-to-participate/org-details/997292018", "997292018")</f>
        <v>0</v>
      </c>
      <c r="K867" t="s">
        <v>2606</v>
      </c>
      <c r="L867" t="s">
        <v>2841</v>
      </c>
      <c r="M867" t="s">
        <v>2965</v>
      </c>
      <c r="N867" t="b">
        <v>0</v>
      </c>
      <c r="O867" t="s">
        <v>3012</v>
      </c>
      <c r="P867" t="s">
        <v>3291</v>
      </c>
      <c r="Q867">
        <v>6</v>
      </c>
      <c r="R867" t="s">
        <v>3347</v>
      </c>
      <c r="T867" s="2">
        <v>0</v>
      </c>
    </row>
    <row r="868" spans="1:21">
      <c r="A868" t="s">
        <v>23</v>
      </c>
      <c r="B868" s="1">
        <f>HYPERLINK("https://cordis.europa.eu/project/id/101070168", "101070168")</f>
        <v>0</v>
      </c>
      <c r="C868" t="s">
        <v>700</v>
      </c>
      <c r="D868" t="s">
        <v>1517</v>
      </c>
      <c r="E868" t="s">
        <v>2011</v>
      </c>
      <c r="F868" t="s">
        <v>2294</v>
      </c>
      <c r="G868" t="s">
        <v>2500</v>
      </c>
      <c r="H868" t="s">
        <v>2548</v>
      </c>
      <c r="I868" t="s">
        <v>2556</v>
      </c>
      <c r="J868" s="1">
        <f>HYPERLINK("https://ec.europa.eu/info/funding-tenders/opportunities/portal/screen/how-to-participate/org-details/999845252", "999845252")</f>
        <v>0</v>
      </c>
      <c r="K868" t="s">
        <v>2687</v>
      </c>
      <c r="L868" t="s">
        <v>2908</v>
      </c>
      <c r="M868" t="s">
        <v>2965</v>
      </c>
      <c r="N868" t="b">
        <v>0</v>
      </c>
      <c r="O868" t="s">
        <v>3012</v>
      </c>
      <c r="P868" t="s">
        <v>3291</v>
      </c>
      <c r="Q868">
        <v>7</v>
      </c>
      <c r="R868" t="s">
        <v>3347</v>
      </c>
      <c r="T868" s="2">
        <v>0</v>
      </c>
    </row>
    <row r="869" spans="1:21">
      <c r="A869" t="s">
        <v>23</v>
      </c>
      <c r="B869" s="1">
        <f>HYPERLINK("https://cordis.europa.eu/project/id/101131418", "101131418")</f>
        <v>0</v>
      </c>
      <c r="C869" t="s">
        <v>701</v>
      </c>
      <c r="D869" t="s">
        <v>1518</v>
      </c>
      <c r="E869" t="s">
        <v>1988</v>
      </c>
      <c r="F869" t="s">
        <v>2283</v>
      </c>
      <c r="G869" t="s">
        <v>2516</v>
      </c>
      <c r="H869" t="s">
        <v>2549</v>
      </c>
      <c r="I869" t="s">
        <v>2557</v>
      </c>
      <c r="J869" s="1">
        <f>HYPERLINK("https://ec.europa.eu/info/funding-tenders/opportunities/portal/screen/how-to-participate/org-details/998331567", "998331567")</f>
        <v>0</v>
      </c>
      <c r="K869" t="s">
        <v>2573</v>
      </c>
      <c r="M869" t="s">
        <v>2965</v>
      </c>
      <c r="N869" t="b">
        <v>0</v>
      </c>
      <c r="O869" t="s">
        <v>3014</v>
      </c>
      <c r="P869" t="s">
        <v>3278</v>
      </c>
      <c r="Q869">
        <v>5</v>
      </c>
      <c r="R869" t="s">
        <v>3347</v>
      </c>
      <c r="T869" s="2">
        <v>0</v>
      </c>
    </row>
    <row r="870" spans="1:21">
      <c r="A870" t="s">
        <v>23</v>
      </c>
      <c r="B870" s="1">
        <f>HYPERLINK("https://cordis.europa.eu/project/id/101109520", "101109520")</f>
        <v>0</v>
      </c>
      <c r="C870" t="s">
        <v>702</v>
      </c>
      <c r="D870" t="s">
        <v>1519</v>
      </c>
      <c r="E870" t="s">
        <v>2012</v>
      </c>
      <c r="F870" t="s">
        <v>2303</v>
      </c>
      <c r="G870" t="s">
        <v>2424</v>
      </c>
      <c r="H870" t="s">
        <v>2548</v>
      </c>
      <c r="I870" t="s">
        <v>2556</v>
      </c>
      <c r="J870" s="1">
        <f>HYPERLINK("https://ec.europa.eu/info/funding-tenders/opportunities/portal/screen/how-to-participate/org-details/998804636", "998804636")</f>
        <v>0</v>
      </c>
      <c r="K870" t="s">
        <v>2612</v>
      </c>
      <c r="L870" t="s">
        <v>2845</v>
      </c>
      <c r="M870" t="s">
        <v>2965</v>
      </c>
      <c r="N870" t="b">
        <v>0</v>
      </c>
      <c r="O870" t="s">
        <v>3015</v>
      </c>
      <c r="P870" t="s">
        <v>3279</v>
      </c>
      <c r="Q870">
        <v>2</v>
      </c>
      <c r="R870" t="s">
        <v>3347</v>
      </c>
      <c r="T870" s="2">
        <v>0</v>
      </c>
    </row>
    <row r="871" spans="1:21">
      <c r="A871" t="s">
        <v>23</v>
      </c>
      <c r="B871" s="1">
        <f>HYPERLINK("https://cordis.europa.eu/project/id/101149103", "101149103")</f>
        <v>0</v>
      </c>
      <c r="C871" t="s">
        <v>703</v>
      </c>
      <c r="D871" t="s">
        <v>1520</v>
      </c>
      <c r="E871" t="s">
        <v>1997</v>
      </c>
      <c r="F871" t="s">
        <v>2292</v>
      </c>
      <c r="G871" t="s">
        <v>2523</v>
      </c>
      <c r="H871" t="s">
        <v>2548</v>
      </c>
      <c r="I871" t="s">
        <v>2556</v>
      </c>
      <c r="J871" s="1">
        <f>HYPERLINK("https://ec.europa.eu/info/funding-tenders/opportunities/portal/screen/how-to-participate/org-details/998804636", "998804636")</f>
        <v>0</v>
      </c>
      <c r="K871" t="s">
        <v>2612</v>
      </c>
      <c r="L871" t="s">
        <v>2845</v>
      </c>
      <c r="M871" t="s">
        <v>2965</v>
      </c>
      <c r="N871" t="b">
        <v>0</v>
      </c>
      <c r="O871" t="s">
        <v>3016</v>
      </c>
      <c r="P871" t="s">
        <v>3280</v>
      </c>
      <c r="Q871">
        <v>2</v>
      </c>
      <c r="R871" t="s">
        <v>3347</v>
      </c>
      <c r="T871" s="2">
        <v>0</v>
      </c>
    </row>
    <row r="872" spans="1:21">
      <c r="A872" t="s">
        <v>23</v>
      </c>
      <c r="B872" s="1">
        <f>HYPERLINK("https://cordis.europa.eu/project/id/101131557", "101131557")</f>
        <v>0</v>
      </c>
      <c r="C872" t="s">
        <v>704</v>
      </c>
      <c r="D872" t="s">
        <v>1521</v>
      </c>
      <c r="E872" t="s">
        <v>2013</v>
      </c>
      <c r="F872" t="s">
        <v>2283</v>
      </c>
      <c r="G872" t="s">
        <v>2516</v>
      </c>
      <c r="H872" t="s">
        <v>2548</v>
      </c>
      <c r="I872" t="s">
        <v>2556</v>
      </c>
      <c r="J872" s="1">
        <f>HYPERLINK("https://ec.europa.eu/info/funding-tenders/opportunities/portal/screen/how-to-participate/org-details/986276989", "986276989")</f>
        <v>0</v>
      </c>
      <c r="K872" t="s">
        <v>2666</v>
      </c>
      <c r="L872" t="s">
        <v>2891</v>
      </c>
      <c r="M872" t="s">
        <v>2965</v>
      </c>
      <c r="N872" t="b">
        <v>0</v>
      </c>
      <c r="O872" t="s">
        <v>3014</v>
      </c>
      <c r="P872" t="s">
        <v>3278</v>
      </c>
      <c r="Q872">
        <v>5</v>
      </c>
      <c r="R872" t="s">
        <v>3347</v>
      </c>
      <c r="T872" s="2">
        <v>0</v>
      </c>
    </row>
    <row r="873" spans="1:21">
      <c r="A873" t="s">
        <v>23</v>
      </c>
      <c r="B873" s="1">
        <f>HYPERLINK("https://cordis.europa.eu/project/id/101086394", "101086394")</f>
        <v>0</v>
      </c>
      <c r="C873" t="s">
        <v>705</v>
      </c>
      <c r="D873" t="s">
        <v>1522</v>
      </c>
      <c r="E873" t="s">
        <v>2014</v>
      </c>
      <c r="F873" t="s">
        <v>2277</v>
      </c>
      <c r="G873" t="s">
        <v>2532</v>
      </c>
      <c r="H873" t="s">
        <v>2548</v>
      </c>
      <c r="I873" t="s">
        <v>2556</v>
      </c>
      <c r="J873" s="1">
        <f>HYPERLINK("https://ec.europa.eu/info/funding-tenders/opportunities/portal/screen/how-to-participate/org-details/988059752", "988059752")</f>
        <v>0</v>
      </c>
      <c r="K873" t="s">
        <v>2564</v>
      </c>
      <c r="L873" t="s">
        <v>2809</v>
      </c>
      <c r="M873" t="s">
        <v>2965</v>
      </c>
      <c r="N873" t="b">
        <v>0</v>
      </c>
      <c r="O873" t="s">
        <v>3014</v>
      </c>
      <c r="P873" t="s">
        <v>3293</v>
      </c>
      <c r="Q873">
        <v>14</v>
      </c>
      <c r="R873" t="s">
        <v>3347</v>
      </c>
      <c r="T873" s="2">
        <v>0</v>
      </c>
    </row>
    <row r="874" spans="1:21">
      <c r="A874" t="s">
        <v>23</v>
      </c>
      <c r="B874" s="1">
        <f>HYPERLINK("https://cordis.europa.eu/project/id/101086394", "101086394")</f>
        <v>0</v>
      </c>
      <c r="C874" t="s">
        <v>705</v>
      </c>
      <c r="D874" t="s">
        <v>1522</v>
      </c>
      <c r="E874" t="s">
        <v>2014</v>
      </c>
      <c r="F874" t="s">
        <v>2277</v>
      </c>
      <c r="G874" t="s">
        <v>2532</v>
      </c>
      <c r="H874" t="s">
        <v>2548</v>
      </c>
      <c r="I874" t="s">
        <v>2556</v>
      </c>
      <c r="J874" s="1">
        <f>HYPERLINK("https://ec.europa.eu/info/funding-tenders/opportunities/portal/screen/how-to-participate/org-details/991708019", "991708019")</f>
        <v>0</v>
      </c>
      <c r="K874" t="s">
        <v>2704</v>
      </c>
      <c r="L874" t="s">
        <v>2917</v>
      </c>
      <c r="M874" t="s">
        <v>2965</v>
      </c>
      <c r="N874" t="b">
        <v>0</v>
      </c>
      <c r="O874" t="s">
        <v>3014</v>
      </c>
      <c r="P874" t="s">
        <v>3293</v>
      </c>
      <c r="Q874">
        <v>13</v>
      </c>
      <c r="R874" t="s">
        <v>3347</v>
      </c>
      <c r="T874" s="2">
        <v>0</v>
      </c>
    </row>
    <row r="875" spans="1:21">
      <c r="A875" t="s">
        <v>23</v>
      </c>
      <c r="B875" s="1">
        <f>HYPERLINK("https://cordis.europa.eu/project/id/101086394", "101086394")</f>
        <v>0</v>
      </c>
      <c r="C875" t="s">
        <v>705</v>
      </c>
      <c r="D875" t="s">
        <v>1522</v>
      </c>
      <c r="E875" t="s">
        <v>2014</v>
      </c>
      <c r="F875" t="s">
        <v>2277</v>
      </c>
      <c r="G875" t="s">
        <v>2532</v>
      </c>
      <c r="H875" t="s">
        <v>2548</v>
      </c>
      <c r="I875" t="s">
        <v>2556</v>
      </c>
      <c r="J875" s="1">
        <f>HYPERLINK("https://ec.europa.eu/info/funding-tenders/opportunities/portal/screen/how-to-participate/org-details/922122644", "922122644")</f>
        <v>0</v>
      </c>
      <c r="K875" t="s">
        <v>2725</v>
      </c>
      <c r="L875" t="s">
        <v>2953</v>
      </c>
      <c r="M875" t="s">
        <v>2966</v>
      </c>
      <c r="N875" t="b">
        <v>0</v>
      </c>
      <c r="O875" t="s">
        <v>3014</v>
      </c>
      <c r="P875" t="s">
        <v>3293</v>
      </c>
      <c r="Q875">
        <v>12</v>
      </c>
      <c r="R875" t="s">
        <v>3347</v>
      </c>
      <c r="T875" s="2">
        <v>0</v>
      </c>
    </row>
    <row r="876" spans="1:21">
      <c r="A876" t="s">
        <v>23</v>
      </c>
      <c r="B876" s="1">
        <f>HYPERLINK("https://cordis.europa.eu/project/id/101131233", "101131233")</f>
        <v>0</v>
      </c>
      <c r="C876" t="s">
        <v>706</v>
      </c>
      <c r="D876" t="s">
        <v>1523</v>
      </c>
      <c r="E876" t="s">
        <v>2015</v>
      </c>
      <c r="F876" t="s">
        <v>2295</v>
      </c>
      <c r="G876" t="s">
        <v>2519</v>
      </c>
      <c r="H876" t="s">
        <v>2548</v>
      </c>
      <c r="I876" t="s">
        <v>2556</v>
      </c>
      <c r="J876" s="1">
        <f>HYPERLINK("https://ec.europa.eu/info/funding-tenders/opportunities/portal/screen/how-to-participate/org-details/973812489", "973812489")</f>
        <v>0</v>
      </c>
      <c r="K876" t="s">
        <v>2697</v>
      </c>
      <c r="L876" t="s">
        <v>2914</v>
      </c>
      <c r="M876" t="s">
        <v>2966</v>
      </c>
      <c r="N876" t="b">
        <v>0</v>
      </c>
      <c r="O876" t="s">
        <v>3014</v>
      </c>
      <c r="P876" t="s">
        <v>3278</v>
      </c>
      <c r="Q876">
        <v>7</v>
      </c>
      <c r="R876" t="s">
        <v>3347</v>
      </c>
      <c r="T876" s="2">
        <v>0</v>
      </c>
    </row>
    <row r="877" spans="1:21">
      <c r="A877" t="s">
        <v>23</v>
      </c>
      <c r="B877" s="1">
        <f>HYPERLINK("https://cordis.europa.eu/project/id/101119552", "101119552")</f>
        <v>0</v>
      </c>
      <c r="C877" t="s">
        <v>707</v>
      </c>
      <c r="D877" t="s">
        <v>1524</v>
      </c>
      <c r="E877" t="s">
        <v>2016</v>
      </c>
      <c r="F877" t="s">
        <v>2283</v>
      </c>
      <c r="G877" t="s">
        <v>2516</v>
      </c>
      <c r="H877" t="s">
        <v>2549</v>
      </c>
      <c r="I877" t="s">
        <v>2557</v>
      </c>
      <c r="J877" s="1">
        <f>HYPERLINK("https://ec.europa.eu/info/funding-tenders/opportunities/portal/screen/how-to-participate/org-details/999613131", "999613131")</f>
        <v>0</v>
      </c>
      <c r="K877" t="s">
        <v>2591</v>
      </c>
      <c r="L877" t="s">
        <v>2831</v>
      </c>
      <c r="M877" t="s">
        <v>2965</v>
      </c>
      <c r="N877" t="b">
        <v>0</v>
      </c>
      <c r="O877" t="s">
        <v>3020</v>
      </c>
      <c r="P877" t="s">
        <v>3294</v>
      </c>
      <c r="Q877">
        <v>8</v>
      </c>
      <c r="R877" t="s">
        <v>3347</v>
      </c>
      <c r="T877" s="2">
        <v>0</v>
      </c>
      <c r="U877" s="2">
        <v>0</v>
      </c>
    </row>
    <row r="878" spans="1:21">
      <c r="A878" t="s">
        <v>23</v>
      </c>
      <c r="B878" s="1">
        <f>HYPERLINK("https://cordis.europa.eu/project/id/101131278", "101131278")</f>
        <v>0</v>
      </c>
      <c r="C878" t="s">
        <v>708</v>
      </c>
      <c r="D878" t="s">
        <v>1525</v>
      </c>
      <c r="E878" t="s">
        <v>2017</v>
      </c>
      <c r="F878" t="s">
        <v>2283</v>
      </c>
      <c r="G878" t="s">
        <v>2516</v>
      </c>
      <c r="H878" t="s">
        <v>2548</v>
      </c>
      <c r="I878" t="s">
        <v>2556</v>
      </c>
      <c r="J878" s="1">
        <f>HYPERLINK("https://ec.europa.eu/info/funding-tenders/opportunities/portal/screen/how-to-participate/org-details/998225740", "998225740")</f>
        <v>0</v>
      </c>
      <c r="K878" t="s">
        <v>2637</v>
      </c>
      <c r="M878" t="s">
        <v>2965</v>
      </c>
      <c r="N878" t="b">
        <v>0</v>
      </c>
      <c r="O878" t="s">
        <v>3014</v>
      </c>
      <c r="P878" t="s">
        <v>3278</v>
      </c>
      <c r="Q878">
        <v>11</v>
      </c>
      <c r="R878" t="s">
        <v>3347</v>
      </c>
      <c r="T878" s="2">
        <v>0</v>
      </c>
    </row>
    <row r="879" spans="1:21">
      <c r="A879" t="s">
        <v>23</v>
      </c>
      <c r="B879" s="1">
        <f>HYPERLINK("https://cordis.europa.eu/project/id/101131278", "101131278")</f>
        <v>0</v>
      </c>
      <c r="C879" t="s">
        <v>708</v>
      </c>
      <c r="D879" t="s">
        <v>1525</v>
      </c>
      <c r="E879" t="s">
        <v>2017</v>
      </c>
      <c r="F879" t="s">
        <v>2283</v>
      </c>
      <c r="G879" t="s">
        <v>2516</v>
      </c>
      <c r="H879" t="s">
        <v>2548</v>
      </c>
      <c r="I879" t="s">
        <v>2556</v>
      </c>
      <c r="J879" s="1">
        <f>HYPERLINK("https://ec.europa.eu/info/funding-tenders/opportunities/portal/screen/how-to-participate/org-details/999885216", "999885216")</f>
        <v>0</v>
      </c>
      <c r="K879" t="s">
        <v>2658</v>
      </c>
      <c r="L879" t="s">
        <v>2884</v>
      </c>
      <c r="M879" t="s">
        <v>2965</v>
      </c>
      <c r="N879" t="b">
        <v>0</v>
      </c>
      <c r="O879" t="s">
        <v>3014</v>
      </c>
      <c r="P879" t="s">
        <v>3278</v>
      </c>
      <c r="Q879">
        <v>12</v>
      </c>
      <c r="R879" t="s">
        <v>3347</v>
      </c>
      <c r="T879" s="2">
        <v>0</v>
      </c>
    </row>
    <row r="880" spans="1:21">
      <c r="A880" t="s">
        <v>23</v>
      </c>
      <c r="B880" s="1">
        <f>HYPERLINK("https://cordis.europa.eu/project/id/101086228", "101086228")</f>
        <v>0</v>
      </c>
      <c r="C880" t="s">
        <v>709</v>
      </c>
      <c r="D880" t="s">
        <v>1526</v>
      </c>
      <c r="E880" t="s">
        <v>2018</v>
      </c>
      <c r="F880" t="s">
        <v>2277</v>
      </c>
      <c r="G880" t="s">
        <v>2532</v>
      </c>
      <c r="H880" t="s">
        <v>2548</v>
      </c>
      <c r="I880" t="s">
        <v>2556</v>
      </c>
      <c r="J880" s="1">
        <f>HYPERLINK("https://ec.europa.eu/info/funding-tenders/opportunities/portal/screen/how-to-participate/org-details/999894043", "999894043")</f>
        <v>0</v>
      </c>
      <c r="K880" t="s">
        <v>2568</v>
      </c>
      <c r="L880" t="s">
        <v>2812</v>
      </c>
      <c r="M880" t="s">
        <v>2965</v>
      </c>
      <c r="N880" t="b">
        <v>0</v>
      </c>
      <c r="O880" t="s">
        <v>3014</v>
      </c>
      <c r="P880" t="s">
        <v>3293</v>
      </c>
      <c r="Q880">
        <v>7</v>
      </c>
      <c r="R880" t="s">
        <v>3347</v>
      </c>
      <c r="T880" s="2">
        <v>0</v>
      </c>
    </row>
    <row r="881" spans="1:21">
      <c r="A881" t="s">
        <v>23</v>
      </c>
      <c r="B881" s="1">
        <f>HYPERLINK("https://cordis.europa.eu/project/id/101064374", "101064374")</f>
        <v>0</v>
      </c>
      <c r="C881" t="s">
        <v>710</v>
      </c>
      <c r="D881" t="s">
        <v>1527</v>
      </c>
      <c r="E881" t="s">
        <v>2019</v>
      </c>
      <c r="F881" t="s">
        <v>2203</v>
      </c>
      <c r="G881" t="s">
        <v>2445</v>
      </c>
      <c r="H881" t="s">
        <v>2548</v>
      </c>
      <c r="I881" t="s">
        <v>2556</v>
      </c>
      <c r="J881" s="1">
        <f>HYPERLINK("https://ec.europa.eu/info/funding-tenders/opportunities/portal/screen/how-to-participate/org-details/999845252", "999845252")</f>
        <v>0</v>
      </c>
      <c r="K881" t="s">
        <v>2687</v>
      </c>
      <c r="L881" t="s">
        <v>2908</v>
      </c>
      <c r="M881" t="s">
        <v>2965</v>
      </c>
      <c r="N881" t="b">
        <v>0</v>
      </c>
      <c r="O881" t="s">
        <v>3016</v>
      </c>
      <c r="P881" t="s">
        <v>3295</v>
      </c>
      <c r="Q881">
        <v>2</v>
      </c>
      <c r="R881" t="s">
        <v>3347</v>
      </c>
      <c r="T881" s="2">
        <v>0</v>
      </c>
    </row>
    <row r="882" spans="1:21">
      <c r="A882" t="s">
        <v>23</v>
      </c>
      <c r="B882" s="1">
        <f>HYPERLINK("https://cordis.europa.eu/project/id/101146406", "101146406")</f>
        <v>0</v>
      </c>
      <c r="C882" t="s">
        <v>711</v>
      </c>
      <c r="D882" t="s">
        <v>1528</v>
      </c>
      <c r="E882" t="s">
        <v>1997</v>
      </c>
      <c r="F882" t="s">
        <v>2304</v>
      </c>
      <c r="G882" t="s">
        <v>2533</v>
      </c>
      <c r="H882" t="s">
        <v>2548</v>
      </c>
      <c r="I882" t="s">
        <v>2556</v>
      </c>
      <c r="J882" s="1">
        <f>HYPERLINK("https://ec.europa.eu/info/funding-tenders/opportunities/portal/screen/how-to-participate/org-details/998826946", "998826946")</f>
        <v>0</v>
      </c>
      <c r="K882" t="s">
        <v>2617</v>
      </c>
      <c r="L882" t="s">
        <v>2848</v>
      </c>
      <c r="M882" t="s">
        <v>2965</v>
      </c>
      <c r="N882" t="b">
        <v>0</v>
      </c>
      <c r="O882" t="s">
        <v>3016</v>
      </c>
      <c r="P882" t="s">
        <v>3280</v>
      </c>
      <c r="Q882">
        <v>2</v>
      </c>
      <c r="R882" t="s">
        <v>3347</v>
      </c>
      <c r="T882" s="2">
        <v>0</v>
      </c>
    </row>
    <row r="883" spans="1:21">
      <c r="A883" t="s">
        <v>23</v>
      </c>
      <c r="B883" s="1">
        <f>HYPERLINK("https://cordis.europa.eu/project/id/101110315", "101110315")</f>
        <v>0</v>
      </c>
      <c r="C883" t="s">
        <v>712</v>
      </c>
      <c r="D883" t="s">
        <v>1529</v>
      </c>
      <c r="E883" t="s">
        <v>2020</v>
      </c>
      <c r="F883" t="s">
        <v>2290</v>
      </c>
      <c r="G883" t="s">
        <v>2495</v>
      </c>
      <c r="H883" t="s">
        <v>2548</v>
      </c>
      <c r="I883" t="s">
        <v>2556</v>
      </c>
      <c r="J883" s="1">
        <f>HYPERLINK("https://ec.europa.eu/info/funding-tenders/opportunities/portal/screen/how-to-participate/org-details/986196188", "986196188")</f>
        <v>0</v>
      </c>
      <c r="K883" t="s">
        <v>2709</v>
      </c>
      <c r="L883" t="s">
        <v>2920</v>
      </c>
      <c r="M883" t="s">
        <v>2965</v>
      </c>
      <c r="N883" t="b">
        <v>0</v>
      </c>
      <c r="O883" t="s">
        <v>3016</v>
      </c>
      <c r="P883" t="s">
        <v>3279</v>
      </c>
      <c r="Q883">
        <v>2</v>
      </c>
      <c r="R883" t="s">
        <v>3347</v>
      </c>
      <c r="T883" s="2">
        <v>0</v>
      </c>
    </row>
    <row r="884" spans="1:21">
      <c r="A884" t="s">
        <v>23</v>
      </c>
      <c r="B884" s="1">
        <f>HYPERLINK("https://cordis.europa.eu/project/id/101131111", "101131111")</f>
        <v>0</v>
      </c>
      <c r="C884" t="s">
        <v>713</v>
      </c>
      <c r="D884" t="s">
        <v>1530</v>
      </c>
      <c r="E884" t="s">
        <v>2021</v>
      </c>
      <c r="F884" t="s">
        <v>2283</v>
      </c>
      <c r="G884" t="s">
        <v>2516</v>
      </c>
      <c r="H884" t="s">
        <v>2548</v>
      </c>
      <c r="I884" t="s">
        <v>2556</v>
      </c>
      <c r="J884" s="1">
        <f>HYPERLINK("https://ec.europa.eu/info/funding-tenders/opportunities/portal/screen/how-to-participate/org-details/999845252", "999845252")</f>
        <v>0</v>
      </c>
      <c r="K884" t="s">
        <v>2687</v>
      </c>
      <c r="L884" t="s">
        <v>2908</v>
      </c>
      <c r="M884" t="s">
        <v>2965</v>
      </c>
      <c r="N884" t="b">
        <v>0</v>
      </c>
      <c r="O884" t="s">
        <v>3014</v>
      </c>
      <c r="P884" t="s">
        <v>3278</v>
      </c>
      <c r="Q884">
        <v>13</v>
      </c>
      <c r="R884" t="s">
        <v>3347</v>
      </c>
      <c r="T884" s="2">
        <v>0</v>
      </c>
    </row>
    <row r="885" spans="1:21">
      <c r="A885" t="s">
        <v>23</v>
      </c>
      <c r="B885" s="1">
        <f>HYPERLINK("https://cordis.europa.eu/project/id/101131111", "101131111")</f>
        <v>0</v>
      </c>
      <c r="C885" t="s">
        <v>713</v>
      </c>
      <c r="D885" t="s">
        <v>1530</v>
      </c>
      <c r="E885" t="s">
        <v>2021</v>
      </c>
      <c r="F885" t="s">
        <v>2283</v>
      </c>
      <c r="G885" t="s">
        <v>2516</v>
      </c>
      <c r="H885" t="s">
        <v>2548</v>
      </c>
      <c r="I885" t="s">
        <v>2556</v>
      </c>
      <c r="J885" s="1">
        <f>HYPERLINK("https://ec.europa.eu/info/funding-tenders/opportunities/portal/screen/how-to-participate/org-details/986196188", "986196188")</f>
        <v>0</v>
      </c>
      <c r="K885" t="s">
        <v>2709</v>
      </c>
      <c r="L885" t="s">
        <v>2920</v>
      </c>
      <c r="M885" t="s">
        <v>2965</v>
      </c>
      <c r="N885" t="b">
        <v>0</v>
      </c>
      <c r="O885" t="s">
        <v>3014</v>
      </c>
      <c r="P885" t="s">
        <v>3278</v>
      </c>
      <c r="Q885">
        <v>11</v>
      </c>
      <c r="R885" t="s">
        <v>3347</v>
      </c>
      <c r="T885" s="2">
        <v>0</v>
      </c>
    </row>
    <row r="886" spans="1:21">
      <c r="A886" t="s">
        <v>23</v>
      </c>
      <c r="B886" s="1">
        <f>HYPERLINK("https://cordis.europa.eu/project/id/101149355", "101149355")</f>
        <v>0</v>
      </c>
      <c r="C886" t="s">
        <v>714</v>
      </c>
      <c r="D886" t="s">
        <v>1531</v>
      </c>
      <c r="E886" t="s">
        <v>2022</v>
      </c>
      <c r="F886" t="s">
        <v>2305</v>
      </c>
      <c r="G886" t="s">
        <v>2534</v>
      </c>
      <c r="H886" t="s">
        <v>2548</v>
      </c>
      <c r="I886" t="s">
        <v>2556</v>
      </c>
      <c r="J886" s="1">
        <f>HYPERLINK("https://ec.europa.eu/info/funding-tenders/opportunities/portal/screen/how-to-participate/org-details/998225740", "998225740")</f>
        <v>0</v>
      </c>
      <c r="K886" t="s">
        <v>2637</v>
      </c>
      <c r="M886" t="s">
        <v>2965</v>
      </c>
      <c r="N886" t="b">
        <v>0</v>
      </c>
      <c r="O886" t="s">
        <v>3016</v>
      </c>
      <c r="P886" t="s">
        <v>3280</v>
      </c>
      <c r="Q886">
        <v>2</v>
      </c>
      <c r="R886" t="s">
        <v>3347</v>
      </c>
      <c r="T886" s="2">
        <v>0</v>
      </c>
    </row>
    <row r="887" spans="1:21">
      <c r="A887" t="s">
        <v>23</v>
      </c>
      <c r="B887" s="1">
        <f>HYPERLINK("https://cordis.europa.eu/project/id/101059547", "101059547")</f>
        <v>0</v>
      </c>
      <c r="C887" t="s">
        <v>715</v>
      </c>
      <c r="D887" t="s">
        <v>1532</v>
      </c>
      <c r="E887" t="s">
        <v>2023</v>
      </c>
      <c r="F887" t="s">
        <v>2297</v>
      </c>
      <c r="G887" t="s">
        <v>2484</v>
      </c>
      <c r="H887" t="s">
        <v>2548</v>
      </c>
      <c r="I887" t="s">
        <v>2556</v>
      </c>
      <c r="J887" s="1">
        <f>HYPERLINK("https://ec.europa.eu/info/funding-tenders/opportunities/portal/screen/how-to-participate/org-details/997400464", "997400464")</f>
        <v>0</v>
      </c>
      <c r="K887" t="s">
        <v>2663</v>
      </c>
      <c r="L887" t="s">
        <v>2888</v>
      </c>
      <c r="M887" t="s">
        <v>2969</v>
      </c>
      <c r="N887" t="b">
        <v>0</v>
      </c>
      <c r="O887" t="s">
        <v>3012</v>
      </c>
      <c r="P887" t="s">
        <v>3296</v>
      </c>
      <c r="Q887">
        <v>9</v>
      </c>
      <c r="R887" t="s">
        <v>3347</v>
      </c>
      <c r="T887" s="2">
        <v>0</v>
      </c>
      <c r="U887" s="2">
        <v>0</v>
      </c>
    </row>
    <row r="888" spans="1:21">
      <c r="A888" t="s">
        <v>23</v>
      </c>
      <c r="B888" s="1">
        <f>HYPERLINK("https://cordis.europa.eu/project/id/101137656", "101137656")</f>
        <v>0</v>
      </c>
      <c r="C888" t="s">
        <v>716</v>
      </c>
      <c r="D888" t="s">
        <v>1533</v>
      </c>
      <c r="E888" t="s">
        <v>2024</v>
      </c>
      <c r="F888" t="s">
        <v>2305</v>
      </c>
      <c r="G888" t="s">
        <v>2523</v>
      </c>
      <c r="H888" t="s">
        <v>2548</v>
      </c>
      <c r="I888" t="s">
        <v>2556</v>
      </c>
      <c r="J888" s="1">
        <f>HYPERLINK("https://ec.europa.eu/info/funding-tenders/opportunities/portal/screen/how-to-participate/org-details/999845252", "999845252")</f>
        <v>0</v>
      </c>
      <c r="K888" t="s">
        <v>2687</v>
      </c>
      <c r="L888" t="s">
        <v>2908</v>
      </c>
      <c r="M888" t="s">
        <v>2965</v>
      </c>
      <c r="N888" t="b">
        <v>0</v>
      </c>
      <c r="O888" t="s">
        <v>3012</v>
      </c>
      <c r="P888" t="s">
        <v>3297</v>
      </c>
      <c r="Q888">
        <v>12</v>
      </c>
      <c r="R888" t="s">
        <v>3347</v>
      </c>
      <c r="T888" s="2">
        <v>0</v>
      </c>
    </row>
    <row r="889" spans="1:21">
      <c r="A889" t="s">
        <v>23</v>
      </c>
      <c r="B889" s="1">
        <f>HYPERLINK("https://cordis.europa.eu/project/id/101064175", "101064175")</f>
        <v>0</v>
      </c>
      <c r="C889" t="s">
        <v>717</v>
      </c>
      <c r="D889" t="s">
        <v>1534</v>
      </c>
      <c r="E889" t="s">
        <v>2025</v>
      </c>
      <c r="F889" t="s">
        <v>2306</v>
      </c>
      <c r="G889" t="s">
        <v>2452</v>
      </c>
      <c r="H889" t="s">
        <v>2548</v>
      </c>
      <c r="I889" t="s">
        <v>2556</v>
      </c>
      <c r="J889" s="1">
        <f>HYPERLINK("https://ec.europa.eu/info/funding-tenders/opportunities/portal/screen/how-to-participate/org-details/998826946", "998826946")</f>
        <v>0</v>
      </c>
      <c r="K889" t="s">
        <v>2617</v>
      </c>
      <c r="L889" t="s">
        <v>2848</v>
      </c>
      <c r="M889" t="s">
        <v>2965</v>
      </c>
      <c r="N889" t="b">
        <v>0</v>
      </c>
      <c r="O889" t="s">
        <v>3015</v>
      </c>
      <c r="P889" t="s">
        <v>3295</v>
      </c>
      <c r="Q889">
        <v>3</v>
      </c>
      <c r="R889" t="s">
        <v>3347</v>
      </c>
      <c r="T889" s="2">
        <v>0</v>
      </c>
    </row>
    <row r="890" spans="1:21">
      <c r="A890" t="s">
        <v>23</v>
      </c>
      <c r="B890" s="1">
        <f>HYPERLINK("https://cordis.europa.eu/project/id/101086106", "101086106")</f>
        <v>0</v>
      </c>
      <c r="C890" t="s">
        <v>718</v>
      </c>
      <c r="D890" t="s">
        <v>1535</v>
      </c>
      <c r="E890" t="s">
        <v>2026</v>
      </c>
      <c r="F890" t="s">
        <v>2277</v>
      </c>
      <c r="G890" t="s">
        <v>2532</v>
      </c>
      <c r="H890" t="s">
        <v>2548</v>
      </c>
      <c r="I890" t="s">
        <v>2556</v>
      </c>
      <c r="J890" s="1">
        <f>HYPERLINK("https://ec.europa.eu/info/funding-tenders/opportunities/portal/screen/how-to-participate/org-details/998804636", "998804636")</f>
        <v>0</v>
      </c>
      <c r="K890" t="s">
        <v>2612</v>
      </c>
      <c r="L890" t="s">
        <v>2845</v>
      </c>
      <c r="M890" t="s">
        <v>2965</v>
      </c>
      <c r="N890" t="b">
        <v>0</v>
      </c>
      <c r="O890" t="s">
        <v>3014</v>
      </c>
      <c r="P890" t="s">
        <v>3293</v>
      </c>
      <c r="Q890">
        <v>17</v>
      </c>
      <c r="R890" t="s">
        <v>3347</v>
      </c>
      <c r="T890" s="2">
        <v>0</v>
      </c>
    </row>
    <row r="891" spans="1:21">
      <c r="A891" t="s">
        <v>23</v>
      </c>
      <c r="B891" s="1">
        <f>HYPERLINK("https://cordis.europa.eu/project/id/101103627", "101103627")</f>
        <v>0</v>
      </c>
      <c r="C891" t="s">
        <v>719</v>
      </c>
      <c r="D891" t="s">
        <v>1536</v>
      </c>
      <c r="E891" t="s">
        <v>2003</v>
      </c>
      <c r="F891" t="s">
        <v>2303</v>
      </c>
      <c r="G891" t="s">
        <v>2499</v>
      </c>
      <c r="H891" t="s">
        <v>2548</v>
      </c>
      <c r="I891" t="s">
        <v>2556</v>
      </c>
      <c r="J891" s="1">
        <f>HYPERLINK("https://ec.europa.eu/info/funding-tenders/opportunities/portal/screen/how-to-participate/org-details/968922622", "968922622")</f>
        <v>0</v>
      </c>
      <c r="K891" t="s">
        <v>2700</v>
      </c>
      <c r="L891" t="s">
        <v>2700</v>
      </c>
      <c r="M891" t="s">
        <v>2965</v>
      </c>
      <c r="N891" t="b">
        <v>0</v>
      </c>
      <c r="O891" t="s">
        <v>3016</v>
      </c>
      <c r="P891" t="s">
        <v>3279</v>
      </c>
      <c r="Q891">
        <v>2</v>
      </c>
      <c r="R891" t="s">
        <v>3347</v>
      </c>
      <c r="T891" s="2">
        <v>0</v>
      </c>
    </row>
    <row r="892" spans="1:21">
      <c r="A892" t="s">
        <v>23</v>
      </c>
      <c r="B892" s="1">
        <f>HYPERLINK("https://cordis.europa.eu/project/id/101064513", "101064513")</f>
        <v>0</v>
      </c>
      <c r="C892" t="s">
        <v>720</v>
      </c>
      <c r="D892" t="s">
        <v>1537</v>
      </c>
      <c r="E892" t="s">
        <v>2019</v>
      </c>
      <c r="F892" t="s">
        <v>2294</v>
      </c>
      <c r="G892" t="s">
        <v>2500</v>
      </c>
      <c r="H892" t="s">
        <v>2548</v>
      </c>
      <c r="I892" t="s">
        <v>2556</v>
      </c>
      <c r="J892" s="1">
        <f>HYPERLINK("https://ec.europa.eu/info/funding-tenders/opportunities/portal/screen/how-to-participate/org-details/996231614", "996231614")</f>
        <v>0</v>
      </c>
      <c r="K892" t="s">
        <v>2652</v>
      </c>
      <c r="L892" t="s">
        <v>2652</v>
      </c>
      <c r="M892" t="s">
        <v>2965</v>
      </c>
      <c r="N892" t="b">
        <v>0</v>
      </c>
      <c r="O892" t="s">
        <v>3021</v>
      </c>
      <c r="P892" t="s">
        <v>3295</v>
      </c>
      <c r="Q892">
        <v>2</v>
      </c>
      <c r="R892" t="s">
        <v>3347</v>
      </c>
      <c r="T892" s="2">
        <v>0</v>
      </c>
    </row>
    <row r="893" spans="1:21">
      <c r="A893" t="s">
        <v>23</v>
      </c>
      <c r="B893" s="1">
        <f>HYPERLINK("https://cordis.europa.eu/project/id/101082451", "101082451")</f>
        <v>0</v>
      </c>
      <c r="C893" t="s">
        <v>721</v>
      </c>
      <c r="D893" t="s">
        <v>1538</v>
      </c>
      <c r="E893" t="s">
        <v>2027</v>
      </c>
      <c r="F893" t="s">
        <v>2307</v>
      </c>
      <c r="G893" t="s">
        <v>2452</v>
      </c>
      <c r="H893" t="s">
        <v>2548</v>
      </c>
      <c r="I893" t="s">
        <v>2556</v>
      </c>
      <c r="J893" s="1">
        <f>HYPERLINK("https://ec.europa.eu/info/funding-tenders/opportunities/portal/screen/how-to-participate/org-details/998385014", "998385014")</f>
        <v>0</v>
      </c>
      <c r="K893" t="s">
        <v>2618</v>
      </c>
      <c r="L893" t="s">
        <v>2849</v>
      </c>
      <c r="M893" t="s">
        <v>2965</v>
      </c>
      <c r="N893" t="b">
        <v>0</v>
      </c>
      <c r="O893" t="s">
        <v>3022</v>
      </c>
      <c r="P893" t="s">
        <v>3298</v>
      </c>
      <c r="Q893">
        <v>4</v>
      </c>
      <c r="R893" t="s">
        <v>3342</v>
      </c>
      <c r="S893" s="2">
        <v>199582.5</v>
      </c>
      <c r="T893" s="2">
        <v>199582.5</v>
      </c>
    </row>
    <row r="894" spans="1:21">
      <c r="A894" t="s">
        <v>23</v>
      </c>
      <c r="B894" s="1">
        <f>HYPERLINK("https://cordis.europa.eu/project/id/101070125", "101070125")</f>
        <v>0</v>
      </c>
      <c r="C894" t="s">
        <v>722</v>
      </c>
      <c r="D894" t="s">
        <v>1539</v>
      </c>
      <c r="E894" t="s">
        <v>2019</v>
      </c>
      <c r="F894" t="s">
        <v>2214</v>
      </c>
      <c r="G894" t="s">
        <v>2424</v>
      </c>
      <c r="H894" t="s">
        <v>2548</v>
      </c>
      <c r="I894" t="s">
        <v>2556</v>
      </c>
      <c r="J894" s="1">
        <f>HYPERLINK("https://ec.europa.eu/info/funding-tenders/opportunities/portal/screen/how-to-participate/org-details/889455469", "889455469")</f>
        <v>0</v>
      </c>
      <c r="K894" t="s">
        <v>2782</v>
      </c>
      <c r="L894" t="s">
        <v>2782</v>
      </c>
      <c r="M894" t="s">
        <v>2968</v>
      </c>
      <c r="N894" t="b">
        <v>0</v>
      </c>
      <c r="O894" t="s">
        <v>3023</v>
      </c>
      <c r="P894" t="s">
        <v>3299</v>
      </c>
      <c r="Q894">
        <v>5</v>
      </c>
      <c r="R894" t="s">
        <v>3347</v>
      </c>
      <c r="T894" s="2">
        <v>0</v>
      </c>
      <c r="U894" s="2">
        <v>0</v>
      </c>
    </row>
    <row r="895" spans="1:21">
      <c r="A895" t="s">
        <v>23</v>
      </c>
      <c r="B895" s="1">
        <f>HYPERLINK("https://cordis.europa.eu/project/id/101058483", "101058483")</f>
        <v>0</v>
      </c>
      <c r="C895" t="s">
        <v>723</v>
      </c>
      <c r="D895" t="s">
        <v>1540</v>
      </c>
      <c r="E895" t="s">
        <v>2028</v>
      </c>
      <c r="F895" t="s">
        <v>2203</v>
      </c>
      <c r="G895" t="s">
        <v>2413</v>
      </c>
      <c r="H895" t="s">
        <v>2548</v>
      </c>
      <c r="I895" t="s">
        <v>2556</v>
      </c>
      <c r="J895" s="1">
        <f>HYPERLINK("https://ec.europa.eu/info/funding-tenders/opportunities/portal/screen/how-to-participate/org-details/887969332", "887969332")</f>
        <v>0</v>
      </c>
      <c r="K895" t="s">
        <v>2783</v>
      </c>
      <c r="L895" t="s">
        <v>2783</v>
      </c>
      <c r="M895" t="s">
        <v>2967</v>
      </c>
      <c r="N895" t="b">
        <v>0</v>
      </c>
      <c r="O895" t="s">
        <v>3012</v>
      </c>
      <c r="P895" t="s">
        <v>3300</v>
      </c>
      <c r="Q895">
        <v>17</v>
      </c>
      <c r="R895" t="s">
        <v>3347</v>
      </c>
      <c r="T895" s="2">
        <v>0</v>
      </c>
    </row>
    <row r="896" spans="1:21">
      <c r="A896" t="s">
        <v>23</v>
      </c>
      <c r="B896" s="1">
        <f>HYPERLINK("https://cordis.europa.eu/project/id/101070558", "101070558")</f>
        <v>0</v>
      </c>
      <c r="C896" t="s">
        <v>724</v>
      </c>
      <c r="D896" t="s">
        <v>1541</v>
      </c>
      <c r="E896" t="s">
        <v>2011</v>
      </c>
      <c r="F896" t="s">
        <v>2294</v>
      </c>
      <c r="G896" t="s">
        <v>2500</v>
      </c>
      <c r="H896" t="s">
        <v>2548</v>
      </c>
      <c r="I896" t="s">
        <v>2556</v>
      </c>
      <c r="J896" s="1">
        <f>HYPERLINK("https://ec.europa.eu/info/funding-tenders/opportunities/portal/screen/how-to-participate/org-details/998804636", "998804636")</f>
        <v>0</v>
      </c>
      <c r="K896" t="s">
        <v>2612</v>
      </c>
      <c r="L896" t="s">
        <v>2845</v>
      </c>
      <c r="M896" t="s">
        <v>2965</v>
      </c>
      <c r="N896" t="b">
        <v>0</v>
      </c>
      <c r="O896" t="s">
        <v>3012</v>
      </c>
      <c r="P896" t="s">
        <v>3291</v>
      </c>
      <c r="Q896">
        <v>7</v>
      </c>
      <c r="R896" t="s">
        <v>3347</v>
      </c>
      <c r="T896" s="2">
        <v>0</v>
      </c>
      <c r="U896" s="2">
        <v>0</v>
      </c>
    </row>
    <row r="897" spans="1:21">
      <c r="A897" t="s">
        <v>23</v>
      </c>
      <c r="B897" s="1">
        <f>HYPERLINK("https://cordis.europa.eu/project/id/101070558", "101070558")</f>
        <v>0</v>
      </c>
      <c r="C897" t="s">
        <v>724</v>
      </c>
      <c r="D897" t="s">
        <v>1541</v>
      </c>
      <c r="E897" t="s">
        <v>2011</v>
      </c>
      <c r="F897" t="s">
        <v>2294</v>
      </c>
      <c r="G897" t="s">
        <v>2500</v>
      </c>
      <c r="H897" t="s">
        <v>2548</v>
      </c>
      <c r="I897" t="s">
        <v>2556</v>
      </c>
      <c r="J897" s="1">
        <f>HYPERLINK("https://ec.europa.eu/info/funding-tenders/opportunities/portal/screen/how-to-participate/org-details/996231614", "996231614")</f>
        <v>0</v>
      </c>
      <c r="K897" t="s">
        <v>2652</v>
      </c>
      <c r="L897" t="s">
        <v>2652</v>
      </c>
      <c r="M897" t="s">
        <v>2965</v>
      </c>
      <c r="N897" t="b">
        <v>0</v>
      </c>
      <c r="O897" t="s">
        <v>3012</v>
      </c>
      <c r="P897" t="s">
        <v>3291</v>
      </c>
      <c r="Q897">
        <v>10</v>
      </c>
      <c r="R897" t="s">
        <v>3347</v>
      </c>
      <c r="T897" s="2">
        <v>0</v>
      </c>
      <c r="U897" s="2">
        <v>0</v>
      </c>
    </row>
    <row r="898" spans="1:21">
      <c r="A898" t="s">
        <v>23</v>
      </c>
      <c r="B898" s="1">
        <f>HYPERLINK("https://cordis.europa.eu/project/id/101070558", "101070558")</f>
        <v>0</v>
      </c>
      <c r="C898" t="s">
        <v>724</v>
      </c>
      <c r="D898" t="s">
        <v>1541</v>
      </c>
      <c r="E898" t="s">
        <v>2011</v>
      </c>
      <c r="F898" t="s">
        <v>2294</v>
      </c>
      <c r="G898" t="s">
        <v>2500</v>
      </c>
      <c r="H898" t="s">
        <v>2548</v>
      </c>
      <c r="I898" t="s">
        <v>2556</v>
      </c>
      <c r="J898" s="1">
        <f>HYPERLINK("https://ec.europa.eu/info/funding-tenders/opportunities/portal/screen/how-to-participate/org-details/986276989", "986276989")</f>
        <v>0</v>
      </c>
      <c r="K898" t="s">
        <v>2666</v>
      </c>
      <c r="L898" t="s">
        <v>2891</v>
      </c>
      <c r="M898" t="s">
        <v>2965</v>
      </c>
      <c r="N898" t="b">
        <v>0</v>
      </c>
      <c r="O898" t="s">
        <v>3012</v>
      </c>
      <c r="P898" t="s">
        <v>3291</v>
      </c>
      <c r="Q898">
        <v>8</v>
      </c>
      <c r="R898" t="s">
        <v>3347</v>
      </c>
      <c r="T898" s="2">
        <v>0</v>
      </c>
      <c r="U898" s="2">
        <v>0</v>
      </c>
    </row>
    <row r="899" spans="1:21">
      <c r="A899" t="s">
        <v>23</v>
      </c>
      <c r="B899" s="1">
        <f>HYPERLINK("https://cordis.europa.eu/project/id/101070558", "101070558")</f>
        <v>0</v>
      </c>
      <c r="C899" t="s">
        <v>724</v>
      </c>
      <c r="D899" t="s">
        <v>1541</v>
      </c>
      <c r="E899" t="s">
        <v>2011</v>
      </c>
      <c r="F899" t="s">
        <v>2294</v>
      </c>
      <c r="G899" t="s">
        <v>2500</v>
      </c>
      <c r="H899" t="s">
        <v>2548</v>
      </c>
      <c r="I899" t="s">
        <v>2556</v>
      </c>
      <c r="J899" s="1">
        <f>HYPERLINK("https://ec.europa.eu/info/funding-tenders/opportunities/portal/screen/how-to-participate/org-details/999885216", "999885216")</f>
        <v>0</v>
      </c>
      <c r="K899" t="s">
        <v>2658</v>
      </c>
      <c r="L899" t="s">
        <v>2884</v>
      </c>
      <c r="M899" t="s">
        <v>2965</v>
      </c>
      <c r="N899" t="b">
        <v>0</v>
      </c>
      <c r="O899" t="s">
        <v>3012</v>
      </c>
      <c r="P899" t="s">
        <v>3291</v>
      </c>
      <c r="Q899">
        <v>9</v>
      </c>
      <c r="R899" t="s">
        <v>3347</v>
      </c>
      <c r="T899" s="2">
        <v>0</v>
      </c>
      <c r="U899" s="2">
        <v>0</v>
      </c>
    </row>
    <row r="900" spans="1:21">
      <c r="A900" t="s">
        <v>23</v>
      </c>
      <c r="B900" s="1">
        <f>HYPERLINK("https://cordis.europa.eu/project/id/101135537", "101135537")</f>
        <v>0</v>
      </c>
      <c r="C900" t="s">
        <v>725</v>
      </c>
      <c r="D900" t="s">
        <v>1542</v>
      </c>
      <c r="E900" t="s">
        <v>2029</v>
      </c>
      <c r="F900" t="s">
        <v>2302</v>
      </c>
      <c r="G900" t="s">
        <v>2535</v>
      </c>
      <c r="H900" t="s">
        <v>2548</v>
      </c>
      <c r="I900" t="s">
        <v>2556</v>
      </c>
      <c r="J900" s="1">
        <f>HYPERLINK("https://ec.europa.eu/info/funding-tenders/opportunities/portal/screen/how-to-participate/org-details/986276989", "986276989")</f>
        <v>0</v>
      </c>
      <c r="K900" t="s">
        <v>2666</v>
      </c>
      <c r="L900" t="s">
        <v>2891</v>
      </c>
      <c r="M900" t="s">
        <v>2965</v>
      </c>
      <c r="N900" t="b">
        <v>0</v>
      </c>
      <c r="O900" t="s">
        <v>3012</v>
      </c>
      <c r="P900" t="s">
        <v>3301</v>
      </c>
      <c r="Q900">
        <v>15</v>
      </c>
      <c r="R900" t="s">
        <v>3347</v>
      </c>
      <c r="T900" s="2">
        <v>0</v>
      </c>
      <c r="U900" s="2">
        <v>0</v>
      </c>
    </row>
    <row r="901" spans="1:21">
      <c r="A901" t="s">
        <v>23</v>
      </c>
      <c r="B901" s="1">
        <f>HYPERLINK("https://cordis.europa.eu/project/id/101063420", "101063420")</f>
        <v>0</v>
      </c>
      <c r="C901" t="s">
        <v>726</v>
      </c>
      <c r="D901" t="s">
        <v>1543</v>
      </c>
      <c r="E901" t="s">
        <v>2030</v>
      </c>
      <c r="F901" t="s">
        <v>2306</v>
      </c>
      <c r="G901" t="s">
        <v>2452</v>
      </c>
      <c r="H901" t="s">
        <v>2548</v>
      </c>
      <c r="I901" t="s">
        <v>2556</v>
      </c>
      <c r="J901" s="1">
        <f>HYPERLINK("https://ec.europa.eu/info/funding-tenders/opportunities/portal/screen/how-to-participate/org-details/999885216", "999885216")</f>
        <v>0</v>
      </c>
      <c r="K901" t="s">
        <v>2658</v>
      </c>
      <c r="L901" t="s">
        <v>2884</v>
      </c>
      <c r="M901" t="s">
        <v>2965</v>
      </c>
      <c r="N901" t="b">
        <v>0</v>
      </c>
      <c r="O901" t="s">
        <v>3015</v>
      </c>
      <c r="P901" t="s">
        <v>3295</v>
      </c>
      <c r="Q901">
        <v>3</v>
      </c>
      <c r="R901" t="s">
        <v>3347</v>
      </c>
      <c r="T901" s="2">
        <v>0</v>
      </c>
    </row>
    <row r="902" spans="1:21">
      <c r="A902" t="s">
        <v>23</v>
      </c>
      <c r="B902" s="1">
        <f>HYPERLINK("https://cordis.europa.eu/project/id/101094341", "101094341")</f>
        <v>0</v>
      </c>
      <c r="C902" t="s">
        <v>727</v>
      </c>
      <c r="D902" t="s">
        <v>1544</v>
      </c>
      <c r="E902" t="s">
        <v>2031</v>
      </c>
      <c r="F902" t="s">
        <v>2306</v>
      </c>
      <c r="G902" t="s">
        <v>2393</v>
      </c>
      <c r="H902" t="s">
        <v>2548</v>
      </c>
      <c r="I902" t="s">
        <v>2556</v>
      </c>
      <c r="J902" s="1">
        <f>HYPERLINK("https://ec.europa.eu/info/funding-tenders/opportunities/portal/screen/how-to-participate/org-details/998040955", "998040955")</f>
        <v>0</v>
      </c>
      <c r="K902" t="s">
        <v>2602</v>
      </c>
      <c r="M902" t="s">
        <v>2965</v>
      </c>
      <c r="N902" t="b">
        <v>0</v>
      </c>
      <c r="O902" t="s">
        <v>3012</v>
      </c>
      <c r="P902" t="s">
        <v>3302</v>
      </c>
      <c r="Q902">
        <v>10</v>
      </c>
      <c r="R902" t="s">
        <v>3342</v>
      </c>
      <c r="S902" s="2">
        <v>107500</v>
      </c>
      <c r="T902" s="2">
        <v>107500</v>
      </c>
      <c r="U902" s="2">
        <v>107500</v>
      </c>
    </row>
    <row r="903" spans="1:21">
      <c r="A903" t="s">
        <v>23</v>
      </c>
      <c r="B903" s="1">
        <f>HYPERLINK("https://cordis.europa.eu/project/id/101106395", "101106395")</f>
        <v>0</v>
      </c>
      <c r="C903" t="s">
        <v>728</v>
      </c>
      <c r="D903" t="s">
        <v>1545</v>
      </c>
      <c r="E903" t="s">
        <v>2032</v>
      </c>
      <c r="F903" t="s">
        <v>2305</v>
      </c>
      <c r="G903" t="s">
        <v>2534</v>
      </c>
      <c r="H903" t="s">
        <v>2551</v>
      </c>
      <c r="I903" t="s">
        <v>2559</v>
      </c>
      <c r="J903" s="1">
        <f>HYPERLINK("https://ec.europa.eu/info/funding-tenders/opportunities/portal/screen/how-to-participate/org-details/997324028", "997324028")</f>
        <v>0</v>
      </c>
      <c r="K903" t="s">
        <v>2589</v>
      </c>
      <c r="L903" t="s">
        <v>2829</v>
      </c>
      <c r="M903" t="s">
        <v>2965</v>
      </c>
      <c r="N903" t="b">
        <v>0</v>
      </c>
      <c r="O903" t="s">
        <v>3016</v>
      </c>
      <c r="P903" t="s">
        <v>3279</v>
      </c>
      <c r="Q903">
        <v>4</v>
      </c>
      <c r="R903" t="s">
        <v>3347</v>
      </c>
      <c r="T903" s="2">
        <v>0</v>
      </c>
    </row>
    <row r="904" spans="1:21">
      <c r="A904" t="s">
        <v>23</v>
      </c>
      <c r="B904" s="1">
        <f>HYPERLINK("https://cordis.europa.eu/project/id/101081329", "101081329")</f>
        <v>0</v>
      </c>
      <c r="C904" t="s">
        <v>729</v>
      </c>
      <c r="D904" t="s">
        <v>1546</v>
      </c>
      <c r="E904" t="s">
        <v>2033</v>
      </c>
      <c r="F904" t="s">
        <v>2303</v>
      </c>
      <c r="G904" t="s">
        <v>2536</v>
      </c>
      <c r="H904" t="s">
        <v>2549</v>
      </c>
      <c r="I904" t="s">
        <v>2557</v>
      </c>
      <c r="J904" s="1">
        <f>HYPERLINK("https://ec.europa.eu/info/funding-tenders/opportunities/portal/screen/how-to-participate/org-details/996306013", "996306013")</f>
        <v>0</v>
      </c>
      <c r="K904" t="s">
        <v>2645</v>
      </c>
      <c r="M904" t="s">
        <v>2966</v>
      </c>
      <c r="N904" t="b">
        <v>0</v>
      </c>
      <c r="O904" t="s">
        <v>3013</v>
      </c>
      <c r="P904" t="s">
        <v>3303</v>
      </c>
      <c r="Q904">
        <v>32</v>
      </c>
      <c r="R904" t="s">
        <v>3347</v>
      </c>
      <c r="T904" s="2">
        <v>0</v>
      </c>
    </row>
    <row r="905" spans="1:21">
      <c r="A905" t="s">
        <v>23</v>
      </c>
      <c r="B905" s="1">
        <f>HYPERLINK("https://cordis.europa.eu/project/id/101056865", "101056865")</f>
        <v>0</v>
      </c>
      <c r="C905" t="s">
        <v>730</v>
      </c>
      <c r="D905" t="s">
        <v>1547</v>
      </c>
      <c r="E905" t="s">
        <v>2034</v>
      </c>
      <c r="F905" t="s">
        <v>2214</v>
      </c>
      <c r="G905" t="s">
        <v>2499</v>
      </c>
      <c r="H905" t="s">
        <v>2548</v>
      </c>
      <c r="I905" t="s">
        <v>2556</v>
      </c>
      <c r="J905" s="1">
        <f>HYPERLINK("https://ec.europa.eu/info/funding-tenders/opportunities/portal/screen/how-to-participate/org-details/999561042", "999561042")</f>
        <v>0</v>
      </c>
      <c r="K905" t="s">
        <v>2566</v>
      </c>
      <c r="L905" t="s">
        <v>2810</v>
      </c>
      <c r="M905" t="s">
        <v>2966</v>
      </c>
      <c r="N905" t="b">
        <v>0</v>
      </c>
      <c r="O905" t="s">
        <v>3012</v>
      </c>
      <c r="P905" t="s">
        <v>3304</v>
      </c>
      <c r="Q905">
        <v>17</v>
      </c>
      <c r="R905" t="s">
        <v>3347</v>
      </c>
      <c r="T905" s="2">
        <v>0</v>
      </c>
      <c r="U905" s="2">
        <v>0</v>
      </c>
    </row>
    <row r="906" spans="1:21">
      <c r="A906" t="s">
        <v>23</v>
      </c>
      <c r="B906" s="1">
        <f>HYPERLINK("https://cordis.europa.eu/project/id/101122363", "101122363")</f>
        <v>0</v>
      </c>
      <c r="C906" t="s">
        <v>731</v>
      </c>
      <c r="D906" t="s">
        <v>1548</v>
      </c>
      <c r="E906" t="s">
        <v>2035</v>
      </c>
      <c r="F906" t="s">
        <v>2303</v>
      </c>
      <c r="G906" t="s">
        <v>2495</v>
      </c>
      <c r="H906" t="s">
        <v>2548</v>
      </c>
      <c r="I906" t="s">
        <v>2556</v>
      </c>
      <c r="J906" s="1">
        <f>HYPERLINK("https://ec.europa.eu/info/funding-tenders/opportunities/portal/screen/how-to-participate/org-details/998757203", "998757203")</f>
        <v>0</v>
      </c>
      <c r="K906" t="s">
        <v>2575</v>
      </c>
      <c r="L906" t="s">
        <v>2817</v>
      </c>
      <c r="M906" t="s">
        <v>2965</v>
      </c>
      <c r="N906" t="b">
        <v>0</v>
      </c>
      <c r="O906" t="s">
        <v>3012</v>
      </c>
      <c r="P906" t="s">
        <v>3305</v>
      </c>
      <c r="Q906">
        <v>10</v>
      </c>
      <c r="R906" t="s">
        <v>3347</v>
      </c>
      <c r="T906" s="2">
        <v>0</v>
      </c>
      <c r="U906" s="2">
        <v>0</v>
      </c>
    </row>
    <row r="907" spans="1:21">
      <c r="A907" t="s">
        <v>23</v>
      </c>
      <c r="B907" s="1">
        <f>HYPERLINK("https://cordis.europa.eu/project/id/101114765", "101114765")</f>
        <v>0</v>
      </c>
      <c r="C907" t="s">
        <v>732</v>
      </c>
      <c r="D907" t="s">
        <v>1549</v>
      </c>
      <c r="E907" t="s">
        <v>2036</v>
      </c>
      <c r="F907" t="s">
        <v>2303</v>
      </c>
      <c r="G907" t="s">
        <v>2393</v>
      </c>
      <c r="H907" t="s">
        <v>2548</v>
      </c>
      <c r="I907" t="s">
        <v>2556</v>
      </c>
      <c r="J907" s="1">
        <f>HYPERLINK("https://ec.europa.eu/info/funding-tenders/opportunities/portal/screen/how-to-participate/org-details/899059730", "899059730")</f>
        <v>0</v>
      </c>
      <c r="K907" t="s">
        <v>2784</v>
      </c>
      <c r="L907" t="s">
        <v>2954</v>
      </c>
      <c r="M907" t="s">
        <v>2968</v>
      </c>
      <c r="N907" t="b">
        <v>0</v>
      </c>
      <c r="O907" t="s">
        <v>3024</v>
      </c>
      <c r="P907" t="s">
        <v>3306</v>
      </c>
      <c r="Q907">
        <v>8</v>
      </c>
      <c r="R907" t="s">
        <v>3342</v>
      </c>
      <c r="S907" s="2">
        <v>99125</v>
      </c>
      <c r="T907" s="2">
        <v>99125</v>
      </c>
      <c r="U907" s="2">
        <v>99125</v>
      </c>
    </row>
    <row r="908" spans="1:21">
      <c r="A908" t="s">
        <v>23</v>
      </c>
      <c r="B908" s="1">
        <f>HYPERLINK("https://cordis.europa.eu/project/id/101081179", "101081179")</f>
        <v>0</v>
      </c>
      <c r="C908" t="s">
        <v>733</v>
      </c>
      <c r="D908" t="s">
        <v>1550</v>
      </c>
      <c r="E908" t="s">
        <v>2037</v>
      </c>
      <c r="F908" t="s">
        <v>2307</v>
      </c>
      <c r="G908" t="s">
        <v>2531</v>
      </c>
      <c r="H908" t="s">
        <v>2548</v>
      </c>
      <c r="I908" t="s">
        <v>2556</v>
      </c>
      <c r="J908" s="1">
        <f>HYPERLINK("https://ec.europa.eu/info/funding-tenders/opportunities/portal/screen/how-to-participate/org-details/889747439", "889747439")</f>
        <v>0</v>
      </c>
      <c r="K908" t="s">
        <v>2785</v>
      </c>
      <c r="M908" t="s">
        <v>2967</v>
      </c>
      <c r="N908" t="b">
        <v>0</v>
      </c>
      <c r="O908" t="s">
        <v>3012</v>
      </c>
      <c r="P908" t="s">
        <v>3283</v>
      </c>
      <c r="Q908">
        <v>12</v>
      </c>
      <c r="R908" t="s">
        <v>3342</v>
      </c>
      <c r="S908" s="2">
        <v>137500</v>
      </c>
      <c r="T908" s="2">
        <v>137500</v>
      </c>
      <c r="U908" s="2">
        <v>137500</v>
      </c>
    </row>
    <row r="909" spans="1:21">
      <c r="A909" t="s">
        <v>23</v>
      </c>
      <c r="B909" s="1">
        <f>HYPERLINK("https://cordis.europa.eu/project/id/101138411", "101138411")</f>
        <v>0</v>
      </c>
      <c r="C909" t="s">
        <v>734</v>
      </c>
      <c r="D909" t="s">
        <v>1551</v>
      </c>
      <c r="E909" t="s">
        <v>2038</v>
      </c>
      <c r="F909" t="s">
        <v>2302</v>
      </c>
      <c r="G909" t="s">
        <v>2535</v>
      </c>
      <c r="H909" t="s">
        <v>2554</v>
      </c>
      <c r="I909" t="s">
        <v>2562</v>
      </c>
      <c r="J909" s="1">
        <f>HYPERLINK("https://ec.europa.eu/info/funding-tenders/opportunities/portal/screen/how-to-participate/org-details/882327909", "882327909")</f>
        <v>0</v>
      </c>
      <c r="K909" t="s">
        <v>2786</v>
      </c>
      <c r="M909" t="s">
        <v>2967</v>
      </c>
      <c r="N909" t="b">
        <v>0</v>
      </c>
      <c r="O909" t="s">
        <v>3013</v>
      </c>
      <c r="P909" t="s">
        <v>3277</v>
      </c>
      <c r="Q909">
        <v>7</v>
      </c>
      <c r="R909" t="s">
        <v>3342</v>
      </c>
      <c r="S909" s="2">
        <v>4765775</v>
      </c>
      <c r="T909" s="2">
        <v>4765775</v>
      </c>
      <c r="U909" s="2">
        <v>6808250</v>
      </c>
    </row>
    <row r="910" spans="1:21">
      <c r="A910" t="s">
        <v>23</v>
      </c>
      <c r="B910" s="1">
        <f>HYPERLINK("https://cordis.europa.eu/project/id/101046651", "101046651")</f>
        <v>0</v>
      </c>
      <c r="C910" t="s">
        <v>735</v>
      </c>
      <c r="D910" t="s">
        <v>1552</v>
      </c>
      <c r="E910" t="s">
        <v>2039</v>
      </c>
      <c r="F910" t="s">
        <v>2214</v>
      </c>
      <c r="G910" t="s">
        <v>2499</v>
      </c>
      <c r="H910" t="s">
        <v>2548</v>
      </c>
      <c r="I910" t="s">
        <v>2556</v>
      </c>
      <c r="J910" s="1">
        <f>HYPERLINK("https://ec.europa.eu/info/funding-tenders/opportunities/portal/screen/how-to-participate/org-details/968750253", "968750253")</f>
        <v>0</v>
      </c>
      <c r="K910" t="s">
        <v>2656</v>
      </c>
      <c r="L910" t="s">
        <v>2882</v>
      </c>
      <c r="M910" t="s">
        <v>2965</v>
      </c>
      <c r="N910" t="b">
        <v>0</v>
      </c>
      <c r="O910" t="s">
        <v>3025</v>
      </c>
      <c r="P910" t="s">
        <v>3307</v>
      </c>
      <c r="Q910">
        <v>7</v>
      </c>
      <c r="R910" t="s">
        <v>3347</v>
      </c>
      <c r="T910" s="2">
        <v>0</v>
      </c>
    </row>
    <row r="911" spans="1:21">
      <c r="A911" t="s">
        <v>23</v>
      </c>
      <c r="B911" s="1">
        <f>HYPERLINK("https://cordis.europa.eu/project/id/101099596", "101099596")</f>
        <v>0</v>
      </c>
      <c r="C911" t="s">
        <v>736</v>
      </c>
      <c r="D911" t="s">
        <v>1553</v>
      </c>
      <c r="E911" t="s">
        <v>2040</v>
      </c>
      <c r="F911" t="s">
        <v>2298</v>
      </c>
      <c r="G911" t="s">
        <v>2534</v>
      </c>
      <c r="H911" t="s">
        <v>2548</v>
      </c>
      <c r="I911" t="s">
        <v>2556</v>
      </c>
      <c r="J911" s="1">
        <f>HYPERLINK("https://ec.europa.eu/info/funding-tenders/opportunities/portal/screen/how-to-participate/org-details/998225740", "998225740")</f>
        <v>0</v>
      </c>
      <c r="K911" t="s">
        <v>2637</v>
      </c>
      <c r="M911" t="s">
        <v>2965</v>
      </c>
      <c r="N911" t="b">
        <v>0</v>
      </c>
      <c r="O911" t="s">
        <v>3025</v>
      </c>
      <c r="P911" t="s">
        <v>3308</v>
      </c>
      <c r="Q911">
        <v>10</v>
      </c>
      <c r="R911" t="s">
        <v>3347</v>
      </c>
      <c r="T911" s="2">
        <v>0</v>
      </c>
      <c r="U911" s="2">
        <v>0</v>
      </c>
    </row>
    <row r="912" spans="1:21">
      <c r="A912" t="s">
        <v>23</v>
      </c>
      <c r="B912" s="1">
        <f>HYPERLINK("https://cordis.europa.eu/project/id/101135775", "101135775")</f>
        <v>0</v>
      </c>
      <c r="C912" t="s">
        <v>737</v>
      </c>
      <c r="D912" t="s">
        <v>1554</v>
      </c>
      <c r="E912" t="s">
        <v>2041</v>
      </c>
      <c r="F912" t="s">
        <v>2305</v>
      </c>
      <c r="G912" t="s">
        <v>2534</v>
      </c>
      <c r="H912" t="s">
        <v>2548</v>
      </c>
      <c r="I912" t="s">
        <v>2556</v>
      </c>
      <c r="J912" s="1">
        <f>HYPERLINK("https://ec.europa.eu/info/funding-tenders/opportunities/portal/screen/how-to-participate/org-details/999845252", "999845252")</f>
        <v>0</v>
      </c>
      <c r="K912" t="s">
        <v>2687</v>
      </c>
      <c r="L912" t="s">
        <v>2908</v>
      </c>
      <c r="M912" t="s">
        <v>2965</v>
      </c>
      <c r="N912" t="b">
        <v>0</v>
      </c>
      <c r="O912" t="s">
        <v>3012</v>
      </c>
      <c r="P912" t="s">
        <v>3309</v>
      </c>
      <c r="Q912">
        <v>25</v>
      </c>
      <c r="R912" t="s">
        <v>3347</v>
      </c>
      <c r="T912" s="2">
        <v>0</v>
      </c>
      <c r="U912" s="2">
        <v>0</v>
      </c>
    </row>
    <row r="913" spans="1:21">
      <c r="A913" t="s">
        <v>23</v>
      </c>
      <c r="B913" s="1">
        <f>HYPERLINK("https://cordis.europa.eu/project/id/101119590", "101119590")</f>
        <v>0</v>
      </c>
      <c r="C913" t="s">
        <v>738</v>
      </c>
      <c r="D913" t="s">
        <v>1555</v>
      </c>
      <c r="E913" t="s">
        <v>2042</v>
      </c>
      <c r="F913" t="s">
        <v>2293</v>
      </c>
      <c r="G913" t="s">
        <v>2537</v>
      </c>
      <c r="H913" t="s">
        <v>2548</v>
      </c>
      <c r="I913" t="s">
        <v>2556</v>
      </c>
      <c r="J913" s="1">
        <f>HYPERLINK("https://ec.europa.eu/info/funding-tenders/opportunities/portal/screen/how-to-participate/org-details/888621269", "888621269")</f>
        <v>0</v>
      </c>
      <c r="K913" t="s">
        <v>2787</v>
      </c>
      <c r="L913" t="s">
        <v>2955</v>
      </c>
      <c r="M913" t="s">
        <v>2966</v>
      </c>
      <c r="N913" t="b">
        <v>1</v>
      </c>
      <c r="O913" t="s">
        <v>3026</v>
      </c>
      <c r="P913" t="s">
        <v>3294</v>
      </c>
      <c r="Q913">
        <v>14</v>
      </c>
      <c r="R913" t="s">
        <v>3347</v>
      </c>
      <c r="T913" s="2">
        <v>0</v>
      </c>
      <c r="U913" s="2">
        <v>0</v>
      </c>
    </row>
    <row r="914" spans="1:21">
      <c r="A914" t="s">
        <v>23</v>
      </c>
      <c r="B914" s="1">
        <f>HYPERLINK("https://cordis.europa.eu/project/id/101131117", "101131117")</f>
        <v>0</v>
      </c>
      <c r="C914" t="s">
        <v>739</v>
      </c>
      <c r="D914" t="s">
        <v>1556</v>
      </c>
      <c r="E914" t="s">
        <v>2043</v>
      </c>
      <c r="F914" t="s">
        <v>2283</v>
      </c>
      <c r="G914" t="s">
        <v>2516</v>
      </c>
      <c r="H914" t="s">
        <v>2548</v>
      </c>
      <c r="I914" t="s">
        <v>2556</v>
      </c>
      <c r="J914" s="1">
        <f>HYPERLINK("https://ec.europa.eu/info/funding-tenders/opportunities/portal/screen/how-to-participate/org-details/999894043", "999894043")</f>
        <v>0</v>
      </c>
      <c r="K914" t="s">
        <v>2568</v>
      </c>
      <c r="L914" t="s">
        <v>2812</v>
      </c>
      <c r="M914" t="s">
        <v>2965</v>
      </c>
      <c r="N914" t="b">
        <v>0</v>
      </c>
      <c r="O914" t="s">
        <v>3014</v>
      </c>
      <c r="P914" t="s">
        <v>3278</v>
      </c>
      <c r="Q914">
        <v>11</v>
      </c>
      <c r="R914" t="s">
        <v>3347</v>
      </c>
      <c r="T914" s="2">
        <v>0</v>
      </c>
    </row>
    <row r="915" spans="1:21">
      <c r="A915" t="s">
        <v>23</v>
      </c>
      <c r="B915" s="1">
        <f>HYPERLINK("https://cordis.europa.eu/project/id/101136728", "101136728")</f>
        <v>0</v>
      </c>
      <c r="C915" t="s">
        <v>740</v>
      </c>
      <c r="D915" t="s">
        <v>1557</v>
      </c>
      <c r="E915" t="s">
        <v>2044</v>
      </c>
      <c r="F915" t="s">
        <v>2283</v>
      </c>
      <c r="G915" t="s">
        <v>2515</v>
      </c>
      <c r="H915" t="s">
        <v>2549</v>
      </c>
      <c r="I915" t="s">
        <v>2557</v>
      </c>
      <c r="J915" s="1">
        <f>HYPERLINK("https://ec.europa.eu/info/funding-tenders/opportunities/portal/screen/how-to-participate/org-details/999613131", "999613131")</f>
        <v>0</v>
      </c>
      <c r="K915" t="s">
        <v>2591</v>
      </c>
      <c r="L915" t="s">
        <v>2831</v>
      </c>
      <c r="M915" t="s">
        <v>2965</v>
      </c>
      <c r="N915" t="b">
        <v>0</v>
      </c>
      <c r="O915" t="s">
        <v>3012</v>
      </c>
      <c r="P915" t="s">
        <v>3310</v>
      </c>
      <c r="Q915">
        <v>2</v>
      </c>
      <c r="R915" t="s">
        <v>3342</v>
      </c>
      <c r="S915" s="2">
        <v>1679000</v>
      </c>
      <c r="T915" s="2">
        <v>1679000</v>
      </c>
      <c r="U915" s="2">
        <v>1679000</v>
      </c>
    </row>
    <row r="916" spans="1:21">
      <c r="A916" t="s">
        <v>23</v>
      </c>
      <c r="B916" s="1">
        <f>HYPERLINK("https://cordis.europa.eu/project/id/101120556", "101120556")</f>
        <v>0</v>
      </c>
      <c r="C916" t="s">
        <v>741</v>
      </c>
      <c r="D916" t="s">
        <v>1558</v>
      </c>
      <c r="E916" t="s">
        <v>2045</v>
      </c>
      <c r="F916" t="s">
        <v>2295</v>
      </c>
      <c r="G916" t="s">
        <v>2519</v>
      </c>
      <c r="H916" t="s">
        <v>2548</v>
      </c>
      <c r="I916" t="s">
        <v>2556</v>
      </c>
      <c r="J916" s="1">
        <f>HYPERLINK("https://ec.europa.eu/info/funding-tenders/opportunities/portal/screen/how-to-participate/org-details/884493143", "884493143")</f>
        <v>0</v>
      </c>
      <c r="K916" t="s">
        <v>2788</v>
      </c>
      <c r="L916" t="s">
        <v>2956</v>
      </c>
      <c r="M916" t="s">
        <v>2967</v>
      </c>
      <c r="N916" t="b">
        <v>0</v>
      </c>
      <c r="O916" t="s">
        <v>3020</v>
      </c>
      <c r="P916" t="s">
        <v>3294</v>
      </c>
      <c r="Q916">
        <v>8</v>
      </c>
      <c r="R916" t="s">
        <v>3347</v>
      </c>
      <c r="T916" s="2">
        <v>0</v>
      </c>
      <c r="U916" s="2">
        <v>0</v>
      </c>
    </row>
    <row r="917" spans="1:21">
      <c r="A917" t="s">
        <v>23</v>
      </c>
      <c r="B917" s="1">
        <f>HYPERLINK("https://cordis.europa.eu/project/id/101130384", "101130384")</f>
        <v>0</v>
      </c>
      <c r="C917" t="s">
        <v>742</v>
      </c>
      <c r="D917" t="s">
        <v>1559</v>
      </c>
      <c r="E917" t="s">
        <v>2010</v>
      </c>
      <c r="F917" t="s">
        <v>2305</v>
      </c>
      <c r="G917" t="s">
        <v>2523</v>
      </c>
      <c r="H917" t="s">
        <v>2548</v>
      </c>
      <c r="I917" t="s">
        <v>2556</v>
      </c>
      <c r="J917" s="1">
        <f>HYPERLINK("https://ec.europa.eu/info/funding-tenders/opportunities/portal/screen/how-to-participate/org-details/997292018", "997292018")</f>
        <v>0</v>
      </c>
      <c r="K917" t="s">
        <v>2606</v>
      </c>
      <c r="L917" t="s">
        <v>2841</v>
      </c>
      <c r="M917" t="s">
        <v>2965</v>
      </c>
      <c r="N917" t="b">
        <v>0</v>
      </c>
      <c r="O917" t="s">
        <v>3025</v>
      </c>
      <c r="P917" t="s">
        <v>3311</v>
      </c>
      <c r="Q917">
        <v>8</v>
      </c>
      <c r="R917" t="s">
        <v>3347</v>
      </c>
      <c r="T917" s="2">
        <v>0</v>
      </c>
    </row>
    <row r="918" spans="1:21">
      <c r="A918" t="s">
        <v>23</v>
      </c>
      <c r="B918" s="1">
        <f>HYPERLINK("https://cordis.europa.eu/project/id/101120360", "101120360")</f>
        <v>0</v>
      </c>
      <c r="C918" t="s">
        <v>743</v>
      </c>
      <c r="D918" t="s">
        <v>1560</v>
      </c>
      <c r="E918" t="s">
        <v>2046</v>
      </c>
      <c r="F918" t="s">
        <v>2283</v>
      </c>
      <c r="G918" t="s">
        <v>2516</v>
      </c>
      <c r="H918" t="s">
        <v>2548</v>
      </c>
      <c r="I918" t="s">
        <v>2556</v>
      </c>
      <c r="J918" s="1">
        <f>HYPERLINK("https://ec.europa.eu/info/funding-tenders/opportunities/portal/screen/how-to-participate/org-details/998333507", "998333507")</f>
        <v>0</v>
      </c>
      <c r="K918" t="s">
        <v>2627</v>
      </c>
      <c r="L918" t="s">
        <v>2858</v>
      </c>
      <c r="M918" t="s">
        <v>2966</v>
      </c>
      <c r="N918" t="b">
        <v>0</v>
      </c>
      <c r="O918" t="s">
        <v>3020</v>
      </c>
      <c r="P918" t="s">
        <v>3294</v>
      </c>
      <c r="Q918">
        <v>10</v>
      </c>
      <c r="R918" t="s">
        <v>3347</v>
      </c>
      <c r="T918" s="2">
        <v>0</v>
      </c>
      <c r="U918" s="2">
        <v>0</v>
      </c>
    </row>
    <row r="919" spans="1:21">
      <c r="A919" t="s">
        <v>23</v>
      </c>
      <c r="B919" s="1">
        <f>HYPERLINK("https://cordis.europa.eu/project/id/101061550", "101061550")</f>
        <v>0</v>
      </c>
      <c r="C919" t="s">
        <v>744</v>
      </c>
      <c r="D919" t="s">
        <v>1561</v>
      </c>
      <c r="E919" t="s">
        <v>2047</v>
      </c>
      <c r="F919" t="s">
        <v>2294</v>
      </c>
      <c r="G919" t="s">
        <v>2500</v>
      </c>
      <c r="H919" t="s">
        <v>2548</v>
      </c>
      <c r="I919" t="s">
        <v>2556</v>
      </c>
      <c r="J919" s="1">
        <f>HYPERLINK("https://ec.europa.eu/info/funding-tenders/opportunities/portal/screen/how-to-participate/org-details/889338875", "889338875")</f>
        <v>0</v>
      </c>
      <c r="K919" t="s">
        <v>2789</v>
      </c>
      <c r="L919" t="s">
        <v>2789</v>
      </c>
      <c r="M919" t="s">
        <v>2966</v>
      </c>
      <c r="N919" t="b">
        <v>0</v>
      </c>
      <c r="O919" t="s">
        <v>3012</v>
      </c>
      <c r="P919" t="s">
        <v>3312</v>
      </c>
      <c r="Q919">
        <v>11</v>
      </c>
      <c r="R919" t="s">
        <v>3347</v>
      </c>
      <c r="T919" s="2">
        <v>0</v>
      </c>
    </row>
    <row r="920" spans="1:21">
      <c r="A920" t="s">
        <v>23</v>
      </c>
      <c r="B920" s="1">
        <f>HYPERLINK("https://cordis.europa.eu/project/id/101073506", "101073506")</f>
        <v>0</v>
      </c>
      <c r="C920" t="s">
        <v>745</v>
      </c>
      <c r="D920" t="s">
        <v>1562</v>
      </c>
      <c r="E920" t="s">
        <v>2048</v>
      </c>
      <c r="F920" t="s">
        <v>2277</v>
      </c>
      <c r="G920" t="s">
        <v>2532</v>
      </c>
      <c r="H920" t="s">
        <v>2548</v>
      </c>
      <c r="I920" t="s">
        <v>2556</v>
      </c>
      <c r="J920" s="1">
        <f>HYPERLINK("https://ec.europa.eu/info/funding-tenders/opportunities/portal/screen/how-to-participate/org-details/915701050", "915701050")</f>
        <v>0</v>
      </c>
      <c r="K920" t="s">
        <v>2790</v>
      </c>
      <c r="L920" t="s">
        <v>2790</v>
      </c>
      <c r="M920" t="s">
        <v>2969</v>
      </c>
      <c r="N920" t="b">
        <v>0</v>
      </c>
      <c r="O920" t="s">
        <v>3020</v>
      </c>
      <c r="P920" t="s">
        <v>3313</v>
      </c>
      <c r="Q920">
        <v>22</v>
      </c>
      <c r="R920" t="s">
        <v>3347</v>
      </c>
      <c r="T920" s="2">
        <v>0</v>
      </c>
    </row>
    <row r="921" spans="1:21">
      <c r="A921" t="s">
        <v>23</v>
      </c>
      <c r="B921" s="1">
        <f>HYPERLINK("https://cordis.europa.eu/project/id/101065820", "101065820")</f>
        <v>0</v>
      </c>
      <c r="C921" t="s">
        <v>746</v>
      </c>
      <c r="D921" t="s">
        <v>1563</v>
      </c>
      <c r="E921" t="s">
        <v>2048</v>
      </c>
      <c r="F921" t="s">
        <v>2308</v>
      </c>
      <c r="G921" t="s">
        <v>2538</v>
      </c>
      <c r="H921" t="s">
        <v>2548</v>
      </c>
      <c r="I921" t="s">
        <v>2556</v>
      </c>
      <c r="J921" s="1">
        <f>HYPERLINK("https://ec.europa.eu/info/funding-tenders/opportunities/portal/screen/how-to-participate/org-details/998075972", "998075972")</f>
        <v>0</v>
      </c>
      <c r="K921" t="s">
        <v>2664</v>
      </c>
      <c r="L921" t="s">
        <v>2889</v>
      </c>
      <c r="M921" t="s">
        <v>2969</v>
      </c>
      <c r="N921" t="b">
        <v>0</v>
      </c>
      <c r="O921" t="s">
        <v>3016</v>
      </c>
      <c r="P921" t="s">
        <v>3295</v>
      </c>
      <c r="Q921">
        <v>2</v>
      </c>
      <c r="R921" t="s">
        <v>3347</v>
      </c>
      <c r="T921" s="2">
        <v>0</v>
      </c>
    </row>
    <row r="922" spans="1:21">
      <c r="A922" t="s">
        <v>23</v>
      </c>
      <c r="B922" s="1">
        <f>HYPERLINK("https://cordis.europa.eu/project/id/101066659", "101066659")</f>
        <v>0</v>
      </c>
      <c r="C922" t="s">
        <v>747</v>
      </c>
      <c r="D922" t="s">
        <v>1564</v>
      </c>
      <c r="E922" t="s">
        <v>2049</v>
      </c>
      <c r="F922" t="s">
        <v>2294</v>
      </c>
      <c r="G922" t="s">
        <v>2500</v>
      </c>
      <c r="H922" t="s">
        <v>2548</v>
      </c>
      <c r="I922" t="s">
        <v>2556</v>
      </c>
      <c r="J922" s="1">
        <f>HYPERLINK("https://ec.europa.eu/info/funding-tenders/opportunities/portal/screen/how-to-participate/org-details/988059752", "988059752")</f>
        <v>0</v>
      </c>
      <c r="K922" t="s">
        <v>2564</v>
      </c>
      <c r="L922" t="s">
        <v>2809</v>
      </c>
      <c r="M922" t="s">
        <v>2965</v>
      </c>
      <c r="N922" t="b">
        <v>0</v>
      </c>
      <c r="O922" t="s">
        <v>3016</v>
      </c>
      <c r="P922" t="s">
        <v>3295</v>
      </c>
      <c r="Q922">
        <v>2</v>
      </c>
      <c r="R922" t="s">
        <v>3347</v>
      </c>
      <c r="T922" s="2">
        <v>0</v>
      </c>
    </row>
    <row r="923" spans="1:21">
      <c r="A923" t="s">
        <v>23</v>
      </c>
      <c r="B923" s="1">
        <f>HYPERLINK("https://cordis.europa.eu/project/id/101083671", "101083671")</f>
        <v>0</v>
      </c>
      <c r="C923" t="s">
        <v>748</v>
      </c>
      <c r="D923" t="s">
        <v>1565</v>
      </c>
      <c r="E923" t="s">
        <v>1987</v>
      </c>
      <c r="F923" t="s">
        <v>2283</v>
      </c>
      <c r="G923" t="s">
        <v>2515</v>
      </c>
      <c r="H923" t="s">
        <v>2548</v>
      </c>
      <c r="I923" t="s">
        <v>2556</v>
      </c>
      <c r="J923" s="1">
        <f>HYPERLINK("https://ec.europa.eu/info/funding-tenders/opportunities/portal/screen/how-to-participate/org-details/997292018", "997292018")</f>
        <v>0</v>
      </c>
      <c r="K923" t="s">
        <v>2606</v>
      </c>
      <c r="L923" t="s">
        <v>2841</v>
      </c>
      <c r="M923" t="s">
        <v>2965</v>
      </c>
      <c r="N923" t="b">
        <v>0</v>
      </c>
      <c r="O923" t="s">
        <v>3012</v>
      </c>
      <c r="P923" t="s">
        <v>3314</v>
      </c>
      <c r="Q923">
        <v>17</v>
      </c>
      <c r="R923" t="s">
        <v>3347</v>
      </c>
      <c r="T923" s="2">
        <v>0</v>
      </c>
      <c r="U923" s="2">
        <v>0</v>
      </c>
    </row>
    <row r="924" spans="1:21">
      <c r="A924" t="s">
        <v>23</v>
      </c>
      <c r="B924" s="1">
        <f>HYPERLINK("https://cordis.europa.eu/project/id/101135070", "101135070")</f>
        <v>0</v>
      </c>
      <c r="C924" t="s">
        <v>749</v>
      </c>
      <c r="D924" t="s">
        <v>1566</v>
      </c>
      <c r="E924" t="s">
        <v>2050</v>
      </c>
      <c r="F924" t="s">
        <v>2283</v>
      </c>
      <c r="G924" t="s">
        <v>2516</v>
      </c>
      <c r="H924" t="s">
        <v>2548</v>
      </c>
      <c r="I924" t="s">
        <v>2556</v>
      </c>
      <c r="J924" s="1">
        <f>HYPERLINK("https://ec.europa.eu/info/funding-tenders/opportunities/portal/screen/how-to-participate/org-details/998082180", "998082180")</f>
        <v>0</v>
      </c>
      <c r="K924" t="s">
        <v>2565</v>
      </c>
      <c r="M924" t="s">
        <v>2965</v>
      </c>
      <c r="N924" t="b">
        <v>0</v>
      </c>
      <c r="O924" t="s">
        <v>3013</v>
      </c>
      <c r="P924" t="s">
        <v>3315</v>
      </c>
      <c r="Q924">
        <v>15</v>
      </c>
      <c r="R924" t="s">
        <v>3347</v>
      </c>
      <c r="T924" s="2">
        <v>0</v>
      </c>
      <c r="U924" s="2">
        <v>0</v>
      </c>
    </row>
    <row r="925" spans="1:21">
      <c r="A925" t="s">
        <v>23</v>
      </c>
      <c r="B925" s="1">
        <f>HYPERLINK("https://cordis.europa.eu/project/id/101122303", "101122303")</f>
        <v>0</v>
      </c>
      <c r="C925" t="s">
        <v>750</v>
      </c>
      <c r="D925" t="s">
        <v>1567</v>
      </c>
      <c r="E925" t="s">
        <v>2051</v>
      </c>
      <c r="F925" t="s">
        <v>2295</v>
      </c>
      <c r="G925" t="s">
        <v>2398</v>
      </c>
      <c r="H925" t="s">
        <v>2548</v>
      </c>
      <c r="I925" t="s">
        <v>2556</v>
      </c>
      <c r="J925" s="1">
        <f>HYPERLINK("https://ec.europa.eu/info/funding-tenders/opportunities/portal/screen/how-to-participate/org-details/998083247", "998083247")</f>
        <v>0</v>
      </c>
      <c r="K925" t="s">
        <v>2605</v>
      </c>
      <c r="M925" t="s">
        <v>2965</v>
      </c>
      <c r="N925" t="b">
        <v>0</v>
      </c>
      <c r="O925" t="s">
        <v>3012</v>
      </c>
      <c r="P925" t="s">
        <v>3305</v>
      </c>
      <c r="Q925">
        <v>16</v>
      </c>
      <c r="R925" t="s">
        <v>3347</v>
      </c>
      <c r="T925" s="2">
        <v>0</v>
      </c>
    </row>
    <row r="926" spans="1:21">
      <c r="A926" t="s">
        <v>23</v>
      </c>
      <c r="B926" s="1">
        <f>HYPERLINK("https://cordis.europa.eu/project/id/101059492", "101059492")</f>
        <v>0</v>
      </c>
      <c r="C926" t="s">
        <v>751</v>
      </c>
      <c r="D926" t="s">
        <v>1568</v>
      </c>
      <c r="E926" t="s">
        <v>2007</v>
      </c>
      <c r="F926" t="s">
        <v>2214</v>
      </c>
      <c r="G926" t="s">
        <v>2393</v>
      </c>
      <c r="H926" t="s">
        <v>2548</v>
      </c>
      <c r="I926" t="s">
        <v>2556</v>
      </c>
      <c r="J926" s="1">
        <f>HYPERLINK("https://ec.europa.eu/info/funding-tenders/opportunities/portal/screen/how-to-participate/org-details/889656453", "889656453")</f>
        <v>0</v>
      </c>
      <c r="K926" t="s">
        <v>2791</v>
      </c>
      <c r="L926" t="s">
        <v>2957</v>
      </c>
      <c r="M926" t="s">
        <v>2966</v>
      </c>
      <c r="N926" t="b">
        <v>0</v>
      </c>
      <c r="O926" t="s">
        <v>3012</v>
      </c>
      <c r="P926" t="s">
        <v>3282</v>
      </c>
      <c r="Q926">
        <v>25</v>
      </c>
      <c r="R926" t="s">
        <v>3347</v>
      </c>
      <c r="T926" s="2">
        <v>0</v>
      </c>
      <c r="U926" s="2">
        <v>0</v>
      </c>
    </row>
    <row r="927" spans="1:21">
      <c r="A927" t="s">
        <v>23</v>
      </c>
      <c r="B927" s="1">
        <f>HYPERLINK("https://cordis.europa.eu/project/id/101106820", "101106820")</f>
        <v>0</v>
      </c>
      <c r="C927" t="s">
        <v>752</v>
      </c>
      <c r="D927" t="s">
        <v>1569</v>
      </c>
      <c r="E927" t="s">
        <v>2052</v>
      </c>
      <c r="F927" t="s">
        <v>2290</v>
      </c>
      <c r="G927" t="s">
        <v>2536</v>
      </c>
      <c r="H927" t="s">
        <v>2548</v>
      </c>
      <c r="I927" t="s">
        <v>2556</v>
      </c>
      <c r="J927" s="1">
        <f>HYPERLINK("https://ec.europa.eu/info/funding-tenders/opportunities/portal/screen/how-to-participate/org-details/898213114", "898213114")</f>
        <v>0</v>
      </c>
      <c r="K927" t="s">
        <v>2792</v>
      </c>
      <c r="M927" t="s">
        <v>2969</v>
      </c>
      <c r="N927" t="b">
        <v>0</v>
      </c>
      <c r="O927" t="s">
        <v>3016</v>
      </c>
      <c r="P927" t="s">
        <v>3279</v>
      </c>
      <c r="Q927">
        <v>2</v>
      </c>
      <c r="R927" t="s">
        <v>3347</v>
      </c>
      <c r="T927" s="2">
        <v>0</v>
      </c>
    </row>
    <row r="928" spans="1:21">
      <c r="A928" t="s">
        <v>23</v>
      </c>
      <c r="B928" s="1">
        <f>HYPERLINK("https://cordis.europa.eu/project/id/101125250", "101125250")</f>
        <v>0</v>
      </c>
      <c r="C928" t="s">
        <v>753</v>
      </c>
      <c r="D928" t="s">
        <v>1570</v>
      </c>
      <c r="E928" t="s">
        <v>2053</v>
      </c>
      <c r="F928" t="s">
        <v>2293</v>
      </c>
      <c r="G928" t="s">
        <v>2524</v>
      </c>
      <c r="H928" t="s">
        <v>2548</v>
      </c>
      <c r="I928" t="s">
        <v>2556</v>
      </c>
      <c r="J928" s="1">
        <f>HYPERLINK("https://ec.europa.eu/info/funding-tenders/opportunities/portal/screen/how-to-participate/org-details/903874616", "903874616")</f>
        <v>0</v>
      </c>
      <c r="K928" t="s">
        <v>2793</v>
      </c>
      <c r="M928" t="s">
        <v>2966</v>
      </c>
      <c r="N928" t="b">
        <v>1</v>
      </c>
      <c r="O928" t="s">
        <v>3017</v>
      </c>
      <c r="P928" t="s">
        <v>3281</v>
      </c>
      <c r="Q928">
        <v>21</v>
      </c>
      <c r="R928" t="s">
        <v>3347</v>
      </c>
      <c r="T928" s="2">
        <v>0</v>
      </c>
    </row>
    <row r="929" spans="1:21">
      <c r="A929" t="s">
        <v>23</v>
      </c>
      <c r="B929" s="1">
        <f>HYPERLINK("https://cordis.europa.eu/project/id/101131612", "101131612")</f>
        <v>0</v>
      </c>
      <c r="C929" t="s">
        <v>754</v>
      </c>
      <c r="D929" t="s">
        <v>1571</v>
      </c>
      <c r="E929" t="s">
        <v>2054</v>
      </c>
      <c r="F929" t="s">
        <v>2293</v>
      </c>
      <c r="G929" t="s">
        <v>2537</v>
      </c>
      <c r="H929" t="s">
        <v>2548</v>
      </c>
      <c r="I929" t="s">
        <v>2556</v>
      </c>
      <c r="J929" s="1">
        <f>HYPERLINK("https://ec.europa.eu/info/funding-tenders/opportunities/portal/screen/how-to-participate/org-details/999845252", "999845252")</f>
        <v>0</v>
      </c>
      <c r="K929" t="s">
        <v>2687</v>
      </c>
      <c r="L929" t="s">
        <v>2908</v>
      </c>
      <c r="M929" t="s">
        <v>2965</v>
      </c>
      <c r="N929" t="b">
        <v>0</v>
      </c>
      <c r="O929" t="s">
        <v>3014</v>
      </c>
      <c r="P929" t="s">
        <v>3278</v>
      </c>
      <c r="Q929">
        <v>8</v>
      </c>
      <c r="R929" t="s">
        <v>3347</v>
      </c>
      <c r="T929" s="2">
        <v>0</v>
      </c>
    </row>
    <row r="930" spans="1:21">
      <c r="A930" t="s">
        <v>23</v>
      </c>
      <c r="B930" s="1">
        <f>HYPERLINK("https://cordis.europa.eu/project/id/101059794", "101059794")</f>
        <v>0</v>
      </c>
      <c r="C930" t="s">
        <v>755</v>
      </c>
      <c r="D930" t="s">
        <v>1572</v>
      </c>
      <c r="E930" t="s">
        <v>2007</v>
      </c>
      <c r="F930" t="s">
        <v>2297</v>
      </c>
      <c r="G930" t="s">
        <v>2494</v>
      </c>
      <c r="H930" t="s">
        <v>2548</v>
      </c>
      <c r="I930" t="s">
        <v>2556</v>
      </c>
      <c r="J930" s="1">
        <f>HYPERLINK("https://ec.europa.eu/info/funding-tenders/opportunities/portal/screen/how-to-participate/org-details/922348072", "922348072")</f>
        <v>0</v>
      </c>
      <c r="K930" t="s">
        <v>2794</v>
      </c>
      <c r="L930" t="s">
        <v>2958</v>
      </c>
      <c r="M930" t="s">
        <v>2967</v>
      </c>
      <c r="N930" t="b">
        <v>0</v>
      </c>
      <c r="O930" t="s">
        <v>3012</v>
      </c>
      <c r="P930" t="s">
        <v>3296</v>
      </c>
      <c r="Q930">
        <v>24</v>
      </c>
      <c r="R930" t="s">
        <v>3347</v>
      </c>
      <c r="T930" s="2">
        <v>0</v>
      </c>
      <c r="U930" s="2">
        <v>0</v>
      </c>
    </row>
    <row r="931" spans="1:21">
      <c r="A931" t="s">
        <v>23</v>
      </c>
      <c r="B931" s="1">
        <f>HYPERLINK("https://cordis.europa.eu/project/id/101061677", "101061677")</f>
        <v>0</v>
      </c>
      <c r="C931" t="s">
        <v>756</v>
      </c>
      <c r="D931" t="s">
        <v>1573</v>
      </c>
      <c r="E931" t="s">
        <v>2007</v>
      </c>
      <c r="F931" t="s">
        <v>2203</v>
      </c>
      <c r="G931" t="s">
        <v>2539</v>
      </c>
      <c r="H931" t="s">
        <v>2548</v>
      </c>
      <c r="I931" t="s">
        <v>2556</v>
      </c>
      <c r="J931" s="1">
        <f>HYPERLINK("https://ec.europa.eu/info/funding-tenders/opportunities/portal/screen/how-to-participate/org-details/889083377", "889083377")</f>
        <v>0</v>
      </c>
      <c r="K931" t="s">
        <v>2795</v>
      </c>
      <c r="L931" t="s">
        <v>2795</v>
      </c>
      <c r="M931" t="s">
        <v>2965</v>
      </c>
      <c r="N931" t="b">
        <v>1</v>
      </c>
      <c r="O931" t="s">
        <v>3027</v>
      </c>
      <c r="P931" t="s">
        <v>3316</v>
      </c>
      <c r="Q931">
        <v>45</v>
      </c>
      <c r="R931" t="s">
        <v>3347</v>
      </c>
      <c r="T931" s="2">
        <v>0</v>
      </c>
      <c r="U931" s="2">
        <v>0</v>
      </c>
    </row>
    <row r="932" spans="1:21">
      <c r="A932" t="s">
        <v>23</v>
      </c>
      <c r="B932" s="1">
        <f>HYPERLINK("https://cordis.europa.eu/project/id/101137270", "101137270")</f>
        <v>0</v>
      </c>
      <c r="C932" t="s">
        <v>757</v>
      </c>
      <c r="D932" t="s">
        <v>1574</v>
      </c>
      <c r="E932" t="s">
        <v>2055</v>
      </c>
      <c r="F932" t="s">
        <v>2283</v>
      </c>
      <c r="G932" t="s">
        <v>2515</v>
      </c>
      <c r="H932" t="s">
        <v>2548</v>
      </c>
      <c r="I932" t="s">
        <v>2556</v>
      </c>
      <c r="J932" s="1">
        <f>HYPERLINK("https://ec.europa.eu/info/funding-tenders/opportunities/portal/screen/how-to-participate/org-details/998225740", "998225740")</f>
        <v>0</v>
      </c>
      <c r="K932" t="s">
        <v>2637</v>
      </c>
      <c r="M932" t="s">
        <v>2965</v>
      </c>
      <c r="N932" t="b">
        <v>0</v>
      </c>
      <c r="O932" t="s">
        <v>3012</v>
      </c>
      <c r="P932" t="s">
        <v>3317</v>
      </c>
      <c r="Q932">
        <v>6</v>
      </c>
      <c r="R932" t="s">
        <v>3342</v>
      </c>
      <c r="S932" s="2">
        <v>384476.25</v>
      </c>
      <c r="T932" s="2">
        <v>384476.25</v>
      </c>
    </row>
    <row r="933" spans="1:21">
      <c r="A933" t="s">
        <v>23</v>
      </c>
      <c r="B933" s="1">
        <f>HYPERLINK("https://cordis.europa.eu/project/id/101120104", "101120104")</f>
        <v>0</v>
      </c>
      <c r="C933" t="s">
        <v>758</v>
      </c>
      <c r="D933" t="s">
        <v>1575</v>
      </c>
      <c r="E933" t="s">
        <v>2042</v>
      </c>
      <c r="F933" t="s">
        <v>2300</v>
      </c>
      <c r="G933" t="s">
        <v>2536</v>
      </c>
      <c r="H933" t="s">
        <v>2548</v>
      </c>
      <c r="I933" t="s">
        <v>2556</v>
      </c>
      <c r="J933" s="1">
        <f>HYPERLINK("https://ec.europa.eu/info/funding-tenders/opportunities/portal/screen/how-to-participate/org-details/999818577", "999818577")</f>
        <v>0</v>
      </c>
      <c r="K933" t="s">
        <v>2614</v>
      </c>
      <c r="L933" t="s">
        <v>2846</v>
      </c>
      <c r="M933" t="s">
        <v>2965</v>
      </c>
      <c r="N933" t="b">
        <v>0</v>
      </c>
      <c r="O933" t="s">
        <v>3020</v>
      </c>
      <c r="P933" t="s">
        <v>3294</v>
      </c>
      <c r="Q933">
        <v>14</v>
      </c>
      <c r="R933" t="s">
        <v>3347</v>
      </c>
      <c r="T933" s="2">
        <v>0</v>
      </c>
      <c r="U933" s="2">
        <v>0</v>
      </c>
    </row>
    <row r="934" spans="1:21">
      <c r="A934" t="s">
        <v>23</v>
      </c>
      <c r="B934" s="1">
        <f>HYPERLINK("https://cordis.europa.eu/project/id/101066639", "101066639")</f>
        <v>0</v>
      </c>
      <c r="C934" t="s">
        <v>759</v>
      </c>
      <c r="D934" t="s">
        <v>1576</v>
      </c>
      <c r="E934" t="s">
        <v>2056</v>
      </c>
      <c r="F934" t="s">
        <v>2309</v>
      </c>
      <c r="G934" t="s">
        <v>2413</v>
      </c>
      <c r="H934" t="s">
        <v>2549</v>
      </c>
      <c r="I934" t="s">
        <v>2557</v>
      </c>
      <c r="J934" s="1">
        <f>HYPERLINK("https://ec.europa.eu/info/funding-tenders/opportunities/portal/screen/how-to-participate/org-details/999613131", "999613131")</f>
        <v>0</v>
      </c>
      <c r="K934" t="s">
        <v>2591</v>
      </c>
      <c r="L934" t="s">
        <v>2831</v>
      </c>
      <c r="M934" t="s">
        <v>2965</v>
      </c>
      <c r="N934" t="b">
        <v>0</v>
      </c>
      <c r="O934" t="s">
        <v>3015</v>
      </c>
      <c r="P934" t="s">
        <v>3295</v>
      </c>
      <c r="Q934">
        <v>2</v>
      </c>
      <c r="R934" t="s">
        <v>3347</v>
      </c>
      <c r="T934" s="2">
        <v>0</v>
      </c>
    </row>
    <row r="935" spans="1:21">
      <c r="A935" t="s">
        <v>23</v>
      </c>
      <c r="B935" s="1">
        <f>HYPERLINK("https://cordis.europa.eu/project/id/101129945", "101129945")</f>
        <v>0</v>
      </c>
      <c r="C935" t="s">
        <v>760</v>
      </c>
      <c r="D935" t="s">
        <v>1577</v>
      </c>
      <c r="E935" t="s">
        <v>2057</v>
      </c>
      <c r="F935" t="s">
        <v>2283</v>
      </c>
      <c r="G935" t="s">
        <v>2516</v>
      </c>
      <c r="H935" t="s">
        <v>2548</v>
      </c>
      <c r="I935" t="s">
        <v>2556</v>
      </c>
      <c r="J935" s="1">
        <f>HYPERLINK("https://ec.europa.eu/info/funding-tenders/opportunities/portal/screen/how-to-participate/org-details/999845252", "999845252")</f>
        <v>0</v>
      </c>
      <c r="K935" t="s">
        <v>2687</v>
      </c>
      <c r="L935" t="s">
        <v>2908</v>
      </c>
      <c r="M935" t="s">
        <v>2965</v>
      </c>
      <c r="N935" t="b">
        <v>0</v>
      </c>
      <c r="O935" t="s">
        <v>3014</v>
      </c>
      <c r="P935" t="s">
        <v>3278</v>
      </c>
      <c r="Q935">
        <v>13</v>
      </c>
      <c r="R935" t="s">
        <v>3347</v>
      </c>
      <c r="T935" s="2">
        <v>0</v>
      </c>
    </row>
    <row r="936" spans="1:21">
      <c r="A936" t="s">
        <v>23</v>
      </c>
      <c r="B936" s="1">
        <f>HYPERLINK("https://cordis.europa.eu/project/id/101072625", "101072625")</f>
        <v>0</v>
      </c>
      <c r="C936" t="s">
        <v>761</v>
      </c>
      <c r="D936" t="s">
        <v>1578</v>
      </c>
      <c r="E936" t="s">
        <v>2058</v>
      </c>
      <c r="F936" t="s">
        <v>2294</v>
      </c>
      <c r="G936" t="s">
        <v>2398</v>
      </c>
      <c r="H936" t="s">
        <v>2548</v>
      </c>
      <c r="I936" t="s">
        <v>2556</v>
      </c>
      <c r="J936" s="1">
        <f>HYPERLINK("https://ec.europa.eu/info/funding-tenders/opportunities/portal/screen/how-to-participate/org-details/923384614", "923384614")</f>
        <v>0</v>
      </c>
      <c r="K936" t="s">
        <v>2778</v>
      </c>
      <c r="L936" t="s">
        <v>2951</v>
      </c>
      <c r="M936" t="s">
        <v>2969</v>
      </c>
      <c r="N936" t="b">
        <v>0</v>
      </c>
      <c r="O936" t="s">
        <v>3026</v>
      </c>
      <c r="P936" t="s">
        <v>3313</v>
      </c>
      <c r="Q936">
        <v>19</v>
      </c>
      <c r="R936" t="s">
        <v>3347</v>
      </c>
      <c r="T936" s="2">
        <v>0</v>
      </c>
    </row>
    <row r="937" spans="1:21">
      <c r="A937" t="s">
        <v>23</v>
      </c>
      <c r="B937" s="1">
        <f>HYPERLINK("https://cordis.europa.eu/project/id/101126676", "101126676")</f>
        <v>0</v>
      </c>
      <c r="C937" t="s">
        <v>762</v>
      </c>
      <c r="D937" t="s">
        <v>1579</v>
      </c>
      <c r="E937" t="s">
        <v>2059</v>
      </c>
      <c r="F937" t="s">
        <v>2290</v>
      </c>
      <c r="G937" t="s">
        <v>2540</v>
      </c>
      <c r="H937" t="s">
        <v>2548</v>
      </c>
      <c r="I937" t="s">
        <v>2556</v>
      </c>
      <c r="J937" s="1">
        <f>HYPERLINK("https://ec.europa.eu/info/funding-tenders/opportunities/portal/screen/how-to-participate/org-details/883456310", "883456310")</f>
        <v>0</v>
      </c>
      <c r="K937" t="s">
        <v>2796</v>
      </c>
      <c r="L937" t="s">
        <v>2959</v>
      </c>
      <c r="M937" t="s">
        <v>2969</v>
      </c>
      <c r="N937" t="b">
        <v>0</v>
      </c>
      <c r="O937" t="s">
        <v>3017</v>
      </c>
      <c r="P937" t="s">
        <v>3281</v>
      </c>
      <c r="Q937">
        <v>14</v>
      </c>
      <c r="R937" t="s">
        <v>3347</v>
      </c>
      <c r="T937" s="2">
        <v>0</v>
      </c>
    </row>
    <row r="938" spans="1:21">
      <c r="A938" t="s">
        <v>23</v>
      </c>
      <c r="B938" s="1">
        <f>HYPERLINK("https://cordis.europa.eu/project/id/101073374", "101073374")</f>
        <v>0</v>
      </c>
      <c r="C938" t="s">
        <v>763</v>
      </c>
      <c r="D938" t="s">
        <v>1580</v>
      </c>
      <c r="E938" t="s">
        <v>2060</v>
      </c>
      <c r="F938" t="s">
        <v>2277</v>
      </c>
      <c r="G938" t="s">
        <v>2532</v>
      </c>
      <c r="H938" t="s">
        <v>2548</v>
      </c>
      <c r="I938" t="s">
        <v>2556</v>
      </c>
      <c r="J938" s="1">
        <f>HYPERLINK("https://ec.europa.eu/info/funding-tenders/opportunities/portal/screen/how-to-participate/org-details/998804636", "998804636")</f>
        <v>0</v>
      </c>
      <c r="K938" t="s">
        <v>2612</v>
      </c>
      <c r="L938" t="s">
        <v>2845</v>
      </c>
      <c r="M938" t="s">
        <v>2965</v>
      </c>
      <c r="N938" t="b">
        <v>0</v>
      </c>
      <c r="O938" t="s">
        <v>3020</v>
      </c>
      <c r="P938" t="s">
        <v>3313</v>
      </c>
      <c r="Q938">
        <v>22</v>
      </c>
      <c r="R938" t="s">
        <v>3347</v>
      </c>
      <c r="T938" s="2">
        <v>0</v>
      </c>
    </row>
    <row r="939" spans="1:21">
      <c r="A939" t="s">
        <v>23</v>
      </c>
      <c r="B939" s="1">
        <f>HYPERLINK("https://cordis.europa.eu/project/id/101119427", "101119427")</f>
        <v>0</v>
      </c>
      <c r="C939" t="s">
        <v>764</v>
      </c>
      <c r="D939" t="s">
        <v>1581</v>
      </c>
      <c r="E939" t="s">
        <v>2061</v>
      </c>
      <c r="F939" t="s">
        <v>2283</v>
      </c>
      <c r="G939" t="s">
        <v>2516</v>
      </c>
      <c r="H939" t="s">
        <v>2548</v>
      </c>
      <c r="I939" t="s">
        <v>2556</v>
      </c>
      <c r="J939" s="1">
        <f>HYPERLINK("https://ec.europa.eu/info/funding-tenders/opportunities/portal/screen/how-to-participate/org-details/999845252", "999845252")</f>
        <v>0</v>
      </c>
      <c r="K939" t="s">
        <v>2687</v>
      </c>
      <c r="L939" t="s">
        <v>2908</v>
      </c>
      <c r="M939" t="s">
        <v>2965</v>
      </c>
      <c r="N939" t="b">
        <v>0</v>
      </c>
      <c r="O939" t="s">
        <v>3020</v>
      </c>
      <c r="P939" t="s">
        <v>3294</v>
      </c>
      <c r="Q939">
        <v>19</v>
      </c>
      <c r="R939" t="s">
        <v>3347</v>
      </c>
      <c r="T939" s="2">
        <v>0</v>
      </c>
      <c r="U939" s="2">
        <v>0</v>
      </c>
    </row>
    <row r="940" spans="1:21">
      <c r="A940" t="s">
        <v>23</v>
      </c>
      <c r="B940" s="1">
        <f>HYPERLINK("https://cordis.europa.eu/project/id/101086276", "101086276")</f>
        <v>0</v>
      </c>
      <c r="C940" t="s">
        <v>765</v>
      </c>
      <c r="D940" t="s">
        <v>1582</v>
      </c>
      <c r="E940" t="s">
        <v>2062</v>
      </c>
      <c r="F940" t="s">
        <v>2306</v>
      </c>
      <c r="G940" t="s">
        <v>2541</v>
      </c>
      <c r="H940" t="s">
        <v>2548</v>
      </c>
      <c r="I940" t="s">
        <v>2556</v>
      </c>
      <c r="J940" s="1">
        <f>HYPERLINK("https://ec.europa.eu/info/funding-tenders/opportunities/portal/screen/how-to-participate/org-details/986196188", "986196188")</f>
        <v>0</v>
      </c>
      <c r="K940" t="s">
        <v>2709</v>
      </c>
      <c r="L940" t="s">
        <v>2920</v>
      </c>
      <c r="M940" t="s">
        <v>2965</v>
      </c>
      <c r="N940" t="b">
        <v>0</v>
      </c>
      <c r="O940" t="s">
        <v>3014</v>
      </c>
      <c r="P940" t="s">
        <v>3293</v>
      </c>
      <c r="Q940">
        <v>9</v>
      </c>
      <c r="R940" t="s">
        <v>3347</v>
      </c>
      <c r="T940" s="2">
        <v>0</v>
      </c>
    </row>
    <row r="941" spans="1:21">
      <c r="A941" t="s">
        <v>23</v>
      </c>
      <c r="B941" s="1">
        <f>HYPERLINK("https://cordis.europa.eu/project/id/101062023", "101062023")</f>
        <v>0</v>
      </c>
      <c r="C941" t="s">
        <v>766</v>
      </c>
      <c r="D941" t="s">
        <v>1583</v>
      </c>
      <c r="E941" t="s">
        <v>2063</v>
      </c>
      <c r="F941" t="s">
        <v>2073</v>
      </c>
      <c r="G941" t="s">
        <v>2542</v>
      </c>
      <c r="H941" t="s">
        <v>2548</v>
      </c>
      <c r="I941" t="s">
        <v>2556</v>
      </c>
      <c r="J941" s="1">
        <f>HYPERLINK("https://ec.europa.eu/info/funding-tenders/opportunities/portal/screen/how-to-participate/org-details/998804636", "998804636")</f>
        <v>0</v>
      </c>
      <c r="K941" t="s">
        <v>2612</v>
      </c>
      <c r="L941" t="s">
        <v>2845</v>
      </c>
      <c r="M941" t="s">
        <v>2965</v>
      </c>
      <c r="N941" t="b">
        <v>0</v>
      </c>
      <c r="O941" t="s">
        <v>3028</v>
      </c>
      <c r="P941" t="s">
        <v>3295</v>
      </c>
      <c r="Q941">
        <v>2</v>
      </c>
      <c r="R941" t="s">
        <v>3347</v>
      </c>
      <c r="T941" s="2">
        <v>0</v>
      </c>
    </row>
    <row r="942" spans="1:21">
      <c r="A942" t="s">
        <v>23</v>
      </c>
      <c r="B942" s="1">
        <f>HYPERLINK("https://cordis.europa.eu/project/id/101086184", "101086184")</f>
        <v>0</v>
      </c>
      <c r="C942" t="s">
        <v>767</v>
      </c>
      <c r="D942" t="s">
        <v>1584</v>
      </c>
      <c r="E942" t="s">
        <v>2064</v>
      </c>
      <c r="F942" t="s">
        <v>2101</v>
      </c>
      <c r="G942" t="s">
        <v>2543</v>
      </c>
      <c r="H942" t="s">
        <v>2548</v>
      </c>
      <c r="I942" t="s">
        <v>2556</v>
      </c>
      <c r="J942" s="1">
        <f>HYPERLINK("https://ec.europa.eu/info/funding-tenders/opportunities/portal/screen/how-to-participate/org-details/998711419", "998711419")</f>
        <v>0</v>
      </c>
      <c r="K942" t="s">
        <v>2628</v>
      </c>
      <c r="M942" t="s">
        <v>2965</v>
      </c>
      <c r="N942" t="b">
        <v>0</v>
      </c>
      <c r="O942" t="s">
        <v>3014</v>
      </c>
      <c r="P942" t="s">
        <v>3293</v>
      </c>
      <c r="Q942">
        <v>13</v>
      </c>
      <c r="R942" t="s">
        <v>3347</v>
      </c>
      <c r="T942" s="2">
        <v>0</v>
      </c>
    </row>
    <row r="943" spans="1:21">
      <c r="A943" t="s">
        <v>23</v>
      </c>
      <c r="B943" s="1">
        <f>HYPERLINK("https://cordis.europa.eu/project/id/101106239", "101106239")</f>
        <v>0</v>
      </c>
      <c r="C943" t="s">
        <v>768</v>
      </c>
      <c r="D943" t="s">
        <v>1585</v>
      </c>
      <c r="E943" t="s">
        <v>2052</v>
      </c>
      <c r="F943" t="s">
        <v>2290</v>
      </c>
      <c r="G943" t="s">
        <v>2499</v>
      </c>
      <c r="H943" t="s">
        <v>2548</v>
      </c>
      <c r="I943" t="s">
        <v>2556</v>
      </c>
      <c r="J943" s="1">
        <f>HYPERLINK("https://ec.europa.eu/info/funding-tenders/opportunities/portal/screen/how-to-participate/org-details/998826946", "998826946")</f>
        <v>0</v>
      </c>
      <c r="K943" t="s">
        <v>2617</v>
      </c>
      <c r="L943" t="s">
        <v>2848</v>
      </c>
      <c r="M943" t="s">
        <v>2965</v>
      </c>
      <c r="N943" t="b">
        <v>0</v>
      </c>
      <c r="O943" t="s">
        <v>3016</v>
      </c>
      <c r="P943" t="s">
        <v>3279</v>
      </c>
      <c r="Q943">
        <v>2</v>
      </c>
      <c r="R943" t="s">
        <v>3347</v>
      </c>
      <c r="T943" s="2">
        <v>0</v>
      </c>
    </row>
    <row r="944" spans="1:21">
      <c r="A944" t="s">
        <v>23</v>
      </c>
      <c r="B944" s="1">
        <f>HYPERLINK("https://cordis.europa.eu/project/id/101068442", "101068442")</f>
        <v>0</v>
      </c>
      <c r="C944" t="s">
        <v>769</v>
      </c>
      <c r="D944" t="s">
        <v>1586</v>
      </c>
      <c r="E944" t="s">
        <v>2065</v>
      </c>
      <c r="F944" t="s">
        <v>2101</v>
      </c>
      <c r="G944" t="s">
        <v>2489</v>
      </c>
      <c r="H944" t="s">
        <v>2548</v>
      </c>
      <c r="I944" t="s">
        <v>2556</v>
      </c>
      <c r="J944" s="1">
        <f>HYPERLINK("https://ec.europa.eu/info/funding-tenders/opportunities/portal/screen/how-to-participate/org-details/998082180", "998082180")</f>
        <v>0</v>
      </c>
      <c r="K944" t="s">
        <v>2565</v>
      </c>
      <c r="M944" t="s">
        <v>2965</v>
      </c>
      <c r="N944" t="b">
        <v>0</v>
      </c>
      <c r="O944" t="s">
        <v>3016</v>
      </c>
      <c r="P944" t="s">
        <v>3295</v>
      </c>
      <c r="Q944">
        <v>2</v>
      </c>
      <c r="R944" t="s">
        <v>3347</v>
      </c>
      <c r="T944" s="2">
        <v>0</v>
      </c>
    </row>
    <row r="945" spans="1:20">
      <c r="A945" t="s">
        <v>23</v>
      </c>
      <c r="B945" s="1">
        <f>HYPERLINK("https://cordis.europa.eu/project/id/101105332", "101105332")</f>
        <v>0</v>
      </c>
      <c r="C945" t="s">
        <v>770</v>
      </c>
      <c r="D945" t="s">
        <v>1587</v>
      </c>
      <c r="E945" t="s">
        <v>2066</v>
      </c>
      <c r="F945" t="s">
        <v>2310</v>
      </c>
      <c r="G945" t="s">
        <v>2544</v>
      </c>
      <c r="H945" t="s">
        <v>2549</v>
      </c>
      <c r="I945" t="s">
        <v>2557</v>
      </c>
      <c r="J945" s="1">
        <f>HYPERLINK("https://ec.europa.eu/info/funding-tenders/opportunities/portal/screen/how-to-participate/org-details/998295580", "998295580")</f>
        <v>0</v>
      </c>
      <c r="K945" t="s">
        <v>2686</v>
      </c>
      <c r="L945" t="s">
        <v>2907</v>
      </c>
      <c r="M945" t="s">
        <v>2966</v>
      </c>
      <c r="N945" t="b">
        <v>0</v>
      </c>
      <c r="O945" t="s">
        <v>3016</v>
      </c>
      <c r="P945" t="s">
        <v>3279</v>
      </c>
      <c r="Q945">
        <v>4</v>
      </c>
      <c r="R945" t="s">
        <v>3347</v>
      </c>
      <c r="T945" s="2">
        <v>0</v>
      </c>
    </row>
    <row r="946" spans="1:20">
      <c r="A946" t="s">
        <v>23</v>
      </c>
      <c r="B946" s="1">
        <f>HYPERLINK("https://cordis.europa.eu/project/id/101073394", "101073394")</f>
        <v>0</v>
      </c>
      <c r="C946" t="s">
        <v>771</v>
      </c>
      <c r="D946" t="s">
        <v>1588</v>
      </c>
      <c r="E946" t="s">
        <v>2067</v>
      </c>
      <c r="F946" t="s">
        <v>2306</v>
      </c>
      <c r="G946" t="s">
        <v>2541</v>
      </c>
      <c r="H946" t="s">
        <v>2550</v>
      </c>
      <c r="I946" t="s">
        <v>2558</v>
      </c>
      <c r="J946" s="1">
        <f>HYPERLINK("https://ec.europa.eu/info/funding-tenders/opportunities/portal/screen/how-to-participate/org-details/888561905", "888561905")</f>
        <v>0</v>
      </c>
      <c r="K946" t="s">
        <v>2797</v>
      </c>
      <c r="M946" t="s">
        <v>2968</v>
      </c>
      <c r="N946" t="b">
        <v>0</v>
      </c>
      <c r="O946" t="s">
        <v>3026</v>
      </c>
      <c r="P946" t="s">
        <v>3313</v>
      </c>
      <c r="Q946">
        <v>21</v>
      </c>
      <c r="R946" t="s">
        <v>3347</v>
      </c>
      <c r="T946" s="2">
        <v>0</v>
      </c>
    </row>
    <row r="947" spans="1:20">
      <c r="A947" t="s">
        <v>23</v>
      </c>
      <c r="B947" s="1">
        <f>HYPERLINK("https://cordis.europa.eu/project/id/101068090", "101068090")</f>
        <v>0</v>
      </c>
      <c r="C947" t="s">
        <v>772</v>
      </c>
      <c r="D947" t="s">
        <v>1589</v>
      </c>
      <c r="E947" t="s">
        <v>2047</v>
      </c>
      <c r="F947" t="s">
        <v>2296</v>
      </c>
      <c r="G947" t="s">
        <v>2488</v>
      </c>
      <c r="H947" t="s">
        <v>2548</v>
      </c>
      <c r="I947" t="s">
        <v>2556</v>
      </c>
      <c r="J947" s="1">
        <f>HYPERLINK("https://ec.europa.eu/info/funding-tenders/opportunities/portal/screen/how-to-participate/org-details/986196188", "986196188")</f>
        <v>0</v>
      </c>
      <c r="K947" t="s">
        <v>2709</v>
      </c>
      <c r="L947" t="s">
        <v>2920</v>
      </c>
      <c r="M947" t="s">
        <v>2965</v>
      </c>
      <c r="N947" t="b">
        <v>0</v>
      </c>
      <c r="O947" t="s">
        <v>3028</v>
      </c>
      <c r="P947" t="s">
        <v>3295</v>
      </c>
      <c r="Q947">
        <v>2</v>
      </c>
      <c r="R947" t="s">
        <v>3347</v>
      </c>
      <c r="T947" s="2">
        <v>0</v>
      </c>
    </row>
    <row r="948" spans="1:20">
      <c r="A948" t="s">
        <v>23</v>
      </c>
      <c r="B948" s="1">
        <f>HYPERLINK("https://cordis.europa.eu/project/id/101072579", "101072579")</f>
        <v>0</v>
      </c>
      <c r="C948" t="s">
        <v>773</v>
      </c>
      <c r="D948" t="s">
        <v>1590</v>
      </c>
      <c r="E948" t="s">
        <v>2068</v>
      </c>
      <c r="F948" t="s">
        <v>2311</v>
      </c>
      <c r="G948" t="s">
        <v>2545</v>
      </c>
      <c r="H948" t="s">
        <v>2548</v>
      </c>
      <c r="I948" t="s">
        <v>2556</v>
      </c>
      <c r="J948" s="1">
        <f>HYPERLINK("https://ec.europa.eu/info/funding-tenders/opportunities/portal/screen/how-to-participate/org-details/998354750", "998354750")</f>
        <v>0</v>
      </c>
      <c r="K948" t="s">
        <v>2596</v>
      </c>
      <c r="L948" t="s">
        <v>2834</v>
      </c>
      <c r="M948" t="s">
        <v>2969</v>
      </c>
      <c r="N948" t="b">
        <v>0</v>
      </c>
      <c r="O948" t="s">
        <v>3020</v>
      </c>
      <c r="P948" t="s">
        <v>3313</v>
      </c>
      <c r="Q948">
        <v>10</v>
      </c>
      <c r="R948" t="s">
        <v>3347</v>
      </c>
      <c r="T948" s="2">
        <v>0</v>
      </c>
    </row>
    <row r="949" spans="1:20">
      <c r="A949" t="s">
        <v>23</v>
      </c>
      <c r="B949" s="1">
        <f>HYPERLINK("https://cordis.europa.eu/project/id/101071485", "101071485")</f>
        <v>0</v>
      </c>
      <c r="C949" t="s">
        <v>774</v>
      </c>
      <c r="D949" t="s">
        <v>1591</v>
      </c>
      <c r="E949" t="s">
        <v>2069</v>
      </c>
      <c r="F949" t="s">
        <v>2311</v>
      </c>
      <c r="G949" t="s">
        <v>2545</v>
      </c>
      <c r="H949" t="s">
        <v>2548</v>
      </c>
      <c r="I949" t="s">
        <v>2556</v>
      </c>
      <c r="J949" s="1">
        <f>HYPERLINK("https://ec.europa.eu/info/funding-tenders/opportunities/portal/screen/how-to-participate/org-details/996231614", "996231614")</f>
        <v>0</v>
      </c>
      <c r="K949" t="s">
        <v>2652</v>
      </c>
      <c r="L949" t="s">
        <v>2652</v>
      </c>
      <c r="M949" t="s">
        <v>2965</v>
      </c>
      <c r="N949" t="b">
        <v>0</v>
      </c>
      <c r="O949" t="s">
        <v>3020</v>
      </c>
      <c r="P949" t="s">
        <v>3313</v>
      </c>
      <c r="Q949">
        <v>10</v>
      </c>
      <c r="R949" t="s">
        <v>3347</v>
      </c>
      <c r="T949" s="2">
        <v>0</v>
      </c>
    </row>
    <row r="950" spans="1:20">
      <c r="A950" t="s">
        <v>23</v>
      </c>
      <c r="B950" s="1">
        <f>HYPERLINK("https://cordis.europa.eu/project/id/101107336", "101107336")</f>
        <v>0</v>
      </c>
      <c r="C950" t="s">
        <v>775</v>
      </c>
      <c r="D950" t="s">
        <v>1592</v>
      </c>
      <c r="E950" t="s">
        <v>2070</v>
      </c>
      <c r="F950" t="s">
        <v>2304</v>
      </c>
      <c r="G950" t="s">
        <v>2533</v>
      </c>
      <c r="H950" t="s">
        <v>2549</v>
      </c>
      <c r="I950" t="s">
        <v>2557</v>
      </c>
      <c r="J950" s="1">
        <f>HYPERLINK("https://ec.europa.eu/info/funding-tenders/opportunities/portal/screen/how-to-participate/org-details/999613131", "999613131")</f>
        <v>0</v>
      </c>
      <c r="K950" t="s">
        <v>2591</v>
      </c>
      <c r="L950" t="s">
        <v>2831</v>
      </c>
      <c r="M950" t="s">
        <v>2965</v>
      </c>
      <c r="N950" t="b">
        <v>0</v>
      </c>
      <c r="O950" t="s">
        <v>3016</v>
      </c>
      <c r="P950" t="s">
        <v>3279</v>
      </c>
      <c r="Q950">
        <v>2</v>
      </c>
      <c r="R950" t="s">
        <v>3347</v>
      </c>
      <c r="T950" s="2">
        <v>0</v>
      </c>
    </row>
    <row r="951" spans="1:20">
      <c r="A951" t="s">
        <v>23</v>
      </c>
      <c r="B951" s="1">
        <f>HYPERLINK("https://cordis.europa.eu/project/id/101086293", "101086293")</f>
        <v>0</v>
      </c>
      <c r="C951" t="s">
        <v>776</v>
      </c>
      <c r="D951" t="s">
        <v>1593</v>
      </c>
      <c r="E951" t="s">
        <v>2071</v>
      </c>
      <c r="F951" t="s">
        <v>2277</v>
      </c>
      <c r="G951" t="s">
        <v>2532</v>
      </c>
      <c r="H951" t="s">
        <v>2548</v>
      </c>
      <c r="I951" t="s">
        <v>2556</v>
      </c>
      <c r="J951" s="1">
        <f>HYPERLINK("https://ec.europa.eu/info/funding-tenders/opportunities/portal/screen/how-to-participate/org-details/998826946", "998826946")</f>
        <v>0</v>
      </c>
      <c r="K951" t="s">
        <v>2617</v>
      </c>
      <c r="L951" t="s">
        <v>2848</v>
      </c>
      <c r="M951" t="s">
        <v>2965</v>
      </c>
      <c r="N951" t="b">
        <v>0</v>
      </c>
      <c r="O951" t="s">
        <v>3014</v>
      </c>
      <c r="P951" t="s">
        <v>3293</v>
      </c>
      <c r="Q951">
        <v>10</v>
      </c>
      <c r="R951" t="s">
        <v>3347</v>
      </c>
      <c r="T951" s="2">
        <v>0</v>
      </c>
    </row>
    <row r="952" spans="1:20">
      <c r="A952" t="s">
        <v>23</v>
      </c>
      <c r="B952" s="1">
        <f>HYPERLINK("https://cordis.europa.eu/project/id/101059248", "101059248")</f>
        <v>0</v>
      </c>
      <c r="C952" t="s">
        <v>777</v>
      </c>
      <c r="D952" t="s">
        <v>1594</v>
      </c>
      <c r="E952" t="s">
        <v>2072</v>
      </c>
      <c r="F952" t="s">
        <v>2312</v>
      </c>
      <c r="G952" t="s">
        <v>2456</v>
      </c>
      <c r="H952" t="s">
        <v>2548</v>
      </c>
      <c r="I952" t="s">
        <v>2556</v>
      </c>
      <c r="J952" s="1">
        <f>HYPERLINK("https://ec.europa.eu/info/funding-tenders/opportunities/portal/screen/how-to-participate/org-details/999885216", "999885216")</f>
        <v>0</v>
      </c>
      <c r="K952" t="s">
        <v>2658</v>
      </c>
      <c r="L952" t="s">
        <v>2884</v>
      </c>
      <c r="M952" t="s">
        <v>2965</v>
      </c>
      <c r="N952" t="b">
        <v>0</v>
      </c>
      <c r="O952" t="s">
        <v>3015</v>
      </c>
      <c r="P952" t="s">
        <v>3295</v>
      </c>
      <c r="Q952">
        <v>2</v>
      </c>
      <c r="R952" t="s">
        <v>3347</v>
      </c>
      <c r="T952" s="2">
        <v>0</v>
      </c>
    </row>
    <row r="953" spans="1:20">
      <c r="A953" t="s">
        <v>23</v>
      </c>
      <c r="B953" s="1">
        <f>HYPERLINK("https://cordis.europa.eu/project/id/101060856", "101060856")</f>
        <v>0</v>
      </c>
      <c r="C953" t="s">
        <v>778</v>
      </c>
      <c r="D953" t="s">
        <v>1595</v>
      </c>
      <c r="E953" t="s">
        <v>2073</v>
      </c>
      <c r="F953" t="s">
        <v>2303</v>
      </c>
      <c r="G953" t="s">
        <v>2424</v>
      </c>
      <c r="H953" t="s">
        <v>2548</v>
      </c>
      <c r="I953" t="s">
        <v>2556</v>
      </c>
      <c r="J953" s="1">
        <f>HYPERLINK("https://ec.europa.eu/info/funding-tenders/opportunities/portal/screen/how-to-participate/org-details/968922622", "968922622")</f>
        <v>0</v>
      </c>
      <c r="K953" t="s">
        <v>2700</v>
      </c>
      <c r="L953" t="s">
        <v>2700</v>
      </c>
      <c r="M953" t="s">
        <v>2965</v>
      </c>
      <c r="N953" t="b">
        <v>0</v>
      </c>
      <c r="O953" t="s">
        <v>3016</v>
      </c>
      <c r="P953" t="s">
        <v>3295</v>
      </c>
      <c r="Q953">
        <v>2</v>
      </c>
      <c r="R953" t="s">
        <v>3347</v>
      </c>
      <c r="T953" s="2">
        <v>0</v>
      </c>
    </row>
    <row r="954" spans="1:20">
      <c r="A954" t="s">
        <v>23</v>
      </c>
      <c r="B954" s="1">
        <f>HYPERLINK("https://cordis.europa.eu/project/id/101063255", "101063255")</f>
        <v>0</v>
      </c>
      <c r="C954" t="s">
        <v>779</v>
      </c>
      <c r="D954" t="s">
        <v>1596</v>
      </c>
      <c r="E954" t="s">
        <v>2074</v>
      </c>
      <c r="F954" t="s">
        <v>2298</v>
      </c>
      <c r="G954" t="s">
        <v>2429</v>
      </c>
      <c r="H954" t="s">
        <v>2548</v>
      </c>
      <c r="I954" t="s">
        <v>2556</v>
      </c>
      <c r="J954" s="1">
        <f>HYPERLINK("https://ec.europa.eu/info/funding-tenders/opportunities/portal/screen/how-to-participate/org-details/998826946", "998826946")</f>
        <v>0</v>
      </c>
      <c r="K954" t="s">
        <v>2617</v>
      </c>
      <c r="L954" t="s">
        <v>2848</v>
      </c>
      <c r="M954" t="s">
        <v>2965</v>
      </c>
      <c r="N954" t="b">
        <v>0</v>
      </c>
      <c r="O954" t="s">
        <v>3028</v>
      </c>
      <c r="P954" t="s">
        <v>3295</v>
      </c>
      <c r="Q954">
        <v>2</v>
      </c>
      <c r="R954" t="s">
        <v>3347</v>
      </c>
      <c r="T954" s="2">
        <v>0</v>
      </c>
    </row>
    <row r="955" spans="1:20">
      <c r="A955" t="s">
        <v>23</v>
      </c>
      <c r="B955" s="1">
        <f>HYPERLINK("https://cordis.europa.eu/project/id/101064383", "101064383")</f>
        <v>0</v>
      </c>
      <c r="C955" t="s">
        <v>780</v>
      </c>
      <c r="D955" t="s">
        <v>1597</v>
      </c>
      <c r="E955" t="s">
        <v>2065</v>
      </c>
      <c r="F955" t="s">
        <v>2303</v>
      </c>
      <c r="G955" t="s">
        <v>2499</v>
      </c>
      <c r="H955" t="s">
        <v>2548</v>
      </c>
      <c r="I955" t="s">
        <v>2556</v>
      </c>
      <c r="J955" s="1">
        <f>HYPERLINK("https://ec.europa.eu/info/funding-tenders/opportunities/portal/screen/how-to-participate/org-details/998385014", "998385014")</f>
        <v>0</v>
      </c>
      <c r="K955" t="s">
        <v>2618</v>
      </c>
      <c r="L955" t="s">
        <v>2849</v>
      </c>
      <c r="M955" t="s">
        <v>2965</v>
      </c>
      <c r="N955" t="b">
        <v>0</v>
      </c>
      <c r="O955" t="s">
        <v>3016</v>
      </c>
      <c r="P955" t="s">
        <v>3295</v>
      </c>
      <c r="Q955">
        <v>2</v>
      </c>
      <c r="R955" t="s">
        <v>3347</v>
      </c>
      <c r="T955" s="2">
        <v>0</v>
      </c>
    </row>
    <row r="956" spans="1:20">
      <c r="A956" t="s">
        <v>23</v>
      </c>
      <c r="B956" s="1">
        <f>HYPERLINK("https://cordis.europa.eu/project/id/101086218", "101086218")</f>
        <v>0</v>
      </c>
      <c r="C956" t="s">
        <v>781</v>
      </c>
      <c r="D956" t="s">
        <v>1598</v>
      </c>
      <c r="E956" t="s">
        <v>2064</v>
      </c>
      <c r="F956" t="s">
        <v>2277</v>
      </c>
      <c r="G956" t="s">
        <v>2532</v>
      </c>
      <c r="H956" t="s">
        <v>2548</v>
      </c>
      <c r="I956" t="s">
        <v>2556</v>
      </c>
      <c r="J956" s="1">
        <f>HYPERLINK("https://ec.europa.eu/info/funding-tenders/opportunities/portal/screen/how-to-participate/org-details/884980665", "884980665")</f>
        <v>0</v>
      </c>
      <c r="K956" t="s">
        <v>2798</v>
      </c>
      <c r="L956" t="s">
        <v>2798</v>
      </c>
      <c r="M956" t="s">
        <v>2965</v>
      </c>
      <c r="N956" t="b">
        <v>0</v>
      </c>
      <c r="O956" t="s">
        <v>3014</v>
      </c>
      <c r="P956" t="s">
        <v>3293</v>
      </c>
      <c r="Q956">
        <v>11</v>
      </c>
      <c r="R956" t="s">
        <v>3347</v>
      </c>
      <c r="T956" s="2">
        <v>0</v>
      </c>
    </row>
    <row r="957" spans="1:20">
      <c r="A957" t="s">
        <v>23</v>
      </c>
      <c r="B957" s="1">
        <f>HYPERLINK("https://cordis.europa.eu/project/id/101086206", "101086206")</f>
        <v>0</v>
      </c>
      <c r="C957" t="s">
        <v>782</v>
      </c>
      <c r="D957" t="s">
        <v>1599</v>
      </c>
      <c r="E957" t="s">
        <v>2075</v>
      </c>
      <c r="F957" t="s">
        <v>2296</v>
      </c>
      <c r="G957" t="s">
        <v>2521</v>
      </c>
      <c r="H957" t="s">
        <v>2548</v>
      </c>
      <c r="I957" t="s">
        <v>2556</v>
      </c>
      <c r="J957" s="1">
        <f>HYPERLINK("https://ec.europa.eu/info/funding-tenders/opportunities/portal/screen/how-to-participate/org-details/986276989", "986276989")</f>
        <v>0</v>
      </c>
      <c r="K957" t="s">
        <v>2666</v>
      </c>
      <c r="L957" t="s">
        <v>2891</v>
      </c>
      <c r="M957" t="s">
        <v>2965</v>
      </c>
      <c r="N957" t="b">
        <v>0</v>
      </c>
      <c r="O957" t="s">
        <v>3014</v>
      </c>
      <c r="P957" t="s">
        <v>3293</v>
      </c>
      <c r="Q957">
        <v>9</v>
      </c>
      <c r="R957" t="s">
        <v>3347</v>
      </c>
      <c r="T957" s="2">
        <v>0</v>
      </c>
    </row>
    <row r="958" spans="1:20">
      <c r="A958" t="s">
        <v>23</v>
      </c>
      <c r="B958" s="1">
        <f>HYPERLINK("https://cordis.europa.eu/project/id/101086206", "101086206")</f>
        <v>0</v>
      </c>
      <c r="C958" t="s">
        <v>782</v>
      </c>
      <c r="D958" t="s">
        <v>1599</v>
      </c>
      <c r="E958" t="s">
        <v>2075</v>
      </c>
      <c r="F958" t="s">
        <v>2296</v>
      </c>
      <c r="G958" t="s">
        <v>2521</v>
      </c>
      <c r="H958" t="s">
        <v>2549</v>
      </c>
      <c r="I958" t="s">
        <v>2557</v>
      </c>
      <c r="J958" s="1">
        <f>HYPERLINK("https://ec.europa.eu/info/funding-tenders/opportunities/portal/screen/how-to-participate/org-details/999873673", "999873673")</f>
        <v>0</v>
      </c>
      <c r="K958" t="s">
        <v>2578</v>
      </c>
      <c r="M958" t="s">
        <v>2965</v>
      </c>
      <c r="N958" t="b">
        <v>0</v>
      </c>
      <c r="O958" t="s">
        <v>3014</v>
      </c>
      <c r="P958" t="s">
        <v>3293</v>
      </c>
      <c r="Q958">
        <v>10</v>
      </c>
      <c r="R958" t="s">
        <v>3347</v>
      </c>
      <c r="T958" s="2">
        <v>0</v>
      </c>
    </row>
    <row r="959" spans="1:20">
      <c r="A959" t="s">
        <v>23</v>
      </c>
      <c r="B959" s="1">
        <f>HYPERLINK("https://cordis.europa.eu/project/id/101072637", "101072637")</f>
        <v>0</v>
      </c>
      <c r="C959" t="s">
        <v>783</v>
      </c>
      <c r="D959" t="s">
        <v>1600</v>
      </c>
      <c r="E959" t="s">
        <v>2025</v>
      </c>
      <c r="F959" t="s">
        <v>2294</v>
      </c>
      <c r="G959" t="s">
        <v>2398</v>
      </c>
      <c r="H959" t="s">
        <v>2548</v>
      </c>
      <c r="I959" t="s">
        <v>2556</v>
      </c>
      <c r="J959" s="1">
        <f>HYPERLINK("https://ec.europa.eu/info/funding-tenders/opportunities/portal/screen/how-to-participate/org-details/999885216", "999885216")</f>
        <v>0</v>
      </c>
      <c r="K959" t="s">
        <v>2658</v>
      </c>
      <c r="L959" t="s">
        <v>2884</v>
      </c>
      <c r="M959" t="s">
        <v>2965</v>
      </c>
      <c r="N959" t="b">
        <v>0</v>
      </c>
      <c r="O959" t="s">
        <v>3020</v>
      </c>
      <c r="P959" t="s">
        <v>3313</v>
      </c>
      <c r="Q959">
        <v>9</v>
      </c>
      <c r="R959" t="s">
        <v>3347</v>
      </c>
      <c r="T959" s="2">
        <v>0</v>
      </c>
    </row>
    <row r="960" spans="1:20">
      <c r="A960" t="s">
        <v>23</v>
      </c>
      <c r="B960" s="1">
        <f>HYPERLINK("https://cordis.europa.eu/project/id/101059916", "101059916")</f>
        <v>0</v>
      </c>
      <c r="C960" t="s">
        <v>784</v>
      </c>
      <c r="D960" t="s">
        <v>1601</v>
      </c>
      <c r="E960" t="s">
        <v>2076</v>
      </c>
      <c r="F960" t="s">
        <v>2311</v>
      </c>
      <c r="G960" t="s">
        <v>2463</v>
      </c>
      <c r="H960" t="s">
        <v>2548</v>
      </c>
      <c r="I960" t="s">
        <v>2556</v>
      </c>
      <c r="J960" s="1">
        <f>HYPERLINK("https://ec.europa.eu/info/funding-tenders/opportunities/portal/screen/how-to-participate/org-details/999885216", "999885216")</f>
        <v>0</v>
      </c>
      <c r="K960" t="s">
        <v>2658</v>
      </c>
      <c r="L960" t="s">
        <v>2884</v>
      </c>
      <c r="M960" t="s">
        <v>2965</v>
      </c>
      <c r="N960" t="b">
        <v>0</v>
      </c>
      <c r="O960" t="s">
        <v>3015</v>
      </c>
      <c r="P960" t="s">
        <v>3295</v>
      </c>
      <c r="Q960">
        <v>2</v>
      </c>
      <c r="R960" t="s">
        <v>3347</v>
      </c>
      <c r="T960" s="2">
        <v>0</v>
      </c>
    </row>
    <row r="961" spans="1:20">
      <c r="A961" t="s">
        <v>23</v>
      </c>
      <c r="B961" s="1">
        <f>HYPERLINK("https://cordis.europa.eu/project/id/101104484", "101104484")</f>
        <v>0</v>
      </c>
      <c r="C961" t="s">
        <v>785</v>
      </c>
      <c r="D961" t="s">
        <v>1602</v>
      </c>
      <c r="E961" t="s">
        <v>2033</v>
      </c>
      <c r="F961" t="s">
        <v>2302</v>
      </c>
      <c r="G961" t="s">
        <v>2457</v>
      </c>
      <c r="H961" t="s">
        <v>2548</v>
      </c>
      <c r="I961" t="s">
        <v>2556</v>
      </c>
      <c r="J961" s="1">
        <f>HYPERLINK("https://ec.europa.eu/info/funding-tenders/opportunities/portal/screen/how-to-participate/org-details/885199982", "885199982")</f>
        <v>0</v>
      </c>
      <c r="K961" t="s">
        <v>2799</v>
      </c>
      <c r="L961" t="s">
        <v>2799</v>
      </c>
      <c r="M961" t="s">
        <v>2966</v>
      </c>
      <c r="N961" t="b">
        <v>0</v>
      </c>
      <c r="O961" t="s">
        <v>3015</v>
      </c>
      <c r="P961" t="s">
        <v>3279</v>
      </c>
      <c r="Q961">
        <v>2</v>
      </c>
      <c r="R961" t="s">
        <v>3347</v>
      </c>
      <c r="T961" s="2">
        <v>0</v>
      </c>
    </row>
    <row r="962" spans="1:20">
      <c r="A962" t="s">
        <v>23</v>
      </c>
      <c r="B962" s="1">
        <f>HYPERLINK("https://cordis.europa.eu/project/id/101106142", "101106142")</f>
        <v>0</v>
      </c>
      <c r="C962" t="s">
        <v>786</v>
      </c>
      <c r="D962" t="s">
        <v>1603</v>
      </c>
      <c r="E962" t="s">
        <v>2077</v>
      </c>
      <c r="F962" t="s">
        <v>2283</v>
      </c>
      <c r="G962" t="s">
        <v>2398</v>
      </c>
      <c r="H962" t="s">
        <v>2548</v>
      </c>
      <c r="I962" t="s">
        <v>2556</v>
      </c>
      <c r="J962" s="1">
        <f>HYPERLINK("https://ec.europa.eu/info/funding-tenders/opportunities/portal/screen/how-to-participate/org-details/998804636", "998804636")</f>
        <v>0</v>
      </c>
      <c r="K962" t="s">
        <v>2612</v>
      </c>
      <c r="L962" t="s">
        <v>2845</v>
      </c>
      <c r="M962" t="s">
        <v>2965</v>
      </c>
      <c r="N962" t="b">
        <v>0</v>
      </c>
      <c r="O962" t="s">
        <v>3016</v>
      </c>
      <c r="P962" t="s">
        <v>3279</v>
      </c>
      <c r="Q962">
        <v>2</v>
      </c>
      <c r="R962" t="s">
        <v>3347</v>
      </c>
      <c r="T962" s="2">
        <v>0</v>
      </c>
    </row>
    <row r="963" spans="1:20">
      <c r="A963" t="s">
        <v>23</v>
      </c>
      <c r="B963" s="1">
        <f>HYPERLINK("https://cordis.europa.eu/project/id/101107932", "101107932")</f>
        <v>0</v>
      </c>
      <c r="C963" t="s">
        <v>787</v>
      </c>
      <c r="D963" t="s">
        <v>1604</v>
      </c>
      <c r="E963" t="s">
        <v>2020</v>
      </c>
      <c r="F963" t="s">
        <v>2296</v>
      </c>
      <c r="G963" t="s">
        <v>2488</v>
      </c>
      <c r="H963" t="s">
        <v>2548</v>
      </c>
      <c r="I963" t="s">
        <v>2556</v>
      </c>
      <c r="J963" s="1">
        <f>HYPERLINK("https://ec.europa.eu/info/funding-tenders/opportunities/portal/screen/how-to-participate/org-details/957524443", "957524443")</f>
        <v>0</v>
      </c>
      <c r="K963" t="s">
        <v>2702</v>
      </c>
      <c r="L963" t="s">
        <v>2916</v>
      </c>
      <c r="M963" t="s">
        <v>2965</v>
      </c>
      <c r="N963" t="b">
        <v>0</v>
      </c>
      <c r="O963" t="s">
        <v>3016</v>
      </c>
      <c r="P963" t="s">
        <v>3279</v>
      </c>
      <c r="Q963">
        <v>2</v>
      </c>
      <c r="R963" t="s">
        <v>3347</v>
      </c>
      <c r="T963" s="2">
        <v>0</v>
      </c>
    </row>
    <row r="964" spans="1:20">
      <c r="A964" t="s">
        <v>23</v>
      </c>
      <c r="B964" s="1">
        <f>HYPERLINK("https://cordis.europa.eu/project/id/101066941", "101066941")</f>
        <v>0</v>
      </c>
      <c r="C964" t="s">
        <v>175</v>
      </c>
      <c r="D964" t="s">
        <v>1605</v>
      </c>
      <c r="E964" t="s">
        <v>2078</v>
      </c>
      <c r="F964" t="s">
        <v>2294</v>
      </c>
      <c r="G964" t="s">
        <v>2500</v>
      </c>
      <c r="H964" t="s">
        <v>2548</v>
      </c>
      <c r="I964" t="s">
        <v>2556</v>
      </c>
      <c r="J964" s="1">
        <f>HYPERLINK("https://ec.europa.eu/info/funding-tenders/opportunities/portal/screen/how-to-participate/org-details/922444781", "922444781")</f>
        <v>0</v>
      </c>
      <c r="K964" t="s">
        <v>2701</v>
      </c>
      <c r="M964" t="s">
        <v>2968</v>
      </c>
      <c r="N964" t="b">
        <v>0</v>
      </c>
      <c r="O964" t="s">
        <v>3021</v>
      </c>
      <c r="P964" t="s">
        <v>3295</v>
      </c>
      <c r="Q964">
        <v>2</v>
      </c>
      <c r="R964" t="s">
        <v>3347</v>
      </c>
      <c r="T964" s="2">
        <v>0</v>
      </c>
    </row>
    <row r="965" spans="1:20">
      <c r="A965" t="s">
        <v>23</v>
      </c>
      <c r="B965" s="1">
        <f>HYPERLINK("https://cordis.europa.eu/project/id/101073292", "101073292")</f>
        <v>0</v>
      </c>
      <c r="C965" t="s">
        <v>788</v>
      </c>
      <c r="D965" t="s">
        <v>1606</v>
      </c>
      <c r="E965" t="s">
        <v>2058</v>
      </c>
      <c r="F965" t="s">
        <v>2294</v>
      </c>
      <c r="G965" t="s">
        <v>2398</v>
      </c>
      <c r="H965" t="s">
        <v>2548</v>
      </c>
      <c r="I965" t="s">
        <v>2556</v>
      </c>
      <c r="J965" s="1">
        <f>HYPERLINK("https://ec.europa.eu/info/funding-tenders/opportunities/portal/screen/how-to-participate/org-details/998082180", "998082180")</f>
        <v>0</v>
      </c>
      <c r="K965" t="s">
        <v>2565</v>
      </c>
      <c r="M965" t="s">
        <v>2965</v>
      </c>
      <c r="N965" t="b">
        <v>0</v>
      </c>
      <c r="O965" t="s">
        <v>3029</v>
      </c>
      <c r="P965" t="s">
        <v>3313</v>
      </c>
      <c r="Q965">
        <v>10</v>
      </c>
      <c r="R965" t="s">
        <v>3347</v>
      </c>
      <c r="T965" s="2">
        <v>0</v>
      </c>
    </row>
    <row r="966" spans="1:20">
      <c r="A966" t="s">
        <v>23</v>
      </c>
      <c r="B966" s="1">
        <f>HYPERLINK("https://cordis.europa.eu/project/id/101082394", "101082394")</f>
        <v>0</v>
      </c>
      <c r="C966" t="s">
        <v>789</v>
      </c>
      <c r="D966" t="s">
        <v>1607</v>
      </c>
      <c r="E966" t="s">
        <v>2079</v>
      </c>
      <c r="F966" t="s">
        <v>2306</v>
      </c>
      <c r="G966" t="s">
        <v>2541</v>
      </c>
      <c r="H966" t="s">
        <v>2548</v>
      </c>
      <c r="I966" t="s">
        <v>2556</v>
      </c>
      <c r="J966" s="1">
        <f>HYPERLINK("https://ec.europa.eu/info/funding-tenders/opportunities/portal/screen/how-to-participate/org-details/998804636", "998804636")</f>
        <v>0</v>
      </c>
      <c r="K966" t="s">
        <v>2612</v>
      </c>
      <c r="L966" t="s">
        <v>2845</v>
      </c>
      <c r="M966" t="s">
        <v>2965</v>
      </c>
      <c r="N966" t="b">
        <v>0</v>
      </c>
      <c r="O966" t="s">
        <v>3014</v>
      </c>
      <c r="P966" t="s">
        <v>3293</v>
      </c>
      <c r="Q966">
        <v>9</v>
      </c>
      <c r="R966" t="s">
        <v>3347</v>
      </c>
      <c r="T966" s="2">
        <v>0</v>
      </c>
    </row>
    <row r="967" spans="1:20">
      <c r="A967" t="s">
        <v>23</v>
      </c>
      <c r="B967" s="1">
        <f>HYPERLINK("https://cordis.europa.eu/project/id/101086142", "101086142")</f>
        <v>0</v>
      </c>
      <c r="C967" t="s">
        <v>790</v>
      </c>
      <c r="D967" t="s">
        <v>1608</v>
      </c>
      <c r="E967" t="s">
        <v>2080</v>
      </c>
      <c r="F967" t="s">
        <v>2101</v>
      </c>
      <c r="G967" t="s">
        <v>2543</v>
      </c>
      <c r="H967" t="s">
        <v>2548</v>
      </c>
      <c r="I967" t="s">
        <v>2556</v>
      </c>
      <c r="J967" s="1">
        <f>HYPERLINK("https://ec.europa.eu/info/funding-tenders/opportunities/portal/screen/how-to-participate/org-details/997292018", "997292018")</f>
        <v>0</v>
      </c>
      <c r="K967" t="s">
        <v>2606</v>
      </c>
      <c r="L967" t="s">
        <v>2841</v>
      </c>
      <c r="M967" t="s">
        <v>2965</v>
      </c>
      <c r="N967" t="b">
        <v>0</v>
      </c>
      <c r="O967" t="s">
        <v>3014</v>
      </c>
      <c r="P967" t="s">
        <v>3293</v>
      </c>
      <c r="Q967">
        <v>9</v>
      </c>
      <c r="R967" t="s">
        <v>3347</v>
      </c>
      <c r="T967" s="2">
        <v>0</v>
      </c>
    </row>
    <row r="968" spans="1:20">
      <c r="A968" t="s">
        <v>23</v>
      </c>
      <c r="B968" s="1">
        <f>HYPERLINK("https://cordis.europa.eu/project/id/101107488", "101107488")</f>
        <v>0</v>
      </c>
      <c r="C968" t="s">
        <v>791</v>
      </c>
      <c r="D968" t="s">
        <v>1609</v>
      </c>
      <c r="E968" t="s">
        <v>2081</v>
      </c>
      <c r="F968" t="s">
        <v>2299</v>
      </c>
      <c r="G968" t="s">
        <v>2545</v>
      </c>
      <c r="H968" t="s">
        <v>2549</v>
      </c>
      <c r="I968" t="s">
        <v>2557</v>
      </c>
      <c r="J968" s="1">
        <f>HYPERLINK("https://ec.europa.eu/info/funding-tenders/opportunities/portal/screen/how-to-participate/org-details/998295580", "998295580")</f>
        <v>0</v>
      </c>
      <c r="K968" t="s">
        <v>2686</v>
      </c>
      <c r="L968" t="s">
        <v>2907</v>
      </c>
      <c r="M968" t="s">
        <v>2966</v>
      </c>
      <c r="N968" t="b">
        <v>0</v>
      </c>
      <c r="O968" t="s">
        <v>3016</v>
      </c>
      <c r="P968" t="s">
        <v>3279</v>
      </c>
      <c r="Q968">
        <v>2</v>
      </c>
      <c r="R968" t="s">
        <v>3347</v>
      </c>
      <c r="T968" s="2">
        <v>0</v>
      </c>
    </row>
    <row r="969" spans="1:20">
      <c r="A969" t="s">
        <v>23</v>
      </c>
      <c r="B969" s="1">
        <f>HYPERLINK("https://cordis.europa.eu/project/id/101105823", "101105823")</f>
        <v>0</v>
      </c>
      <c r="C969" t="s">
        <v>792</v>
      </c>
      <c r="D969" t="s">
        <v>1610</v>
      </c>
      <c r="E969" t="s">
        <v>2082</v>
      </c>
      <c r="F969" t="s">
        <v>2290</v>
      </c>
      <c r="G969" t="s">
        <v>2495</v>
      </c>
      <c r="H969" t="s">
        <v>2548</v>
      </c>
      <c r="I969" t="s">
        <v>2556</v>
      </c>
      <c r="J969" s="1">
        <f>HYPERLINK("https://ec.europa.eu/info/funding-tenders/opportunities/portal/screen/how-to-participate/org-details/996491768", "996491768")</f>
        <v>0</v>
      </c>
      <c r="K969" t="s">
        <v>2625</v>
      </c>
      <c r="L969" t="s">
        <v>2856</v>
      </c>
      <c r="M969" t="s">
        <v>2966</v>
      </c>
      <c r="N969" t="b">
        <v>0</v>
      </c>
      <c r="O969" t="s">
        <v>3016</v>
      </c>
      <c r="P969" t="s">
        <v>3279</v>
      </c>
      <c r="Q969">
        <v>2</v>
      </c>
      <c r="R969" t="s">
        <v>3347</v>
      </c>
      <c r="T969" s="2">
        <v>0</v>
      </c>
    </row>
    <row r="970" spans="1:20">
      <c r="A970" t="s">
        <v>23</v>
      </c>
      <c r="B970" s="1">
        <f>HYPERLINK("https://cordis.europa.eu/project/id/101103629", "101103629")</f>
        <v>0</v>
      </c>
      <c r="C970" t="s">
        <v>793</v>
      </c>
      <c r="D970" t="s">
        <v>1611</v>
      </c>
      <c r="E970" t="s">
        <v>2083</v>
      </c>
      <c r="F970" t="s">
        <v>2303</v>
      </c>
      <c r="G970" t="s">
        <v>2499</v>
      </c>
      <c r="H970" t="s">
        <v>2548</v>
      </c>
      <c r="I970" t="s">
        <v>2556</v>
      </c>
      <c r="J970" s="1">
        <f>HYPERLINK("https://ec.europa.eu/info/funding-tenders/opportunities/portal/screen/how-to-participate/org-details/999845252", "999845252")</f>
        <v>0</v>
      </c>
      <c r="K970" t="s">
        <v>2687</v>
      </c>
      <c r="L970" t="s">
        <v>2908</v>
      </c>
      <c r="M970" t="s">
        <v>2965</v>
      </c>
      <c r="N970" t="b">
        <v>0</v>
      </c>
      <c r="O970" t="s">
        <v>3016</v>
      </c>
      <c r="P970" t="s">
        <v>3279</v>
      </c>
      <c r="Q970">
        <v>2</v>
      </c>
      <c r="R970" t="s">
        <v>3347</v>
      </c>
      <c r="T970" s="2">
        <v>0</v>
      </c>
    </row>
    <row r="971" spans="1:20">
      <c r="A971" t="s">
        <v>23</v>
      </c>
      <c r="B971" s="1">
        <f>HYPERLINK("https://cordis.europa.eu/project/id/101064972", "101064972")</f>
        <v>0</v>
      </c>
      <c r="C971" t="s">
        <v>794</v>
      </c>
      <c r="D971" t="s">
        <v>1612</v>
      </c>
      <c r="E971" t="s">
        <v>2001</v>
      </c>
      <c r="F971" t="s">
        <v>2298</v>
      </c>
      <c r="G971" t="s">
        <v>2502</v>
      </c>
      <c r="H971" t="s">
        <v>2548</v>
      </c>
      <c r="I971" t="s">
        <v>2556</v>
      </c>
      <c r="J971" s="1">
        <f>HYPERLINK("https://ec.europa.eu/info/funding-tenders/opportunities/portal/screen/how-to-participate/org-details/986245755", "986245755")</f>
        <v>0</v>
      </c>
      <c r="K971" t="s">
        <v>2800</v>
      </c>
      <c r="M971" t="s">
        <v>2965</v>
      </c>
      <c r="N971" t="b">
        <v>0</v>
      </c>
      <c r="O971" t="s">
        <v>3021</v>
      </c>
      <c r="P971" t="s">
        <v>3295</v>
      </c>
      <c r="Q971">
        <v>2</v>
      </c>
      <c r="R971" t="s">
        <v>3347</v>
      </c>
      <c r="T971" s="2">
        <v>0</v>
      </c>
    </row>
    <row r="972" spans="1:20">
      <c r="A972" t="s">
        <v>23</v>
      </c>
      <c r="B972" s="1">
        <f>HYPERLINK("https://cordis.europa.eu/project/id/101060505", "101060505")</f>
        <v>0</v>
      </c>
      <c r="C972" t="s">
        <v>795</v>
      </c>
      <c r="D972" t="s">
        <v>1613</v>
      </c>
      <c r="E972" t="s">
        <v>2084</v>
      </c>
      <c r="F972" t="s">
        <v>2303</v>
      </c>
      <c r="G972" t="s">
        <v>2424</v>
      </c>
      <c r="H972" t="s">
        <v>2548</v>
      </c>
      <c r="I972" t="s">
        <v>2556</v>
      </c>
      <c r="J972" s="1">
        <f>HYPERLINK("https://ec.europa.eu/info/funding-tenders/opportunities/portal/screen/how-to-participate/org-details/998826946", "998826946")</f>
        <v>0</v>
      </c>
      <c r="K972" t="s">
        <v>2617</v>
      </c>
      <c r="L972" t="s">
        <v>2848</v>
      </c>
      <c r="M972" t="s">
        <v>2965</v>
      </c>
      <c r="N972" t="b">
        <v>0</v>
      </c>
      <c r="O972" t="s">
        <v>3028</v>
      </c>
      <c r="P972" t="s">
        <v>3295</v>
      </c>
      <c r="Q972">
        <v>2</v>
      </c>
      <c r="R972" t="s">
        <v>3347</v>
      </c>
    </row>
    <row r="973" spans="1:20">
      <c r="A973" t="s">
        <v>23</v>
      </c>
      <c r="B973" s="1">
        <f>HYPERLINK("https://cordis.europa.eu/project/id/101103870", "101103870")</f>
        <v>0</v>
      </c>
      <c r="C973" t="s">
        <v>778</v>
      </c>
      <c r="D973" t="s">
        <v>1595</v>
      </c>
      <c r="E973" t="s">
        <v>2085</v>
      </c>
      <c r="F973" t="s">
        <v>2313</v>
      </c>
      <c r="G973" t="s">
        <v>2546</v>
      </c>
      <c r="H973" t="s">
        <v>2548</v>
      </c>
      <c r="I973" t="s">
        <v>2556</v>
      </c>
      <c r="J973" s="1">
        <f>HYPERLINK("https://ec.europa.eu/info/funding-tenders/opportunities/portal/screen/how-to-participate/org-details/968922622", "968922622")</f>
        <v>0</v>
      </c>
      <c r="K973" t="s">
        <v>2700</v>
      </c>
      <c r="L973" t="s">
        <v>2700</v>
      </c>
      <c r="M973" t="s">
        <v>2965</v>
      </c>
      <c r="N973" t="b">
        <v>0</v>
      </c>
      <c r="O973" t="s">
        <v>3016</v>
      </c>
      <c r="P973" t="s">
        <v>3279</v>
      </c>
      <c r="Q973">
        <v>2</v>
      </c>
      <c r="R973" t="s">
        <v>3347</v>
      </c>
      <c r="T973" s="2">
        <v>0</v>
      </c>
    </row>
    <row r="974" spans="1:20">
      <c r="A974" t="s">
        <v>23</v>
      </c>
      <c r="B974" s="1">
        <f>HYPERLINK("https://cordis.europa.eu/project/id/101119873", "101119873")</f>
        <v>0</v>
      </c>
      <c r="C974" t="s">
        <v>796</v>
      </c>
      <c r="D974" t="s">
        <v>1614</v>
      </c>
      <c r="E974" t="s">
        <v>2086</v>
      </c>
      <c r="F974" t="s">
        <v>2295</v>
      </c>
      <c r="G974" t="s">
        <v>2519</v>
      </c>
      <c r="H974" t="s">
        <v>2548</v>
      </c>
      <c r="I974" t="s">
        <v>2556</v>
      </c>
      <c r="J974" s="1">
        <f>HYPERLINK("https://ec.europa.eu/info/funding-tenders/opportunities/portal/screen/how-to-participate/org-details/884379265", "884379265")</f>
        <v>0</v>
      </c>
      <c r="K974" t="s">
        <v>2801</v>
      </c>
      <c r="L974" t="s">
        <v>2960</v>
      </c>
      <c r="M974" t="s">
        <v>2968</v>
      </c>
      <c r="N974" t="b">
        <v>1</v>
      </c>
      <c r="O974" t="s">
        <v>3020</v>
      </c>
      <c r="P974" t="s">
        <v>3294</v>
      </c>
      <c r="Q974">
        <v>13</v>
      </c>
      <c r="R974" t="s">
        <v>3347</v>
      </c>
      <c r="T974" s="2">
        <v>0</v>
      </c>
    </row>
    <row r="975" spans="1:20">
      <c r="A975" t="s">
        <v>23</v>
      </c>
      <c r="B975" s="1">
        <f>HYPERLINK("https://cordis.europa.eu/project/id/101126658", "101126658")</f>
        <v>0</v>
      </c>
      <c r="C975" t="s">
        <v>797</v>
      </c>
      <c r="D975" t="s">
        <v>1615</v>
      </c>
      <c r="E975" t="s">
        <v>2087</v>
      </c>
      <c r="F975" t="s">
        <v>2288</v>
      </c>
      <c r="G975" t="s">
        <v>2526</v>
      </c>
      <c r="H975" t="s">
        <v>2549</v>
      </c>
      <c r="I975" t="s">
        <v>2557</v>
      </c>
      <c r="J975" s="1">
        <f>HYPERLINK("https://ec.europa.eu/info/funding-tenders/opportunities/portal/screen/how-to-participate/org-details/999613131", "999613131")</f>
        <v>0</v>
      </c>
      <c r="K975" t="s">
        <v>2591</v>
      </c>
      <c r="L975" t="s">
        <v>2831</v>
      </c>
      <c r="M975" t="s">
        <v>2965</v>
      </c>
      <c r="N975" t="b">
        <v>0</v>
      </c>
      <c r="O975" t="s">
        <v>3030</v>
      </c>
      <c r="P975" t="s">
        <v>3281</v>
      </c>
      <c r="Q975">
        <v>4</v>
      </c>
      <c r="R975" t="s">
        <v>3347</v>
      </c>
      <c r="T975" s="2">
        <v>0</v>
      </c>
    </row>
    <row r="976" spans="1:20">
      <c r="A976" t="s">
        <v>23</v>
      </c>
      <c r="B976" s="1">
        <f>HYPERLINK("https://cordis.europa.eu/project/id/101095643", "101095643")</f>
        <v>0</v>
      </c>
      <c r="C976" t="s">
        <v>798</v>
      </c>
      <c r="D976" t="s">
        <v>1616</v>
      </c>
      <c r="E976" t="s">
        <v>2088</v>
      </c>
      <c r="F976" t="s">
        <v>2277</v>
      </c>
      <c r="G976" t="s">
        <v>2532</v>
      </c>
      <c r="H976" t="s">
        <v>2548</v>
      </c>
      <c r="I976" t="s">
        <v>2556</v>
      </c>
      <c r="J976" s="1">
        <f>HYPERLINK("https://ec.europa.eu/info/funding-tenders/opportunities/portal/screen/how-to-participate/org-details/937307994", "937307994")</f>
        <v>0</v>
      </c>
      <c r="K976" t="s">
        <v>2753</v>
      </c>
      <c r="L976" t="s">
        <v>2938</v>
      </c>
      <c r="M976" t="s">
        <v>2968</v>
      </c>
      <c r="N976" t="b">
        <v>0</v>
      </c>
      <c r="O976" t="s">
        <v>3012</v>
      </c>
      <c r="P976" t="s">
        <v>3318</v>
      </c>
      <c r="Q976">
        <v>14</v>
      </c>
      <c r="R976" t="s">
        <v>3347</v>
      </c>
      <c r="T976" s="2">
        <v>0</v>
      </c>
    </row>
    <row r="977" spans="1:21">
      <c r="A977" t="s">
        <v>23</v>
      </c>
      <c r="B977" s="1">
        <f>HYPERLINK("https://cordis.europa.eu/project/id/101057114", "101057114")</f>
        <v>0</v>
      </c>
      <c r="C977" t="s">
        <v>799</v>
      </c>
      <c r="D977" t="s">
        <v>1617</v>
      </c>
      <c r="E977" t="s">
        <v>2089</v>
      </c>
      <c r="F977" t="s">
        <v>2214</v>
      </c>
      <c r="G977" t="s">
        <v>2495</v>
      </c>
      <c r="H977" t="s">
        <v>2548</v>
      </c>
      <c r="I977" t="s">
        <v>2556</v>
      </c>
      <c r="J977" s="1">
        <f>HYPERLINK("https://ec.europa.eu/info/funding-tenders/opportunities/portal/screen/how-to-participate/org-details/911181432", "911181432")</f>
        <v>0</v>
      </c>
      <c r="K977" t="s">
        <v>2774</v>
      </c>
      <c r="M977" t="s">
        <v>2966</v>
      </c>
      <c r="N977" t="b">
        <v>0</v>
      </c>
      <c r="O977" t="s">
        <v>3012</v>
      </c>
      <c r="P977" t="s">
        <v>3319</v>
      </c>
      <c r="Q977">
        <v>10</v>
      </c>
      <c r="R977" t="s">
        <v>3347</v>
      </c>
      <c r="T977" s="2">
        <v>0</v>
      </c>
    </row>
    <row r="978" spans="1:21">
      <c r="A978" t="s">
        <v>23</v>
      </c>
      <c r="B978" s="1">
        <f>HYPERLINK("https://cordis.europa.eu/project/id/101072686", "101072686")</f>
        <v>0</v>
      </c>
      <c r="C978" t="s">
        <v>800</v>
      </c>
      <c r="D978" t="s">
        <v>1618</v>
      </c>
      <c r="E978" t="s">
        <v>2067</v>
      </c>
      <c r="F978" t="s">
        <v>2277</v>
      </c>
      <c r="G978" t="s">
        <v>2532</v>
      </c>
      <c r="H978" t="s">
        <v>2548</v>
      </c>
      <c r="I978" t="s">
        <v>2556</v>
      </c>
      <c r="J978" s="1">
        <f>HYPERLINK("https://ec.europa.eu/info/funding-tenders/opportunities/portal/screen/how-to-participate/org-details/998711419", "998711419")</f>
        <v>0</v>
      </c>
      <c r="K978" t="s">
        <v>2628</v>
      </c>
      <c r="M978" t="s">
        <v>2965</v>
      </c>
      <c r="N978" t="b">
        <v>0</v>
      </c>
      <c r="O978" t="s">
        <v>3020</v>
      </c>
      <c r="P978" t="s">
        <v>3313</v>
      </c>
      <c r="Q978">
        <v>11</v>
      </c>
      <c r="R978" t="s">
        <v>3347</v>
      </c>
      <c r="T978" s="2">
        <v>0</v>
      </c>
    </row>
    <row r="979" spans="1:21">
      <c r="A979" t="s">
        <v>23</v>
      </c>
      <c r="B979" s="1">
        <f>HYPERLINK("https://cordis.europa.eu/project/id/101081280", "101081280")</f>
        <v>0</v>
      </c>
      <c r="C979" t="s">
        <v>801</v>
      </c>
      <c r="D979" t="s">
        <v>1619</v>
      </c>
      <c r="E979" t="s">
        <v>2064</v>
      </c>
      <c r="F979" t="s">
        <v>2101</v>
      </c>
      <c r="G979" t="s">
        <v>2537</v>
      </c>
      <c r="H979" t="s">
        <v>2549</v>
      </c>
      <c r="I979" t="s">
        <v>2557</v>
      </c>
      <c r="J979" s="1">
        <f>HYPERLINK("https://ec.europa.eu/info/funding-tenders/opportunities/portal/screen/how-to-participate/org-details/998295580", "998295580")</f>
        <v>0</v>
      </c>
      <c r="K979" t="s">
        <v>2686</v>
      </c>
      <c r="L979" t="s">
        <v>2907</v>
      </c>
      <c r="M979" t="s">
        <v>2966</v>
      </c>
      <c r="N979" t="b">
        <v>0</v>
      </c>
      <c r="O979" t="s">
        <v>3017</v>
      </c>
      <c r="P979" t="s">
        <v>3320</v>
      </c>
      <c r="Q979">
        <v>14</v>
      </c>
      <c r="R979" t="s">
        <v>3347</v>
      </c>
      <c r="T979" s="2">
        <v>0</v>
      </c>
    </row>
    <row r="980" spans="1:21">
      <c r="A980" t="s">
        <v>23</v>
      </c>
      <c r="B980" s="1">
        <f>HYPERLINK("https://cordis.europa.eu/project/id/101107702", "101107702")</f>
        <v>0</v>
      </c>
      <c r="C980" t="s">
        <v>802</v>
      </c>
      <c r="D980" t="s">
        <v>1620</v>
      </c>
      <c r="E980" t="s">
        <v>2081</v>
      </c>
      <c r="F980" t="s">
        <v>2293</v>
      </c>
      <c r="G980" t="s">
        <v>2543</v>
      </c>
      <c r="H980" t="s">
        <v>2548</v>
      </c>
      <c r="I980" t="s">
        <v>2556</v>
      </c>
      <c r="J980" s="1">
        <f>HYPERLINK("https://ec.europa.eu/info/funding-tenders/opportunities/portal/screen/how-to-participate/org-details/999845252", "999845252")</f>
        <v>0</v>
      </c>
      <c r="K980" t="s">
        <v>2687</v>
      </c>
      <c r="L980" t="s">
        <v>2908</v>
      </c>
      <c r="M980" t="s">
        <v>2965</v>
      </c>
      <c r="N980" t="b">
        <v>0</v>
      </c>
      <c r="O980" t="s">
        <v>3016</v>
      </c>
      <c r="P980" t="s">
        <v>3279</v>
      </c>
      <c r="Q980">
        <v>2</v>
      </c>
      <c r="R980" t="s">
        <v>3347</v>
      </c>
      <c r="T980" s="2">
        <v>0</v>
      </c>
    </row>
    <row r="981" spans="1:21">
      <c r="A981" t="s">
        <v>23</v>
      </c>
      <c r="B981" s="1">
        <f>HYPERLINK("https://cordis.europa.eu/project/id/101126560", "101126560")</f>
        <v>0</v>
      </c>
      <c r="C981" t="s">
        <v>803</v>
      </c>
      <c r="D981" t="s">
        <v>1621</v>
      </c>
      <c r="E981" t="s">
        <v>1999</v>
      </c>
      <c r="F981" t="s">
        <v>2283</v>
      </c>
      <c r="G981" t="s">
        <v>2515</v>
      </c>
      <c r="H981" t="s">
        <v>2548</v>
      </c>
      <c r="I981" t="s">
        <v>2556</v>
      </c>
      <c r="J981" s="1">
        <f>HYPERLINK("https://ec.europa.eu/info/funding-tenders/opportunities/portal/screen/how-to-participate/org-details/998804636", "998804636")</f>
        <v>0</v>
      </c>
      <c r="K981" t="s">
        <v>2612</v>
      </c>
      <c r="L981" t="s">
        <v>2845</v>
      </c>
      <c r="M981" t="s">
        <v>2965</v>
      </c>
      <c r="N981" t="b">
        <v>0</v>
      </c>
      <c r="O981" t="s">
        <v>3030</v>
      </c>
      <c r="P981" t="s">
        <v>3281</v>
      </c>
      <c r="Q981">
        <v>3</v>
      </c>
      <c r="R981" t="s">
        <v>3347</v>
      </c>
      <c r="T981" s="2">
        <v>0</v>
      </c>
    </row>
    <row r="982" spans="1:21">
      <c r="A982" t="s">
        <v>23</v>
      </c>
      <c r="B982" s="1">
        <f>HYPERLINK("https://cordis.europa.eu/project/id/101126560", "101126560")</f>
        <v>0</v>
      </c>
      <c r="C982" t="s">
        <v>803</v>
      </c>
      <c r="D982" t="s">
        <v>1621</v>
      </c>
      <c r="E982" t="s">
        <v>1999</v>
      </c>
      <c r="F982" t="s">
        <v>2283</v>
      </c>
      <c r="G982" t="s">
        <v>2515</v>
      </c>
      <c r="H982" t="s">
        <v>2548</v>
      </c>
      <c r="I982" t="s">
        <v>2556</v>
      </c>
      <c r="J982" s="1">
        <f>HYPERLINK("https://ec.europa.eu/info/funding-tenders/opportunities/portal/screen/how-to-participate/org-details/999885216", "999885216")</f>
        <v>0</v>
      </c>
      <c r="K982" t="s">
        <v>2658</v>
      </c>
      <c r="L982" t="s">
        <v>2884</v>
      </c>
      <c r="M982" t="s">
        <v>2965</v>
      </c>
      <c r="N982" t="b">
        <v>0</v>
      </c>
      <c r="O982" t="s">
        <v>3030</v>
      </c>
      <c r="P982" t="s">
        <v>3281</v>
      </c>
      <c r="Q982">
        <v>17</v>
      </c>
      <c r="R982" t="s">
        <v>3347</v>
      </c>
      <c r="T982" s="2">
        <v>0</v>
      </c>
    </row>
    <row r="983" spans="1:21">
      <c r="A983" t="s">
        <v>23</v>
      </c>
      <c r="B983" s="1">
        <f>HYPERLINK("https://cordis.europa.eu/project/id/101082070", "101082070")</f>
        <v>0</v>
      </c>
      <c r="C983" t="s">
        <v>804</v>
      </c>
      <c r="D983" t="s">
        <v>1622</v>
      </c>
      <c r="E983" t="s">
        <v>2090</v>
      </c>
      <c r="F983" t="s">
        <v>2101</v>
      </c>
      <c r="G983" t="s">
        <v>2543</v>
      </c>
      <c r="H983" t="s">
        <v>2548</v>
      </c>
      <c r="I983" t="s">
        <v>2556</v>
      </c>
      <c r="J983" s="1">
        <f>HYPERLINK("https://ec.europa.eu/info/funding-tenders/opportunities/portal/screen/how-to-participate/org-details/998083247", "998083247")</f>
        <v>0</v>
      </c>
      <c r="K983" t="s">
        <v>2605</v>
      </c>
      <c r="M983" t="s">
        <v>2965</v>
      </c>
      <c r="N983" t="b">
        <v>0</v>
      </c>
      <c r="O983" t="s">
        <v>3013</v>
      </c>
      <c r="P983" t="s">
        <v>3321</v>
      </c>
      <c r="Q983">
        <v>27</v>
      </c>
      <c r="R983" t="s">
        <v>3347</v>
      </c>
      <c r="T983" s="2">
        <v>0</v>
      </c>
    </row>
    <row r="984" spans="1:21">
      <c r="A984" t="s">
        <v>23</v>
      </c>
      <c r="B984" s="1">
        <f>HYPERLINK("https://cordis.europa.eu/project/id/101061314", "101061314")</f>
        <v>0</v>
      </c>
      <c r="C984" t="s">
        <v>805</v>
      </c>
      <c r="D984" t="s">
        <v>1623</v>
      </c>
      <c r="E984" t="s">
        <v>2047</v>
      </c>
      <c r="F984" t="s">
        <v>2294</v>
      </c>
      <c r="G984" t="s">
        <v>2500</v>
      </c>
      <c r="H984" t="s">
        <v>2548</v>
      </c>
      <c r="I984" t="s">
        <v>2556</v>
      </c>
      <c r="J984" s="1">
        <f>HYPERLINK("https://ec.europa.eu/info/funding-tenders/opportunities/portal/screen/how-to-participate/org-details/998040955", "998040955")</f>
        <v>0</v>
      </c>
      <c r="K984" t="s">
        <v>2602</v>
      </c>
      <c r="M984" t="s">
        <v>2965</v>
      </c>
      <c r="N984" t="b">
        <v>0</v>
      </c>
      <c r="O984" t="s">
        <v>3023</v>
      </c>
      <c r="P984" t="s">
        <v>3322</v>
      </c>
      <c r="Q984">
        <v>15</v>
      </c>
      <c r="R984" t="s">
        <v>3347</v>
      </c>
      <c r="T984" s="2">
        <v>0</v>
      </c>
    </row>
    <row r="985" spans="1:21">
      <c r="A985" t="s">
        <v>23</v>
      </c>
      <c r="B985" s="1">
        <f>HYPERLINK("https://cordis.europa.eu/project/id/101055397", "101055397")</f>
        <v>0</v>
      </c>
      <c r="C985" t="s">
        <v>806</v>
      </c>
      <c r="D985" t="s">
        <v>1624</v>
      </c>
      <c r="E985" t="s">
        <v>2068</v>
      </c>
      <c r="F985" t="s">
        <v>2277</v>
      </c>
      <c r="G985" t="s">
        <v>2516</v>
      </c>
      <c r="H985" t="s">
        <v>2548</v>
      </c>
      <c r="I985" t="s">
        <v>2556</v>
      </c>
      <c r="J985" s="1">
        <f>HYPERLINK("https://ec.europa.eu/info/funding-tenders/opportunities/portal/screen/how-to-participate/org-details/998385014", "998385014")</f>
        <v>0</v>
      </c>
      <c r="K985" t="s">
        <v>2618</v>
      </c>
      <c r="L985" t="s">
        <v>2849</v>
      </c>
      <c r="M985" t="s">
        <v>2965</v>
      </c>
      <c r="N985" t="b">
        <v>0</v>
      </c>
      <c r="O985" t="s">
        <v>3031</v>
      </c>
      <c r="P985" t="s">
        <v>3323</v>
      </c>
      <c r="Q985">
        <v>2</v>
      </c>
      <c r="R985" t="s">
        <v>3342</v>
      </c>
      <c r="S985" s="2">
        <v>16250</v>
      </c>
      <c r="T985" s="2">
        <v>16250</v>
      </c>
      <c r="U985" s="2">
        <v>16250</v>
      </c>
    </row>
    <row r="986" spans="1:21">
      <c r="A986" t="s">
        <v>23</v>
      </c>
      <c r="B986" s="1">
        <f>HYPERLINK("https://cordis.europa.eu/project/id/101094394", "101094394")</f>
        <v>0</v>
      </c>
      <c r="C986" t="s">
        <v>807</v>
      </c>
      <c r="D986" t="s">
        <v>1625</v>
      </c>
      <c r="E986" t="s">
        <v>2091</v>
      </c>
      <c r="F986" t="s">
        <v>2306</v>
      </c>
      <c r="G986" t="s">
        <v>2541</v>
      </c>
      <c r="H986" t="s">
        <v>2548</v>
      </c>
      <c r="I986" t="s">
        <v>2556</v>
      </c>
      <c r="J986" s="1">
        <f>HYPERLINK("https://ec.europa.eu/info/funding-tenders/opportunities/portal/screen/how-to-participate/org-details/999885216", "999885216")</f>
        <v>0</v>
      </c>
      <c r="K986" t="s">
        <v>2658</v>
      </c>
      <c r="L986" t="s">
        <v>2884</v>
      </c>
      <c r="M986" t="s">
        <v>2965</v>
      </c>
      <c r="N986" t="b">
        <v>0</v>
      </c>
      <c r="O986" t="s">
        <v>3012</v>
      </c>
      <c r="P986" t="s">
        <v>3324</v>
      </c>
      <c r="Q986">
        <v>11</v>
      </c>
      <c r="R986" t="s">
        <v>3347</v>
      </c>
      <c r="T986" s="2">
        <v>0</v>
      </c>
      <c r="U986" s="2">
        <v>0</v>
      </c>
    </row>
    <row r="987" spans="1:21">
      <c r="A987" t="s">
        <v>23</v>
      </c>
      <c r="B987" s="1">
        <f>HYPERLINK("https://cordis.europa.eu/project/id/101130467", "101130467")</f>
        <v>0</v>
      </c>
      <c r="C987" t="s">
        <v>808</v>
      </c>
      <c r="D987" t="s">
        <v>1626</v>
      </c>
      <c r="E987" t="s">
        <v>2057</v>
      </c>
      <c r="F987" t="s">
        <v>2283</v>
      </c>
      <c r="G987" t="s">
        <v>2532</v>
      </c>
      <c r="H987" t="s">
        <v>2549</v>
      </c>
      <c r="I987" t="s">
        <v>2557</v>
      </c>
      <c r="J987" s="1">
        <f>HYPERLINK("https://ec.europa.eu/info/funding-tenders/opportunities/portal/screen/how-to-participate/org-details/998317211", "998317211")</f>
        <v>0</v>
      </c>
      <c r="K987" t="s">
        <v>2649</v>
      </c>
      <c r="M987" t="s">
        <v>2966</v>
      </c>
      <c r="N987" t="b">
        <v>0</v>
      </c>
      <c r="O987" t="s">
        <v>3023</v>
      </c>
      <c r="P987" t="s">
        <v>3325</v>
      </c>
      <c r="Q987">
        <v>16</v>
      </c>
      <c r="R987" t="s">
        <v>3342</v>
      </c>
      <c r="S987" s="2">
        <v>171000</v>
      </c>
      <c r="T987" s="2">
        <v>171000</v>
      </c>
      <c r="U987" s="2">
        <v>171000</v>
      </c>
    </row>
    <row r="988" spans="1:21">
      <c r="A988" t="s">
        <v>23</v>
      </c>
      <c r="B988" s="1">
        <f>HYPERLINK("https://cordis.europa.eu/project/id/101130467", "101130467")</f>
        <v>0</v>
      </c>
      <c r="C988" t="s">
        <v>808</v>
      </c>
      <c r="D988" t="s">
        <v>1626</v>
      </c>
      <c r="E988" t="s">
        <v>2057</v>
      </c>
      <c r="F988" t="s">
        <v>2283</v>
      </c>
      <c r="G988" t="s">
        <v>2532</v>
      </c>
      <c r="H988" t="s">
        <v>2548</v>
      </c>
      <c r="I988" t="s">
        <v>2556</v>
      </c>
      <c r="J988" s="1">
        <f>HYPERLINK("https://ec.europa.eu/info/funding-tenders/opportunities/portal/screen/how-to-participate/org-details/983338374", "983338374")</f>
        <v>0</v>
      </c>
      <c r="K988" t="s">
        <v>2740</v>
      </c>
      <c r="L988" t="s">
        <v>2933</v>
      </c>
      <c r="M988" t="s">
        <v>2969</v>
      </c>
      <c r="N988" t="b">
        <v>0</v>
      </c>
      <c r="O988" t="s">
        <v>3023</v>
      </c>
      <c r="P988" t="s">
        <v>3325</v>
      </c>
      <c r="Q988">
        <v>28</v>
      </c>
      <c r="R988" t="s">
        <v>3347</v>
      </c>
      <c r="T988" s="2">
        <v>0</v>
      </c>
      <c r="U988" s="2">
        <v>0</v>
      </c>
    </row>
    <row r="989" spans="1:21">
      <c r="A989" t="s">
        <v>23</v>
      </c>
      <c r="B989" s="1">
        <f>HYPERLINK("https://cordis.europa.eu/project/id/101094649", "101094649")</f>
        <v>0</v>
      </c>
      <c r="C989" t="s">
        <v>809</v>
      </c>
      <c r="D989" t="s">
        <v>1627</v>
      </c>
      <c r="E989" t="s">
        <v>2092</v>
      </c>
      <c r="F989" t="s">
        <v>2277</v>
      </c>
      <c r="G989" t="s">
        <v>2532</v>
      </c>
      <c r="H989" t="s">
        <v>2548</v>
      </c>
      <c r="I989" t="s">
        <v>2556</v>
      </c>
      <c r="J989" s="1">
        <f>HYPERLINK("https://ec.europa.eu/info/funding-tenders/opportunities/portal/screen/how-to-participate/org-details/998539535", "998539535")</f>
        <v>0</v>
      </c>
      <c r="K989" t="s">
        <v>2662</v>
      </c>
      <c r="L989" t="s">
        <v>2662</v>
      </c>
      <c r="M989" t="s">
        <v>2965</v>
      </c>
      <c r="N989" t="b">
        <v>0</v>
      </c>
      <c r="O989" t="s">
        <v>3012</v>
      </c>
      <c r="P989" t="s">
        <v>3326</v>
      </c>
      <c r="Q989">
        <v>10</v>
      </c>
      <c r="R989" t="s">
        <v>3347</v>
      </c>
      <c r="T989" s="2">
        <v>0</v>
      </c>
      <c r="U989" s="2">
        <v>0</v>
      </c>
    </row>
    <row r="990" spans="1:21">
      <c r="A990" t="s">
        <v>23</v>
      </c>
      <c r="B990" s="1">
        <f>HYPERLINK("https://cordis.europa.eu/project/id/101072777", "101072777")</f>
        <v>0</v>
      </c>
      <c r="C990" t="s">
        <v>810</v>
      </c>
      <c r="D990" t="s">
        <v>1628</v>
      </c>
      <c r="E990" t="s">
        <v>2069</v>
      </c>
      <c r="F990" t="s">
        <v>2307</v>
      </c>
      <c r="G990" t="s">
        <v>2531</v>
      </c>
      <c r="H990" t="s">
        <v>2548</v>
      </c>
      <c r="I990" t="s">
        <v>2556</v>
      </c>
      <c r="J990" s="1">
        <f>HYPERLINK("https://ec.europa.eu/info/funding-tenders/opportunities/portal/screen/how-to-participate/org-details/998539535", "998539535")</f>
        <v>0</v>
      </c>
      <c r="K990" t="s">
        <v>2662</v>
      </c>
      <c r="L990" t="s">
        <v>2662</v>
      </c>
      <c r="M990" t="s">
        <v>2965</v>
      </c>
      <c r="N990" t="b">
        <v>0</v>
      </c>
      <c r="O990" t="s">
        <v>3020</v>
      </c>
      <c r="P990" t="s">
        <v>3313</v>
      </c>
      <c r="Q990">
        <v>17</v>
      </c>
      <c r="R990" t="s">
        <v>3347</v>
      </c>
      <c r="T990" s="2">
        <v>0</v>
      </c>
    </row>
    <row r="991" spans="1:21">
      <c r="A991" t="s">
        <v>23</v>
      </c>
      <c r="B991" s="1">
        <f>HYPERLINK("https://cordis.europa.eu/project/id/101136926", "101136926")</f>
        <v>0</v>
      </c>
      <c r="C991" t="s">
        <v>811</v>
      </c>
      <c r="D991" t="s">
        <v>1629</v>
      </c>
      <c r="E991" t="s">
        <v>2093</v>
      </c>
      <c r="F991" t="s">
        <v>2283</v>
      </c>
      <c r="G991" t="s">
        <v>2516</v>
      </c>
      <c r="H991" t="s">
        <v>2548</v>
      </c>
      <c r="I991" t="s">
        <v>2556</v>
      </c>
      <c r="J991" s="1">
        <f>HYPERLINK("https://ec.europa.eu/info/funding-tenders/opportunities/portal/screen/how-to-participate/org-details/998826946", "998826946")</f>
        <v>0</v>
      </c>
      <c r="K991" t="s">
        <v>2617</v>
      </c>
      <c r="L991" t="s">
        <v>2848</v>
      </c>
      <c r="M991" t="s">
        <v>2965</v>
      </c>
      <c r="N991" t="b">
        <v>0</v>
      </c>
      <c r="O991" t="s">
        <v>3012</v>
      </c>
      <c r="P991" t="s">
        <v>3327</v>
      </c>
      <c r="Q991">
        <v>17</v>
      </c>
      <c r="R991" t="s">
        <v>3347</v>
      </c>
      <c r="T991" s="2">
        <v>0</v>
      </c>
    </row>
    <row r="992" spans="1:21">
      <c r="A992" t="s">
        <v>23</v>
      </c>
      <c r="B992" s="1">
        <f>HYPERLINK("https://cordis.europa.eu/project/id/101136835", "101136835")</f>
        <v>0</v>
      </c>
      <c r="C992" t="s">
        <v>812</v>
      </c>
      <c r="D992" t="s">
        <v>1630</v>
      </c>
      <c r="E992" t="s">
        <v>2093</v>
      </c>
      <c r="F992" t="s">
        <v>2302</v>
      </c>
      <c r="G992" t="s">
        <v>2535</v>
      </c>
      <c r="H992" t="s">
        <v>2548</v>
      </c>
      <c r="I992" t="s">
        <v>2556</v>
      </c>
      <c r="J992" s="1">
        <f>HYPERLINK("https://ec.europa.eu/info/funding-tenders/opportunities/portal/screen/how-to-participate/org-details/998089261", "998089261")</f>
        <v>0</v>
      </c>
      <c r="K992" t="s">
        <v>2661</v>
      </c>
      <c r="L992" t="s">
        <v>2887</v>
      </c>
      <c r="M992" t="s">
        <v>2966</v>
      </c>
      <c r="N992" t="b">
        <v>0</v>
      </c>
      <c r="O992" t="s">
        <v>3012</v>
      </c>
      <c r="P992" t="s">
        <v>3327</v>
      </c>
      <c r="Q992">
        <v>11</v>
      </c>
      <c r="R992" t="s">
        <v>3347</v>
      </c>
      <c r="T992" s="2">
        <v>0</v>
      </c>
    </row>
    <row r="993" spans="1:21">
      <c r="A993" t="s">
        <v>23</v>
      </c>
      <c r="B993" s="1">
        <f>HYPERLINK("https://cordis.europa.eu/project/id/101136835", "101136835")</f>
        <v>0</v>
      </c>
      <c r="C993" t="s">
        <v>812</v>
      </c>
      <c r="D993" t="s">
        <v>1630</v>
      </c>
      <c r="E993" t="s">
        <v>2093</v>
      </c>
      <c r="F993" t="s">
        <v>2302</v>
      </c>
      <c r="G993" t="s">
        <v>2535</v>
      </c>
      <c r="H993" t="s">
        <v>2548</v>
      </c>
      <c r="I993" t="s">
        <v>2556</v>
      </c>
      <c r="J993" s="1">
        <f>HYPERLINK("https://ec.europa.eu/info/funding-tenders/opportunities/portal/screen/how-to-participate/org-details/998826946", "998826946")</f>
        <v>0</v>
      </c>
      <c r="K993" t="s">
        <v>2617</v>
      </c>
      <c r="L993" t="s">
        <v>2848</v>
      </c>
      <c r="M993" t="s">
        <v>2965</v>
      </c>
      <c r="N993" t="b">
        <v>0</v>
      </c>
      <c r="O993" t="s">
        <v>3012</v>
      </c>
      <c r="P993" t="s">
        <v>3327</v>
      </c>
      <c r="Q993">
        <v>9</v>
      </c>
      <c r="R993" t="s">
        <v>3347</v>
      </c>
      <c r="T993" s="2">
        <v>0</v>
      </c>
      <c r="U993" s="2">
        <v>0</v>
      </c>
    </row>
    <row r="994" spans="1:21">
      <c r="A994" t="s">
        <v>23</v>
      </c>
      <c r="B994" s="1">
        <f>HYPERLINK("https://cordis.europa.eu/project/id/101081674", "101081674")</f>
        <v>0</v>
      </c>
      <c r="C994" t="s">
        <v>813</v>
      </c>
      <c r="D994" t="s">
        <v>1631</v>
      </c>
      <c r="E994" t="s">
        <v>2064</v>
      </c>
      <c r="F994" t="s">
        <v>2277</v>
      </c>
      <c r="G994" t="s">
        <v>2516</v>
      </c>
      <c r="H994" t="s">
        <v>2548</v>
      </c>
      <c r="I994" t="s">
        <v>2556</v>
      </c>
      <c r="J994" s="1">
        <f>HYPERLINK("https://ec.europa.eu/info/funding-tenders/opportunities/portal/screen/how-to-participate/org-details/895836420", "895836420")</f>
        <v>0</v>
      </c>
      <c r="K994" t="s">
        <v>2735</v>
      </c>
      <c r="M994" t="s">
        <v>2966</v>
      </c>
      <c r="N994" t="b">
        <v>0</v>
      </c>
      <c r="O994" t="s">
        <v>3017</v>
      </c>
      <c r="P994" t="s">
        <v>3320</v>
      </c>
      <c r="Q994">
        <v>9</v>
      </c>
      <c r="R994" t="s">
        <v>3347</v>
      </c>
      <c r="T994" s="2">
        <v>0</v>
      </c>
    </row>
    <row r="995" spans="1:21">
      <c r="A995" t="s">
        <v>23</v>
      </c>
      <c r="B995" s="1">
        <f>HYPERLINK("https://cordis.europa.eu/project/id/101081674", "101081674")</f>
        <v>0</v>
      </c>
      <c r="C995" t="s">
        <v>813</v>
      </c>
      <c r="D995" t="s">
        <v>1631</v>
      </c>
      <c r="E995" t="s">
        <v>2064</v>
      </c>
      <c r="F995" t="s">
        <v>2277</v>
      </c>
      <c r="G995" t="s">
        <v>2516</v>
      </c>
      <c r="H995" t="s">
        <v>2548</v>
      </c>
      <c r="I995" t="s">
        <v>2556</v>
      </c>
      <c r="J995" s="1">
        <f>HYPERLINK("https://ec.europa.eu/info/funding-tenders/opportunities/portal/screen/how-to-participate/org-details/998082180", "998082180")</f>
        <v>0</v>
      </c>
      <c r="K995" t="s">
        <v>2565</v>
      </c>
      <c r="M995" t="s">
        <v>2965</v>
      </c>
      <c r="N995" t="b">
        <v>0</v>
      </c>
      <c r="O995" t="s">
        <v>3017</v>
      </c>
      <c r="P995" t="s">
        <v>3320</v>
      </c>
      <c r="Q995">
        <v>12</v>
      </c>
      <c r="R995" t="s">
        <v>3347</v>
      </c>
      <c r="T995" s="2">
        <v>0</v>
      </c>
    </row>
    <row r="996" spans="1:21">
      <c r="A996" t="s">
        <v>23</v>
      </c>
      <c r="B996" s="1">
        <f>HYPERLINK("https://cordis.europa.eu/project/id/101057385", "101057385")</f>
        <v>0</v>
      </c>
      <c r="C996" t="s">
        <v>814</v>
      </c>
      <c r="D996" t="s">
        <v>1632</v>
      </c>
      <c r="E996" t="s">
        <v>2094</v>
      </c>
      <c r="F996" t="s">
        <v>2214</v>
      </c>
      <c r="G996" t="s">
        <v>2495</v>
      </c>
      <c r="H996" t="s">
        <v>2548</v>
      </c>
      <c r="I996" t="s">
        <v>2556</v>
      </c>
      <c r="J996" s="1">
        <f>HYPERLINK("https://ec.europa.eu/info/funding-tenders/opportunities/portal/screen/how-to-participate/org-details/996325704", "996325704")</f>
        <v>0</v>
      </c>
      <c r="K996" t="s">
        <v>2640</v>
      </c>
      <c r="L996" t="s">
        <v>2869</v>
      </c>
      <c r="M996" t="s">
        <v>2966</v>
      </c>
      <c r="N996" t="b">
        <v>0</v>
      </c>
      <c r="O996" t="s">
        <v>3012</v>
      </c>
      <c r="P996" t="s">
        <v>3328</v>
      </c>
      <c r="Q996">
        <v>27</v>
      </c>
      <c r="R996" t="s">
        <v>3347</v>
      </c>
      <c r="T996" s="2">
        <v>0</v>
      </c>
      <c r="U996" s="2">
        <v>0</v>
      </c>
    </row>
    <row r="997" spans="1:21">
      <c r="A997" t="s">
        <v>23</v>
      </c>
      <c r="B997" s="1">
        <f>HYPERLINK("https://cordis.europa.eu/project/id/101136611", "101136611")</f>
        <v>0</v>
      </c>
      <c r="C997" t="s">
        <v>815</v>
      </c>
      <c r="D997" t="s">
        <v>1633</v>
      </c>
      <c r="E997" t="s">
        <v>2038</v>
      </c>
      <c r="F997" t="s">
        <v>2300</v>
      </c>
      <c r="G997" t="s">
        <v>2536</v>
      </c>
      <c r="H997" t="s">
        <v>2548</v>
      </c>
      <c r="I997" t="s">
        <v>2556</v>
      </c>
      <c r="J997" s="1">
        <f>HYPERLINK("https://ec.europa.eu/info/funding-tenders/opportunities/portal/screen/how-to-participate/org-details/988059752", "988059752")</f>
        <v>0</v>
      </c>
      <c r="K997" t="s">
        <v>2564</v>
      </c>
      <c r="L997" t="s">
        <v>2809</v>
      </c>
      <c r="M997" t="s">
        <v>2965</v>
      </c>
      <c r="N997" t="b">
        <v>0</v>
      </c>
      <c r="O997" t="s">
        <v>3013</v>
      </c>
      <c r="P997" t="s">
        <v>3292</v>
      </c>
      <c r="Q997">
        <v>21</v>
      </c>
      <c r="R997" t="s">
        <v>3347</v>
      </c>
      <c r="T997" s="2">
        <v>0</v>
      </c>
      <c r="U997" s="2">
        <v>0</v>
      </c>
    </row>
    <row r="998" spans="1:21">
      <c r="A998" t="s">
        <v>23</v>
      </c>
      <c r="B998" s="1">
        <f>HYPERLINK("https://cordis.europa.eu/project/id/101136916", "101136916")</f>
        <v>0</v>
      </c>
      <c r="C998" t="s">
        <v>816</v>
      </c>
      <c r="D998" t="s">
        <v>1634</v>
      </c>
      <c r="E998" t="s">
        <v>1987</v>
      </c>
      <c r="F998" t="s">
        <v>2283</v>
      </c>
      <c r="G998" t="s">
        <v>2516</v>
      </c>
      <c r="H998" t="s">
        <v>2548</v>
      </c>
      <c r="I998" t="s">
        <v>2556</v>
      </c>
      <c r="J998" s="1">
        <f>HYPERLINK("https://ec.europa.eu/info/funding-tenders/opportunities/portal/screen/how-to-participate/org-details/998826946", "998826946")</f>
        <v>0</v>
      </c>
      <c r="K998" t="s">
        <v>2617</v>
      </c>
      <c r="L998" t="s">
        <v>2848</v>
      </c>
      <c r="M998" t="s">
        <v>2965</v>
      </c>
      <c r="N998" t="b">
        <v>0</v>
      </c>
      <c r="O998" t="s">
        <v>3012</v>
      </c>
      <c r="P998" t="s">
        <v>3292</v>
      </c>
      <c r="Q998">
        <v>16</v>
      </c>
      <c r="R998" t="s">
        <v>3347</v>
      </c>
      <c r="T998" s="2">
        <v>0</v>
      </c>
      <c r="U998" s="2">
        <v>0</v>
      </c>
    </row>
    <row r="999" spans="1:21">
      <c r="A999" t="s">
        <v>23</v>
      </c>
      <c r="B999" s="1">
        <f>HYPERLINK("https://cordis.europa.eu/project/id/101058684", "101058684")</f>
        <v>0</v>
      </c>
      <c r="C999" t="s">
        <v>817</v>
      </c>
      <c r="D999" t="s">
        <v>1635</v>
      </c>
      <c r="E999" t="s">
        <v>2011</v>
      </c>
      <c r="F999" t="s">
        <v>2203</v>
      </c>
      <c r="G999" t="s">
        <v>2539</v>
      </c>
      <c r="H999" t="s">
        <v>2548</v>
      </c>
      <c r="I999" t="s">
        <v>2556</v>
      </c>
      <c r="J999" s="1">
        <f>HYPERLINK("https://ec.europa.eu/info/funding-tenders/opportunities/portal/screen/how-to-participate/org-details/988059752", "988059752")</f>
        <v>0</v>
      </c>
      <c r="K999" t="s">
        <v>2564</v>
      </c>
      <c r="L999" t="s">
        <v>2809</v>
      </c>
      <c r="M999" t="s">
        <v>2965</v>
      </c>
      <c r="N999" t="b">
        <v>0</v>
      </c>
      <c r="O999" t="s">
        <v>3012</v>
      </c>
      <c r="P999" t="s">
        <v>3329</v>
      </c>
      <c r="Q999">
        <v>8</v>
      </c>
      <c r="R999" t="s">
        <v>3342</v>
      </c>
      <c r="S999" s="2">
        <v>1144600</v>
      </c>
      <c r="T999" s="2">
        <v>1144600</v>
      </c>
      <c r="U999" s="2">
        <v>1144600</v>
      </c>
    </row>
    <row r="1000" spans="1:21">
      <c r="A1000" t="s">
        <v>23</v>
      </c>
      <c r="B1000" s="1">
        <f>HYPERLINK("https://cordis.europa.eu/project/id/101132476", "101132476")</f>
        <v>0</v>
      </c>
      <c r="C1000" t="s">
        <v>818</v>
      </c>
      <c r="D1000" t="s">
        <v>818</v>
      </c>
      <c r="E1000" t="s">
        <v>2095</v>
      </c>
      <c r="F1000" t="s">
        <v>2283</v>
      </c>
      <c r="G1000" t="s">
        <v>2532</v>
      </c>
      <c r="H1000" t="s">
        <v>2548</v>
      </c>
      <c r="I1000" t="s">
        <v>2556</v>
      </c>
      <c r="J1000" s="1">
        <f>HYPERLINK("https://ec.europa.eu/info/funding-tenders/opportunities/portal/screen/how-to-participate/org-details/998040955", "998040955")</f>
        <v>0</v>
      </c>
      <c r="K1000" t="s">
        <v>2602</v>
      </c>
      <c r="M1000" t="s">
        <v>2965</v>
      </c>
      <c r="N1000" t="b">
        <v>0</v>
      </c>
      <c r="O1000" t="s">
        <v>3012</v>
      </c>
      <c r="P1000" t="s">
        <v>3330</v>
      </c>
      <c r="Q1000">
        <v>3</v>
      </c>
      <c r="R1000" t="s">
        <v>3342</v>
      </c>
      <c r="S1000" s="2">
        <v>348750</v>
      </c>
      <c r="T1000" s="2">
        <v>348750</v>
      </c>
      <c r="U1000" s="2">
        <v>348750</v>
      </c>
    </row>
    <row r="1001" spans="1:21">
      <c r="A1001" t="s">
        <v>23</v>
      </c>
      <c r="B1001" s="1">
        <f>HYPERLINK("https://cordis.europa.eu/project/id/101132694", "101132694")</f>
        <v>0</v>
      </c>
      <c r="C1001" t="s">
        <v>819</v>
      </c>
      <c r="D1001" t="s">
        <v>1636</v>
      </c>
      <c r="E1001" t="s">
        <v>2096</v>
      </c>
      <c r="F1001" t="s">
        <v>2283</v>
      </c>
      <c r="G1001" t="s">
        <v>2516</v>
      </c>
      <c r="H1001" t="s">
        <v>2549</v>
      </c>
      <c r="I1001" t="s">
        <v>2557</v>
      </c>
      <c r="J1001" s="1">
        <f>HYPERLINK("https://ec.europa.eu/info/funding-tenders/opportunities/portal/screen/how-to-participate/org-details/966956432", "966956432")</f>
        <v>0</v>
      </c>
      <c r="K1001" t="s">
        <v>2674</v>
      </c>
      <c r="L1001" t="s">
        <v>2674</v>
      </c>
      <c r="M1001" t="s">
        <v>2965</v>
      </c>
      <c r="N1001" t="b">
        <v>0</v>
      </c>
      <c r="O1001" t="s">
        <v>3012</v>
      </c>
      <c r="P1001" t="s">
        <v>3331</v>
      </c>
      <c r="Q1001">
        <v>9</v>
      </c>
      <c r="R1001" t="s">
        <v>3342</v>
      </c>
      <c r="S1001" s="2">
        <v>63922.5</v>
      </c>
      <c r="T1001" s="2">
        <v>63922.5</v>
      </c>
    </row>
    <row r="1002" spans="1:21">
      <c r="A1002" t="s">
        <v>23</v>
      </c>
      <c r="B1002" s="1">
        <f>HYPERLINK("https://cordis.europa.eu/project/id/101132694", "101132694")</f>
        <v>0</v>
      </c>
      <c r="C1002" t="s">
        <v>819</v>
      </c>
      <c r="D1002" t="s">
        <v>1636</v>
      </c>
      <c r="E1002" t="s">
        <v>2096</v>
      </c>
      <c r="F1002" t="s">
        <v>2283</v>
      </c>
      <c r="G1002" t="s">
        <v>2516</v>
      </c>
      <c r="H1002" t="s">
        <v>2549</v>
      </c>
      <c r="I1002" t="s">
        <v>2557</v>
      </c>
      <c r="J1002" s="1">
        <f>HYPERLINK("https://ec.europa.eu/info/funding-tenders/opportunities/portal/screen/how-to-participate/org-details/998295580", "998295580")</f>
        <v>0</v>
      </c>
      <c r="K1002" t="s">
        <v>2686</v>
      </c>
      <c r="L1002" t="s">
        <v>2907</v>
      </c>
      <c r="M1002" t="s">
        <v>2966</v>
      </c>
      <c r="N1002" t="b">
        <v>0</v>
      </c>
      <c r="O1002" t="s">
        <v>3012</v>
      </c>
      <c r="P1002" t="s">
        <v>3331</v>
      </c>
      <c r="Q1002">
        <v>8</v>
      </c>
      <c r="R1002" t="s">
        <v>3342</v>
      </c>
      <c r="S1002" s="2">
        <v>81108.75</v>
      </c>
      <c r="T1002" s="2">
        <v>81108.75</v>
      </c>
    </row>
    <row r="1003" spans="1:21">
      <c r="A1003" t="s">
        <v>23</v>
      </c>
      <c r="B1003" s="1">
        <f>HYPERLINK("https://cordis.europa.eu/project/id/101058393", "101058393")</f>
        <v>0</v>
      </c>
      <c r="C1003" t="s">
        <v>820</v>
      </c>
      <c r="D1003" t="s">
        <v>1637</v>
      </c>
      <c r="E1003" t="s">
        <v>2034</v>
      </c>
      <c r="F1003" t="s">
        <v>2203</v>
      </c>
      <c r="G1003" t="s">
        <v>2445</v>
      </c>
      <c r="H1003" t="s">
        <v>2549</v>
      </c>
      <c r="I1003" t="s">
        <v>2557</v>
      </c>
      <c r="J1003" s="1">
        <f>HYPERLINK("https://ec.europa.eu/info/funding-tenders/opportunities/portal/screen/how-to-participate/org-details/889397657", "889397657")</f>
        <v>0</v>
      </c>
      <c r="K1003" t="s">
        <v>2802</v>
      </c>
      <c r="L1003" t="s">
        <v>2961</v>
      </c>
      <c r="M1003" t="s">
        <v>2967</v>
      </c>
      <c r="N1003" t="b">
        <v>0</v>
      </c>
      <c r="O1003" t="s">
        <v>3023</v>
      </c>
      <c r="P1003" t="s">
        <v>3332</v>
      </c>
      <c r="Q1003">
        <v>16</v>
      </c>
      <c r="R1003" t="s">
        <v>3342</v>
      </c>
      <c r="S1003" s="2">
        <v>150000</v>
      </c>
      <c r="T1003" s="2">
        <v>150000</v>
      </c>
      <c r="U1003" s="2">
        <v>150000</v>
      </c>
    </row>
    <row r="1004" spans="1:21">
      <c r="A1004" t="s">
        <v>23</v>
      </c>
      <c r="B1004" s="1">
        <f>HYPERLINK("https://cordis.europa.eu/project/id/101093849", "101093849")</f>
        <v>0</v>
      </c>
      <c r="C1004" t="s">
        <v>821</v>
      </c>
      <c r="D1004" t="s">
        <v>1638</v>
      </c>
      <c r="E1004" t="s">
        <v>2097</v>
      </c>
      <c r="F1004" t="s">
        <v>2277</v>
      </c>
      <c r="G1004" t="s">
        <v>2532</v>
      </c>
      <c r="H1004" t="s">
        <v>2548</v>
      </c>
      <c r="I1004" t="s">
        <v>2556</v>
      </c>
      <c r="J1004" s="1">
        <f>HYPERLINK("https://ec.europa.eu/info/funding-tenders/opportunities/portal/screen/how-to-participate/org-details/998826946", "998826946")</f>
        <v>0</v>
      </c>
      <c r="K1004" t="s">
        <v>2617</v>
      </c>
      <c r="L1004" t="s">
        <v>2848</v>
      </c>
      <c r="M1004" t="s">
        <v>2965</v>
      </c>
      <c r="N1004" t="b">
        <v>0</v>
      </c>
      <c r="O1004" t="s">
        <v>2993</v>
      </c>
      <c r="P1004" t="s">
        <v>3302</v>
      </c>
      <c r="Q1004">
        <v>5</v>
      </c>
      <c r="R1004" t="s">
        <v>3342</v>
      </c>
      <c r="S1004" s="2">
        <v>330471</v>
      </c>
      <c r="T1004" s="2">
        <v>330471</v>
      </c>
    </row>
    <row r="1005" spans="1:21">
      <c r="A1005" t="s">
        <v>23</v>
      </c>
      <c r="B1005" s="1">
        <f>HYPERLINK("https://cordis.europa.eu/project/id/101043986", "101043986")</f>
        <v>0</v>
      </c>
      <c r="C1005" t="s">
        <v>822</v>
      </c>
      <c r="D1005" t="s">
        <v>1639</v>
      </c>
      <c r="E1005" t="s">
        <v>2098</v>
      </c>
      <c r="F1005" t="s">
        <v>2296</v>
      </c>
      <c r="G1005" t="s">
        <v>2547</v>
      </c>
      <c r="H1005" t="s">
        <v>2549</v>
      </c>
      <c r="I1005" t="s">
        <v>2557</v>
      </c>
      <c r="J1005" s="1">
        <f>HYPERLINK("https://ec.europa.eu/info/funding-tenders/opportunities/portal/screen/how-to-participate/org-details/999873673", "999873673")</f>
        <v>0</v>
      </c>
      <c r="K1005" t="s">
        <v>2578</v>
      </c>
      <c r="M1005" t="s">
        <v>2965</v>
      </c>
      <c r="N1005" t="b">
        <v>0</v>
      </c>
      <c r="O1005" t="s">
        <v>3032</v>
      </c>
      <c r="P1005" t="s">
        <v>3333</v>
      </c>
      <c r="Q1005">
        <v>2</v>
      </c>
      <c r="R1005" t="s">
        <v>3342</v>
      </c>
      <c r="S1005" s="2">
        <v>198000</v>
      </c>
      <c r="T1005" s="2">
        <v>198000</v>
      </c>
      <c r="U1005" s="2">
        <v>247500</v>
      </c>
    </row>
    <row r="1006" spans="1:21">
      <c r="A1006" t="s">
        <v>23</v>
      </c>
      <c r="B1006" s="1">
        <f>HYPERLINK("https://cordis.europa.eu/project/id/101071330", "101071330")</f>
        <v>0</v>
      </c>
      <c r="C1006" t="s">
        <v>823</v>
      </c>
      <c r="D1006" t="s">
        <v>1640</v>
      </c>
      <c r="E1006" t="s">
        <v>2099</v>
      </c>
      <c r="F1006" t="s">
        <v>2294</v>
      </c>
      <c r="G1006" t="s">
        <v>2500</v>
      </c>
      <c r="H1006" t="s">
        <v>2548</v>
      </c>
      <c r="I1006" t="s">
        <v>2556</v>
      </c>
      <c r="J1006" s="1">
        <f>HYPERLINK("https://ec.europa.eu/info/funding-tenders/opportunities/portal/screen/how-to-participate/org-details/998083247", "998083247")</f>
        <v>0</v>
      </c>
      <c r="K1006" t="s">
        <v>2605</v>
      </c>
      <c r="M1006" t="s">
        <v>2965</v>
      </c>
      <c r="N1006" t="b">
        <v>0</v>
      </c>
      <c r="O1006" t="s">
        <v>3023</v>
      </c>
      <c r="P1006" t="s">
        <v>3334</v>
      </c>
      <c r="Q1006">
        <v>14</v>
      </c>
      <c r="R1006" t="s">
        <v>3347</v>
      </c>
      <c r="T1006" s="2">
        <v>0</v>
      </c>
    </row>
    <row r="1007" spans="1:21">
      <c r="A1007" t="s">
        <v>23</v>
      </c>
      <c r="B1007" s="1">
        <f>HYPERLINK("https://cordis.europa.eu/project/id/101136627", "101136627")</f>
        <v>0</v>
      </c>
      <c r="C1007" t="s">
        <v>824</v>
      </c>
      <c r="D1007" t="s">
        <v>1641</v>
      </c>
      <c r="E1007" t="s">
        <v>1987</v>
      </c>
      <c r="F1007" t="s">
        <v>2283</v>
      </c>
      <c r="G1007" t="s">
        <v>2515</v>
      </c>
      <c r="H1007" t="s">
        <v>2548</v>
      </c>
      <c r="I1007" t="s">
        <v>2556</v>
      </c>
      <c r="J1007" s="1">
        <f>HYPERLINK("https://ec.europa.eu/info/funding-tenders/opportunities/portal/screen/how-to-participate/org-details/921275543", "921275543")</f>
        <v>0</v>
      </c>
      <c r="K1007" t="s">
        <v>2803</v>
      </c>
      <c r="M1007" t="s">
        <v>2969</v>
      </c>
      <c r="N1007" t="b">
        <v>0</v>
      </c>
      <c r="O1007" t="s">
        <v>3023</v>
      </c>
      <c r="P1007" t="s">
        <v>3335</v>
      </c>
      <c r="Q1007">
        <v>12</v>
      </c>
      <c r="R1007" t="s">
        <v>3347</v>
      </c>
      <c r="T1007" s="2">
        <v>0</v>
      </c>
    </row>
    <row r="1008" spans="1:21">
      <c r="A1008" t="s">
        <v>23</v>
      </c>
      <c r="B1008" s="1">
        <f>HYPERLINK("https://cordis.europa.eu/project/id/101136627", "101136627")</f>
        <v>0</v>
      </c>
      <c r="C1008" t="s">
        <v>824</v>
      </c>
      <c r="D1008" t="s">
        <v>1641</v>
      </c>
      <c r="E1008" t="s">
        <v>1987</v>
      </c>
      <c r="F1008" t="s">
        <v>2283</v>
      </c>
      <c r="G1008" t="s">
        <v>2515</v>
      </c>
      <c r="H1008" t="s">
        <v>2548</v>
      </c>
      <c r="I1008" t="s">
        <v>2556</v>
      </c>
      <c r="J1008" s="1">
        <f>HYPERLINK("https://ec.europa.eu/info/funding-tenders/opportunities/portal/screen/how-to-participate/org-details/921874033", "921874033")</f>
        <v>0</v>
      </c>
      <c r="K1008" t="s">
        <v>2804</v>
      </c>
      <c r="L1008" t="s">
        <v>2804</v>
      </c>
      <c r="M1008" t="s">
        <v>2969</v>
      </c>
      <c r="N1008" t="b">
        <v>0</v>
      </c>
      <c r="O1008" t="s">
        <v>3023</v>
      </c>
      <c r="P1008" t="s">
        <v>3335</v>
      </c>
      <c r="Q1008">
        <v>14</v>
      </c>
      <c r="R1008" t="s">
        <v>3347</v>
      </c>
      <c r="T1008" s="2">
        <v>0</v>
      </c>
    </row>
    <row r="1009" spans="1:21">
      <c r="A1009" t="s">
        <v>23</v>
      </c>
      <c r="B1009" s="1">
        <f>HYPERLINK("https://cordis.europa.eu/project/id/101136627", "101136627")</f>
        <v>0</v>
      </c>
      <c r="C1009" t="s">
        <v>824</v>
      </c>
      <c r="D1009" t="s">
        <v>1641</v>
      </c>
      <c r="E1009" t="s">
        <v>1987</v>
      </c>
      <c r="F1009" t="s">
        <v>2283</v>
      </c>
      <c r="G1009" t="s">
        <v>2515</v>
      </c>
      <c r="H1009" t="s">
        <v>2548</v>
      </c>
      <c r="I1009" t="s">
        <v>2556</v>
      </c>
      <c r="J1009" s="1">
        <f>HYPERLINK("https://ec.europa.eu/info/funding-tenders/opportunities/portal/screen/how-to-participate/org-details/914526380", "914526380")</f>
        <v>0</v>
      </c>
      <c r="K1009" t="s">
        <v>2805</v>
      </c>
      <c r="L1009" t="s">
        <v>2962</v>
      </c>
      <c r="M1009" t="s">
        <v>2969</v>
      </c>
      <c r="N1009" t="b">
        <v>0</v>
      </c>
      <c r="O1009" t="s">
        <v>3023</v>
      </c>
      <c r="P1009" t="s">
        <v>3335</v>
      </c>
      <c r="Q1009">
        <v>15</v>
      </c>
      <c r="R1009" t="s">
        <v>3347</v>
      </c>
      <c r="T1009" s="2">
        <v>0</v>
      </c>
    </row>
    <row r="1010" spans="1:21">
      <c r="A1010" t="s">
        <v>23</v>
      </c>
      <c r="B1010" s="1">
        <f>HYPERLINK("https://cordis.europa.eu/project/id/101095020", "101095020")</f>
        <v>0</v>
      </c>
      <c r="C1010" t="s">
        <v>825</v>
      </c>
      <c r="D1010" t="s">
        <v>1642</v>
      </c>
      <c r="E1010" t="s">
        <v>2091</v>
      </c>
      <c r="F1010" t="s">
        <v>2306</v>
      </c>
      <c r="G1010" t="s">
        <v>2541</v>
      </c>
      <c r="H1010" t="s">
        <v>2548</v>
      </c>
      <c r="I1010" t="s">
        <v>2556</v>
      </c>
      <c r="J1010" s="1">
        <f>HYPERLINK("https://ec.europa.eu/info/funding-tenders/opportunities/portal/screen/how-to-participate/org-details/998082180", "998082180")</f>
        <v>0</v>
      </c>
      <c r="K1010" t="s">
        <v>2565</v>
      </c>
      <c r="M1010" t="s">
        <v>2965</v>
      </c>
      <c r="N1010" t="b">
        <v>0</v>
      </c>
      <c r="O1010" t="s">
        <v>3012</v>
      </c>
      <c r="P1010" t="s">
        <v>3302</v>
      </c>
      <c r="Q1010">
        <v>11</v>
      </c>
      <c r="R1010" t="s">
        <v>3347</v>
      </c>
      <c r="T1010" s="2">
        <v>0</v>
      </c>
      <c r="U1010" s="2">
        <v>0</v>
      </c>
    </row>
    <row r="1011" spans="1:21">
      <c r="A1011" t="s">
        <v>23</v>
      </c>
      <c r="B1011" s="1">
        <f>HYPERLINK("https://cordis.europa.eu/project/id/101134750", "101134750")</f>
        <v>0</v>
      </c>
      <c r="C1011" t="s">
        <v>826</v>
      </c>
      <c r="D1011" t="s">
        <v>1643</v>
      </c>
      <c r="E1011" t="s">
        <v>2004</v>
      </c>
      <c r="F1011" t="s">
        <v>2283</v>
      </c>
      <c r="G1011" t="s">
        <v>2516</v>
      </c>
      <c r="H1011" t="s">
        <v>2549</v>
      </c>
      <c r="I1011" t="s">
        <v>2557</v>
      </c>
      <c r="J1011" s="1">
        <f>HYPERLINK("https://ec.europa.eu/info/funding-tenders/opportunities/portal/screen/how-to-participate/org-details/883065109", "883065109")</f>
        <v>0</v>
      </c>
      <c r="K1011" t="s">
        <v>2806</v>
      </c>
      <c r="M1011" t="s">
        <v>2968</v>
      </c>
      <c r="N1011" t="b">
        <v>0</v>
      </c>
      <c r="O1011" t="s">
        <v>3012</v>
      </c>
      <c r="P1011" t="s">
        <v>3336</v>
      </c>
      <c r="Q1011">
        <v>14</v>
      </c>
      <c r="R1011" t="s">
        <v>3342</v>
      </c>
      <c r="S1011" s="2">
        <v>286937.5</v>
      </c>
      <c r="T1011" s="2">
        <v>286937.5</v>
      </c>
    </row>
    <row r="1012" spans="1:21">
      <c r="A1012" t="s">
        <v>23</v>
      </c>
      <c r="B1012" s="1">
        <f>HYPERLINK("https://cordis.europa.eu/project/id/101057361", "101057361")</f>
        <v>0</v>
      </c>
      <c r="C1012" t="s">
        <v>827</v>
      </c>
      <c r="D1012" t="s">
        <v>1644</v>
      </c>
      <c r="E1012" t="s">
        <v>2100</v>
      </c>
      <c r="F1012" t="s">
        <v>2214</v>
      </c>
      <c r="G1012" t="s">
        <v>2495</v>
      </c>
      <c r="H1012" t="s">
        <v>2548</v>
      </c>
      <c r="I1012" t="s">
        <v>2556</v>
      </c>
      <c r="J1012" s="1">
        <f>HYPERLINK("https://ec.europa.eu/info/funding-tenders/opportunities/portal/screen/how-to-participate/org-details/998804636", "998804636")</f>
        <v>0</v>
      </c>
      <c r="K1012" t="s">
        <v>2612</v>
      </c>
      <c r="L1012" t="s">
        <v>2845</v>
      </c>
      <c r="M1012" t="s">
        <v>2965</v>
      </c>
      <c r="N1012" t="b">
        <v>0</v>
      </c>
      <c r="O1012" t="s">
        <v>3012</v>
      </c>
      <c r="P1012" t="s">
        <v>3319</v>
      </c>
      <c r="Q1012">
        <v>7</v>
      </c>
      <c r="R1012" t="s">
        <v>3342</v>
      </c>
      <c r="S1012" s="2">
        <v>263500</v>
      </c>
      <c r="T1012" s="2">
        <v>263500</v>
      </c>
      <c r="U1012" s="2">
        <v>263500</v>
      </c>
    </row>
    <row r="1013" spans="1:21">
      <c r="A1013" t="s">
        <v>23</v>
      </c>
      <c r="B1013" s="1">
        <f>HYPERLINK("https://cordis.europa.eu/project/id/101095461", "101095461")</f>
        <v>0</v>
      </c>
      <c r="C1013" t="s">
        <v>828</v>
      </c>
      <c r="D1013" t="s">
        <v>1645</v>
      </c>
      <c r="E1013" t="s">
        <v>2101</v>
      </c>
      <c r="F1013" t="s">
        <v>2277</v>
      </c>
      <c r="G1013" t="s">
        <v>2532</v>
      </c>
      <c r="H1013" t="s">
        <v>2548</v>
      </c>
      <c r="I1013" t="s">
        <v>2556</v>
      </c>
      <c r="J1013" s="1">
        <f>HYPERLINK("https://ec.europa.eu/info/funding-tenders/opportunities/portal/screen/how-to-participate/org-details/996325704", "996325704")</f>
        <v>0</v>
      </c>
      <c r="K1013" t="s">
        <v>2640</v>
      </c>
      <c r="L1013" t="s">
        <v>2869</v>
      </c>
      <c r="M1013" t="s">
        <v>2966</v>
      </c>
      <c r="N1013" t="b">
        <v>0</v>
      </c>
      <c r="O1013" t="s">
        <v>3012</v>
      </c>
      <c r="P1013" t="s">
        <v>3318</v>
      </c>
      <c r="Q1013">
        <v>10</v>
      </c>
      <c r="R1013" t="s">
        <v>3342</v>
      </c>
      <c r="S1013" s="2">
        <v>75000</v>
      </c>
      <c r="T1013" s="2">
        <v>75000</v>
      </c>
      <c r="U1013" s="2">
        <v>75000</v>
      </c>
    </row>
    <row r="1014" spans="1:21">
      <c r="A1014" t="s">
        <v>23</v>
      </c>
      <c r="B1014" s="1">
        <f>HYPERLINK("https://cordis.europa.eu/project/id/101055476", "101055476")</f>
        <v>0</v>
      </c>
      <c r="C1014" t="s">
        <v>829</v>
      </c>
      <c r="D1014" t="s">
        <v>1646</v>
      </c>
      <c r="E1014" t="s">
        <v>2102</v>
      </c>
      <c r="F1014" t="s">
        <v>2216</v>
      </c>
      <c r="G1014" t="s">
        <v>2495</v>
      </c>
      <c r="H1014" t="s">
        <v>2548</v>
      </c>
      <c r="I1014" t="s">
        <v>2556</v>
      </c>
      <c r="J1014" s="1">
        <f>HYPERLINK("https://ec.europa.eu/info/funding-tenders/opportunities/portal/screen/how-to-participate/org-details/999561042", "999561042")</f>
        <v>0</v>
      </c>
      <c r="K1014" t="s">
        <v>2566</v>
      </c>
      <c r="L1014" t="s">
        <v>2810</v>
      </c>
      <c r="M1014" t="s">
        <v>2966</v>
      </c>
      <c r="N1014" t="b">
        <v>0</v>
      </c>
      <c r="O1014" t="s">
        <v>3033</v>
      </c>
      <c r="P1014" t="s">
        <v>3337</v>
      </c>
      <c r="Q1014">
        <v>41</v>
      </c>
      <c r="R1014" t="s">
        <v>3347</v>
      </c>
      <c r="T1014" s="2">
        <v>0</v>
      </c>
      <c r="U1014" s="2">
        <v>0</v>
      </c>
    </row>
    <row r="1015" spans="1:21">
      <c r="A1015" t="s">
        <v>23</v>
      </c>
      <c r="B1015" s="1">
        <f>HYPERLINK("https://cordis.europa.eu/project/id/101132352", "101132352")</f>
        <v>0</v>
      </c>
      <c r="C1015" t="s">
        <v>830</v>
      </c>
      <c r="D1015" t="s">
        <v>1647</v>
      </c>
      <c r="E1015" t="s">
        <v>2103</v>
      </c>
      <c r="F1015" t="s">
        <v>2283</v>
      </c>
      <c r="G1015" t="s">
        <v>2484</v>
      </c>
      <c r="H1015" t="s">
        <v>2549</v>
      </c>
      <c r="I1015" t="s">
        <v>2557</v>
      </c>
      <c r="J1015" s="1">
        <f>HYPERLINK("https://ec.europa.eu/info/funding-tenders/opportunities/portal/screen/how-to-participate/org-details/999613131", "999613131")</f>
        <v>0</v>
      </c>
      <c r="K1015" t="s">
        <v>2591</v>
      </c>
      <c r="L1015" t="s">
        <v>2831</v>
      </c>
      <c r="M1015" t="s">
        <v>2965</v>
      </c>
      <c r="N1015" t="b">
        <v>0</v>
      </c>
      <c r="O1015" t="s">
        <v>3012</v>
      </c>
      <c r="P1015" t="s">
        <v>3338</v>
      </c>
      <c r="Q1015">
        <v>10</v>
      </c>
      <c r="R1015" t="s">
        <v>3342</v>
      </c>
      <c r="S1015" s="2">
        <v>141968.75</v>
      </c>
      <c r="T1015" s="2">
        <v>141968.75</v>
      </c>
    </row>
    <row r="1016" spans="1:21">
      <c r="A1016" t="s">
        <v>23</v>
      </c>
      <c r="B1016" s="1">
        <f>HYPERLINK("https://cordis.europa.eu/project/id/101059632", "101059632")</f>
        <v>0</v>
      </c>
      <c r="C1016" t="s">
        <v>831</v>
      </c>
      <c r="D1016" t="s">
        <v>1648</v>
      </c>
      <c r="E1016" t="s">
        <v>2007</v>
      </c>
      <c r="F1016" t="s">
        <v>2214</v>
      </c>
      <c r="G1016" t="s">
        <v>2499</v>
      </c>
      <c r="H1016" t="s">
        <v>2548</v>
      </c>
      <c r="I1016" t="s">
        <v>2556</v>
      </c>
      <c r="J1016" s="1">
        <f>HYPERLINK("https://ec.europa.eu/info/funding-tenders/opportunities/portal/screen/how-to-participate/org-details/890020494", "890020494")</f>
        <v>0</v>
      </c>
      <c r="K1016" t="s">
        <v>2807</v>
      </c>
      <c r="L1016" t="s">
        <v>2963</v>
      </c>
      <c r="M1016" t="s">
        <v>2967</v>
      </c>
      <c r="N1016" t="b">
        <v>0</v>
      </c>
      <c r="O1016" t="s">
        <v>3012</v>
      </c>
      <c r="P1016" t="s">
        <v>3339</v>
      </c>
      <c r="Q1016">
        <v>31</v>
      </c>
      <c r="R1016" t="s">
        <v>3347</v>
      </c>
      <c r="T1016" s="2">
        <v>0</v>
      </c>
      <c r="U1016" s="2">
        <v>0</v>
      </c>
    </row>
    <row r="1017" spans="1:21">
      <c r="A1017" t="s">
        <v>23</v>
      </c>
      <c r="B1017" s="1">
        <f>HYPERLINK("https://cordis.europa.eu/project/id/101080249", "101080249")</f>
        <v>0</v>
      </c>
      <c r="C1017" t="s">
        <v>832</v>
      </c>
      <c r="D1017" t="s">
        <v>1649</v>
      </c>
      <c r="E1017" t="s">
        <v>2104</v>
      </c>
      <c r="F1017" t="s">
        <v>2284</v>
      </c>
      <c r="G1017" t="s">
        <v>2527</v>
      </c>
      <c r="H1017" t="s">
        <v>2548</v>
      </c>
      <c r="I1017" t="s">
        <v>2556</v>
      </c>
      <c r="J1017" s="1">
        <f>HYPERLINK("https://ec.europa.eu/info/funding-tenders/opportunities/portal/screen/how-to-participate/org-details/907681187", "907681187")</f>
        <v>0</v>
      </c>
      <c r="K1017" t="s">
        <v>2808</v>
      </c>
      <c r="L1017" t="s">
        <v>2964</v>
      </c>
      <c r="M1017" t="s">
        <v>2966</v>
      </c>
      <c r="N1017" t="b">
        <v>0</v>
      </c>
      <c r="O1017" t="s">
        <v>3012</v>
      </c>
      <c r="P1017" t="s">
        <v>3340</v>
      </c>
      <c r="Q1017">
        <v>18</v>
      </c>
      <c r="R1017" t="s">
        <v>3342</v>
      </c>
      <c r="S1017" s="2">
        <v>58750</v>
      </c>
      <c r="T1017" s="2">
        <v>58750</v>
      </c>
      <c r="U1017" s="2">
        <v>58750</v>
      </c>
    </row>
    <row r="1018" spans="1:21">
      <c r="A1018" t="s">
        <v>23</v>
      </c>
      <c r="B1018" s="1">
        <f>HYPERLINK("https://cordis.europa.eu/project/id/101058479", "101058479")</f>
        <v>0</v>
      </c>
      <c r="C1018" t="s">
        <v>833</v>
      </c>
      <c r="D1018" t="s">
        <v>1650</v>
      </c>
      <c r="E1018" t="s">
        <v>2007</v>
      </c>
      <c r="F1018" t="s">
        <v>2294</v>
      </c>
      <c r="G1018" t="s">
        <v>2485</v>
      </c>
      <c r="H1018" t="s">
        <v>2548</v>
      </c>
      <c r="I1018" t="s">
        <v>2556</v>
      </c>
      <c r="J1018" s="1">
        <f>HYPERLINK("https://ec.europa.eu/info/funding-tenders/opportunities/portal/screen/how-to-participate/org-details/998826946", "998826946")</f>
        <v>0</v>
      </c>
      <c r="K1018" t="s">
        <v>2617</v>
      </c>
      <c r="L1018" t="s">
        <v>2848</v>
      </c>
      <c r="M1018" t="s">
        <v>2965</v>
      </c>
      <c r="N1018" t="b">
        <v>0</v>
      </c>
      <c r="O1018" t="s">
        <v>3012</v>
      </c>
      <c r="P1018" t="s">
        <v>3341</v>
      </c>
      <c r="Q1018">
        <v>20</v>
      </c>
      <c r="R1018" t="s">
        <v>3347</v>
      </c>
      <c r="T1018" s="2">
        <v>0</v>
      </c>
    </row>
    <row r="1019" spans="1:21">
      <c r="A1019" t="s">
        <v>23</v>
      </c>
      <c r="B1019" s="1">
        <f>HYPERLINK("https://cordis.europa.eu/project/id/101072180", "101072180")</f>
        <v>0</v>
      </c>
      <c r="C1019" t="s">
        <v>834</v>
      </c>
      <c r="D1019" t="s">
        <v>1651</v>
      </c>
      <c r="E1019" t="s">
        <v>2105</v>
      </c>
      <c r="F1019" t="s">
        <v>2298</v>
      </c>
      <c r="G1019" t="s">
        <v>2528</v>
      </c>
      <c r="H1019" t="s">
        <v>2548</v>
      </c>
      <c r="I1019" t="s">
        <v>2556</v>
      </c>
      <c r="J1019" s="1">
        <f>HYPERLINK("https://ec.europa.eu/info/funding-tenders/opportunities/portal/screen/how-to-participate/org-details/998711419", "998711419")</f>
        <v>0</v>
      </c>
      <c r="K1019" t="s">
        <v>2628</v>
      </c>
      <c r="M1019" t="s">
        <v>2965</v>
      </c>
      <c r="N1019" t="b">
        <v>0</v>
      </c>
      <c r="O1019" t="s">
        <v>3019</v>
      </c>
      <c r="P1019" t="s">
        <v>3284</v>
      </c>
      <c r="Q1019">
        <v>6</v>
      </c>
      <c r="R1019" t="s">
        <v>3342</v>
      </c>
      <c r="S1019" s="2">
        <v>50000</v>
      </c>
      <c r="T1019" s="2">
        <v>50000</v>
      </c>
      <c r="U1019" s="2">
        <v>50000</v>
      </c>
    </row>
  </sheetData>
  <autoFilter ref="A1:U1019"/>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7"/>
  <sheetViews>
    <sheetView workbookViewId="0"/>
  </sheetViews>
  <sheetFormatPr defaultRowHeight="15"/>
  <cols>
    <col min="1" max="1" width="10.7109375" style="1" customWidth="1"/>
    <col min="2" max="2" width="55.7109375" customWidth="1"/>
    <col min="3" max="3" width="15.7109375" customWidth="1"/>
    <col min="4" max="8" width="6.7109375" customWidth="1"/>
    <col min="9" max="9" width="11.7109375" customWidth="1"/>
    <col min="10" max="10" width="12.7109375" style="2" customWidth="1"/>
    <col min="13" max="13" width="12.7109375" style="2" customWidth="1"/>
    <col min="16" max="16" width="12.7109375" style="2" customWidth="1"/>
    <col min="19" max="19" width="12.7109375" style="2" customWidth="1"/>
  </cols>
  <sheetData>
    <row r="1" spans="1:19">
      <c r="A1" s="3" t="s">
        <v>9</v>
      </c>
      <c r="B1" s="3" t="s">
        <v>10</v>
      </c>
      <c r="C1" s="3" t="s">
        <v>11</v>
      </c>
      <c r="D1" s="3" t="s">
        <v>7</v>
      </c>
      <c r="E1" s="3" t="s">
        <v>8</v>
      </c>
      <c r="F1" s="3" t="s">
        <v>12</v>
      </c>
      <c r="G1" s="3" t="s">
        <v>13</v>
      </c>
      <c r="H1" s="3" t="s">
        <v>3348</v>
      </c>
      <c r="I1" s="3" t="s">
        <v>3349</v>
      </c>
      <c r="J1" s="3" t="s">
        <v>3350</v>
      </c>
      <c r="K1" s="3" t="s">
        <v>3351</v>
      </c>
      <c r="L1" s="3" t="s">
        <v>3352</v>
      </c>
      <c r="M1" s="3" t="s">
        <v>3353</v>
      </c>
      <c r="N1" s="3" t="s">
        <v>3354</v>
      </c>
      <c r="O1" s="3" t="s">
        <v>3355</v>
      </c>
      <c r="P1" s="3" t="s">
        <v>3356</v>
      </c>
      <c r="Q1" s="3" t="s">
        <v>3357</v>
      </c>
      <c r="R1" s="3" t="s">
        <v>3358</v>
      </c>
      <c r="S1" s="3" t="s">
        <v>3359</v>
      </c>
    </row>
    <row r="2" spans="1:19">
      <c r="A2" s="1">
        <v>988059752</v>
      </c>
      <c r="B2" t="s">
        <v>2564</v>
      </c>
      <c r="C2" t="s">
        <v>2809</v>
      </c>
      <c r="D2" t="s">
        <v>2548</v>
      </c>
      <c r="E2" t="s">
        <v>2556</v>
      </c>
      <c r="F2" t="s">
        <v>2965</v>
      </c>
      <c r="H2">
        <v>14</v>
      </c>
      <c r="I2" t="s">
        <v>3360</v>
      </c>
      <c r="J2" s="2">
        <v>1446151.3</v>
      </c>
      <c r="K2">
        <v>3</v>
      </c>
      <c r="L2">
        <v>2</v>
      </c>
      <c r="M2" s="2">
        <v>195062</v>
      </c>
      <c r="N2">
        <v>7</v>
      </c>
      <c r="O2">
        <v>1</v>
      </c>
      <c r="P2" s="2">
        <v>106489.3</v>
      </c>
      <c r="Q2">
        <v>4</v>
      </c>
      <c r="R2">
        <v>1</v>
      </c>
      <c r="S2" s="2">
        <v>1144600</v>
      </c>
    </row>
    <row r="3" spans="1:19">
      <c r="A3" s="1">
        <v>998082180</v>
      </c>
      <c r="B3" t="s">
        <v>2565</v>
      </c>
      <c r="D3" t="s">
        <v>2548</v>
      </c>
      <c r="E3" t="s">
        <v>2556</v>
      </c>
      <c r="F3" t="s">
        <v>2965</v>
      </c>
      <c r="H3">
        <v>37</v>
      </c>
      <c r="I3" t="s">
        <v>3360</v>
      </c>
      <c r="J3" s="2">
        <v>1567874.2</v>
      </c>
      <c r="K3">
        <v>9</v>
      </c>
      <c r="L3">
        <v>2</v>
      </c>
      <c r="M3" s="2">
        <v>215068</v>
      </c>
      <c r="N3">
        <v>20</v>
      </c>
      <c r="O3">
        <v>3</v>
      </c>
      <c r="P3" s="2">
        <v>755770.2</v>
      </c>
      <c r="Q3">
        <v>8</v>
      </c>
      <c r="R3">
        <v>1</v>
      </c>
      <c r="S3" s="2">
        <v>597036</v>
      </c>
    </row>
    <row r="4" spans="1:19">
      <c r="A4" s="1">
        <v>999561042</v>
      </c>
      <c r="B4" t="s">
        <v>2566</v>
      </c>
      <c r="C4" t="s">
        <v>2810</v>
      </c>
      <c r="D4" t="s">
        <v>2548</v>
      </c>
      <c r="E4" t="s">
        <v>2556</v>
      </c>
      <c r="F4" t="s">
        <v>2966</v>
      </c>
      <c r="H4">
        <v>15</v>
      </c>
      <c r="I4" t="s">
        <v>3360</v>
      </c>
      <c r="J4" s="2">
        <v>104265</v>
      </c>
      <c r="K4">
        <v>7</v>
      </c>
      <c r="L4">
        <v>1</v>
      </c>
      <c r="M4" s="2">
        <v>104265</v>
      </c>
      <c r="N4">
        <v>6</v>
      </c>
      <c r="O4">
        <v>0</v>
      </c>
      <c r="P4" s="2">
        <v>0</v>
      </c>
      <c r="Q4">
        <v>2</v>
      </c>
      <c r="R4">
        <v>0</v>
      </c>
      <c r="S4" s="2">
        <v>0</v>
      </c>
    </row>
    <row r="5" spans="1:19">
      <c r="A5" s="1">
        <v>985512435</v>
      </c>
      <c r="B5" t="s">
        <v>2567</v>
      </c>
      <c r="C5" t="s">
        <v>2811</v>
      </c>
      <c r="D5" t="s">
        <v>2549</v>
      </c>
      <c r="E5" t="s">
        <v>2557</v>
      </c>
      <c r="F5" t="s">
        <v>2965</v>
      </c>
      <c r="H5">
        <v>2</v>
      </c>
      <c r="I5" t="s">
        <v>3361</v>
      </c>
      <c r="J5" s="2">
        <v>25000</v>
      </c>
      <c r="K5">
        <v>1</v>
      </c>
      <c r="L5">
        <v>1</v>
      </c>
      <c r="M5" s="2">
        <v>25000</v>
      </c>
      <c r="N5">
        <v>1</v>
      </c>
      <c r="O5">
        <v>0</v>
      </c>
      <c r="P5" s="2">
        <v>0</v>
      </c>
      <c r="Q5">
        <v>0</v>
      </c>
      <c r="R5">
        <v>0</v>
      </c>
      <c r="S5" s="2">
        <v>0</v>
      </c>
    </row>
    <row r="6" spans="1:19">
      <c r="A6" s="1">
        <v>999894043</v>
      </c>
      <c r="B6" t="s">
        <v>2568</v>
      </c>
      <c r="C6" t="s">
        <v>2812</v>
      </c>
      <c r="D6" t="s">
        <v>2548</v>
      </c>
      <c r="E6" t="s">
        <v>2556</v>
      </c>
      <c r="F6" t="s">
        <v>2965</v>
      </c>
      <c r="H6">
        <v>22</v>
      </c>
      <c r="I6" t="s">
        <v>3360</v>
      </c>
      <c r="J6" s="2">
        <v>662090.9299999999</v>
      </c>
      <c r="K6">
        <v>11</v>
      </c>
      <c r="L6">
        <v>2</v>
      </c>
      <c r="M6" s="2">
        <v>440465.93</v>
      </c>
      <c r="N6">
        <v>9</v>
      </c>
      <c r="O6">
        <v>3</v>
      </c>
      <c r="P6" s="2">
        <v>221625</v>
      </c>
      <c r="Q6">
        <v>2</v>
      </c>
      <c r="R6">
        <v>0</v>
      </c>
      <c r="S6" s="2">
        <v>0</v>
      </c>
    </row>
    <row r="7" spans="1:19">
      <c r="A7" s="1">
        <v>998908426</v>
      </c>
      <c r="B7" t="s">
        <v>2569</v>
      </c>
      <c r="D7" t="s">
        <v>2548</v>
      </c>
      <c r="E7" t="s">
        <v>2556</v>
      </c>
      <c r="F7" t="s">
        <v>2965</v>
      </c>
      <c r="H7">
        <v>11</v>
      </c>
      <c r="I7" t="s">
        <v>3361</v>
      </c>
      <c r="J7" s="2">
        <v>25000</v>
      </c>
      <c r="K7">
        <v>1</v>
      </c>
      <c r="L7">
        <v>0</v>
      </c>
      <c r="M7" s="2">
        <v>0</v>
      </c>
      <c r="N7">
        <v>10</v>
      </c>
      <c r="O7">
        <v>1</v>
      </c>
      <c r="P7" s="2">
        <v>25000</v>
      </c>
      <c r="Q7">
        <v>0</v>
      </c>
      <c r="R7">
        <v>0</v>
      </c>
      <c r="S7" s="2">
        <v>0</v>
      </c>
    </row>
    <row r="8" spans="1:19">
      <c r="A8" s="1">
        <v>985097275</v>
      </c>
      <c r="B8" t="s">
        <v>2570</v>
      </c>
      <c r="C8" t="s">
        <v>2813</v>
      </c>
      <c r="D8" t="s">
        <v>2548</v>
      </c>
      <c r="E8" t="s">
        <v>2556</v>
      </c>
      <c r="F8" t="s">
        <v>2967</v>
      </c>
      <c r="H8">
        <v>1</v>
      </c>
      <c r="I8" t="s">
        <v>21</v>
      </c>
      <c r="J8" s="2">
        <v>0</v>
      </c>
      <c r="K8">
        <v>1</v>
      </c>
      <c r="L8">
        <v>0</v>
      </c>
      <c r="M8" s="2">
        <v>0</v>
      </c>
      <c r="N8">
        <v>0</v>
      </c>
      <c r="O8">
        <v>0</v>
      </c>
      <c r="P8" s="2">
        <v>0</v>
      </c>
      <c r="Q8">
        <v>0</v>
      </c>
      <c r="R8">
        <v>0</v>
      </c>
      <c r="S8" s="2">
        <v>0</v>
      </c>
    </row>
    <row r="9" spans="1:19">
      <c r="A9" s="1">
        <v>999902773</v>
      </c>
      <c r="B9" t="s">
        <v>2571</v>
      </c>
      <c r="C9" t="s">
        <v>2814</v>
      </c>
      <c r="D9" t="s">
        <v>2548</v>
      </c>
      <c r="E9" t="s">
        <v>2556</v>
      </c>
      <c r="F9" t="s">
        <v>2965</v>
      </c>
      <c r="H9">
        <v>17</v>
      </c>
      <c r="I9" t="s">
        <v>3361</v>
      </c>
      <c r="J9" s="2">
        <v>122053.2</v>
      </c>
      <c r="K9">
        <v>2</v>
      </c>
      <c r="L9">
        <v>2</v>
      </c>
      <c r="M9" s="2">
        <v>122053.2</v>
      </c>
      <c r="N9">
        <v>15</v>
      </c>
      <c r="O9">
        <v>0</v>
      </c>
      <c r="P9" s="2">
        <v>0</v>
      </c>
      <c r="Q9">
        <v>0</v>
      </c>
      <c r="R9">
        <v>0</v>
      </c>
      <c r="S9" s="2">
        <v>0</v>
      </c>
    </row>
    <row r="10" spans="1:19">
      <c r="A10" s="1">
        <v>986119267</v>
      </c>
      <c r="B10" t="s">
        <v>2572</v>
      </c>
      <c r="C10" t="s">
        <v>2815</v>
      </c>
      <c r="D10" t="s">
        <v>2548</v>
      </c>
      <c r="E10" t="s">
        <v>2556</v>
      </c>
      <c r="F10" t="s">
        <v>2965</v>
      </c>
      <c r="H10">
        <v>9</v>
      </c>
      <c r="I10" t="s">
        <v>3361</v>
      </c>
      <c r="J10" s="2">
        <v>351240</v>
      </c>
      <c r="K10">
        <v>3</v>
      </c>
      <c r="L10">
        <v>1</v>
      </c>
      <c r="M10" s="2">
        <v>351240</v>
      </c>
      <c r="N10">
        <v>6</v>
      </c>
      <c r="O10">
        <v>0</v>
      </c>
      <c r="P10" s="2">
        <v>0</v>
      </c>
      <c r="Q10">
        <v>0</v>
      </c>
      <c r="R10">
        <v>0</v>
      </c>
      <c r="S10" s="2">
        <v>0</v>
      </c>
    </row>
    <row r="11" spans="1:19">
      <c r="A11" s="1">
        <v>998331567</v>
      </c>
      <c r="B11" t="s">
        <v>2573</v>
      </c>
      <c r="D11" t="s">
        <v>2549</v>
      </c>
      <c r="E11" t="s">
        <v>2557</v>
      </c>
      <c r="F11" t="s">
        <v>2965</v>
      </c>
      <c r="H11">
        <v>13</v>
      </c>
      <c r="I11" t="s">
        <v>3360</v>
      </c>
      <c r="J11" s="2">
        <v>920425</v>
      </c>
      <c r="K11">
        <v>4</v>
      </c>
      <c r="L11">
        <v>3</v>
      </c>
      <c r="M11" s="2">
        <v>807925</v>
      </c>
      <c r="N11">
        <v>8</v>
      </c>
      <c r="O11">
        <v>2</v>
      </c>
      <c r="P11" s="2">
        <v>112500</v>
      </c>
      <c r="Q11">
        <v>1</v>
      </c>
      <c r="R11">
        <v>0</v>
      </c>
      <c r="S11" s="2">
        <v>0</v>
      </c>
    </row>
    <row r="12" spans="1:19">
      <c r="A12" s="1">
        <v>969848487</v>
      </c>
      <c r="B12" t="s">
        <v>2574</v>
      </c>
      <c r="C12" t="s">
        <v>2816</v>
      </c>
      <c r="D12" t="s">
        <v>2548</v>
      </c>
      <c r="E12" t="s">
        <v>2556</v>
      </c>
      <c r="F12" t="s">
        <v>2965</v>
      </c>
      <c r="H12">
        <v>6</v>
      </c>
      <c r="I12" t="s">
        <v>3360</v>
      </c>
      <c r="J12" s="2">
        <v>175800</v>
      </c>
      <c r="K12">
        <v>1</v>
      </c>
      <c r="L12">
        <v>0</v>
      </c>
      <c r="M12" s="2">
        <v>0</v>
      </c>
      <c r="N12">
        <v>3</v>
      </c>
      <c r="O12">
        <v>1</v>
      </c>
      <c r="P12" s="2">
        <v>175800</v>
      </c>
      <c r="Q12">
        <v>2</v>
      </c>
      <c r="R12">
        <v>0</v>
      </c>
      <c r="S12" s="2">
        <v>0</v>
      </c>
    </row>
    <row r="13" spans="1:19">
      <c r="A13" s="1">
        <v>998757203</v>
      </c>
      <c r="B13" t="s">
        <v>2575</v>
      </c>
      <c r="C13" t="s">
        <v>2817</v>
      </c>
      <c r="D13" t="s">
        <v>2548</v>
      </c>
      <c r="E13" t="s">
        <v>2556</v>
      </c>
      <c r="F13" t="s">
        <v>2965</v>
      </c>
      <c r="H13">
        <v>14</v>
      </c>
      <c r="I13" t="s">
        <v>3360</v>
      </c>
      <c r="J13" s="2">
        <v>330680.72</v>
      </c>
      <c r="K13">
        <v>6</v>
      </c>
      <c r="L13">
        <v>3</v>
      </c>
      <c r="M13" s="2">
        <v>330680.72</v>
      </c>
      <c r="N13">
        <v>5</v>
      </c>
      <c r="O13">
        <v>0</v>
      </c>
      <c r="P13" s="2">
        <v>0</v>
      </c>
      <c r="Q13">
        <v>3</v>
      </c>
      <c r="R13">
        <v>0</v>
      </c>
      <c r="S13" s="2">
        <v>0</v>
      </c>
    </row>
    <row r="14" spans="1:19">
      <c r="A14" s="1">
        <v>996313967</v>
      </c>
      <c r="B14" t="s">
        <v>2576</v>
      </c>
      <c r="C14" t="s">
        <v>2818</v>
      </c>
      <c r="D14" t="s">
        <v>2548</v>
      </c>
      <c r="E14" t="s">
        <v>2556</v>
      </c>
      <c r="F14" t="s">
        <v>2967</v>
      </c>
      <c r="H14">
        <v>1</v>
      </c>
      <c r="I14" t="s">
        <v>21</v>
      </c>
      <c r="J14" s="2">
        <v>0</v>
      </c>
      <c r="K14">
        <v>1</v>
      </c>
      <c r="L14">
        <v>0</v>
      </c>
      <c r="M14" s="2">
        <v>0</v>
      </c>
      <c r="N14">
        <v>0</v>
      </c>
      <c r="O14">
        <v>0</v>
      </c>
      <c r="P14" s="2">
        <v>0</v>
      </c>
      <c r="Q14">
        <v>0</v>
      </c>
      <c r="R14">
        <v>0</v>
      </c>
      <c r="S14" s="2">
        <v>0</v>
      </c>
    </row>
    <row r="15" spans="1:19">
      <c r="A15" s="1">
        <v>997164075</v>
      </c>
      <c r="B15" t="s">
        <v>2577</v>
      </c>
      <c r="C15" t="s">
        <v>2819</v>
      </c>
      <c r="D15" t="s">
        <v>2549</v>
      </c>
      <c r="E15" t="s">
        <v>2557</v>
      </c>
      <c r="F15" t="s">
        <v>2968</v>
      </c>
      <c r="H15">
        <v>2</v>
      </c>
      <c r="I15" t="s">
        <v>21</v>
      </c>
      <c r="J15" s="2">
        <v>700395</v>
      </c>
      <c r="K15">
        <v>2</v>
      </c>
      <c r="L15">
        <v>2</v>
      </c>
      <c r="M15" s="2">
        <v>700395</v>
      </c>
      <c r="N15">
        <v>0</v>
      </c>
      <c r="O15">
        <v>0</v>
      </c>
      <c r="P15" s="2">
        <v>0</v>
      </c>
      <c r="Q15">
        <v>0</v>
      </c>
      <c r="R15">
        <v>0</v>
      </c>
      <c r="S15" s="2">
        <v>0</v>
      </c>
    </row>
    <row r="16" spans="1:19">
      <c r="A16" s="1">
        <v>999873673</v>
      </c>
      <c r="B16" t="s">
        <v>2578</v>
      </c>
      <c r="D16" t="s">
        <v>2549</v>
      </c>
      <c r="E16" t="s">
        <v>2557</v>
      </c>
      <c r="F16" t="s">
        <v>2965</v>
      </c>
      <c r="H16">
        <v>10</v>
      </c>
      <c r="I16" t="s">
        <v>3360</v>
      </c>
      <c r="J16" s="2">
        <v>668614</v>
      </c>
      <c r="K16">
        <v>3</v>
      </c>
      <c r="L16">
        <v>3</v>
      </c>
      <c r="M16" s="2">
        <v>450614</v>
      </c>
      <c r="N16">
        <v>5</v>
      </c>
      <c r="O16">
        <v>1</v>
      </c>
      <c r="P16" s="2">
        <v>20000</v>
      </c>
      <c r="Q16">
        <v>2</v>
      </c>
      <c r="R16">
        <v>1</v>
      </c>
      <c r="S16" s="2">
        <v>198000</v>
      </c>
    </row>
    <row r="17" spans="1:19">
      <c r="A17" s="1">
        <v>986399403</v>
      </c>
      <c r="B17" t="s">
        <v>2579</v>
      </c>
      <c r="C17" t="s">
        <v>2820</v>
      </c>
      <c r="D17" t="s">
        <v>2549</v>
      </c>
      <c r="E17" t="s">
        <v>2557</v>
      </c>
      <c r="F17" t="s">
        <v>2969</v>
      </c>
      <c r="H17">
        <v>2</v>
      </c>
      <c r="I17" t="s">
        <v>21</v>
      </c>
      <c r="J17" s="2">
        <v>0</v>
      </c>
      <c r="K17">
        <v>2</v>
      </c>
      <c r="L17">
        <v>0</v>
      </c>
      <c r="M17" s="2">
        <v>0</v>
      </c>
      <c r="N17">
        <v>0</v>
      </c>
      <c r="O17">
        <v>0</v>
      </c>
      <c r="P17" s="2">
        <v>0</v>
      </c>
      <c r="Q17">
        <v>0</v>
      </c>
      <c r="R17">
        <v>0</v>
      </c>
      <c r="S17" s="2">
        <v>0</v>
      </c>
    </row>
    <row r="18" spans="1:19">
      <c r="A18" s="1">
        <v>952857385</v>
      </c>
      <c r="B18" t="s">
        <v>2580</v>
      </c>
      <c r="C18" t="s">
        <v>2821</v>
      </c>
      <c r="D18" t="s">
        <v>2549</v>
      </c>
      <c r="E18" t="s">
        <v>2557</v>
      </c>
      <c r="F18" t="s">
        <v>2969</v>
      </c>
      <c r="H18">
        <v>4</v>
      </c>
      <c r="I18" t="s">
        <v>21</v>
      </c>
      <c r="J18" s="2">
        <v>27499</v>
      </c>
      <c r="K18">
        <v>4</v>
      </c>
      <c r="L18">
        <v>2</v>
      </c>
      <c r="M18" s="2">
        <v>27499</v>
      </c>
      <c r="N18">
        <v>0</v>
      </c>
      <c r="O18">
        <v>0</v>
      </c>
      <c r="P18" s="2">
        <v>0</v>
      </c>
      <c r="Q18">
        <v>0</v>
      </c>
      <c r="R18">
        <v>0</v>
      </c>
      <c r="S18" s="2">
        <v>0</v>
      </c>
    </row>
    <row r="19" spans="1:19">
      <c r="A19" s="1">
        <v>998138343</v>
      </c>
      <c r="B19" t="s">
        <v>2581</v>
      </c>
      <c r="C19" t="s">
        <v>2822</v>
      </c>
      <c r="D19" t="s">
        <v>2548</v>
      </c>
      <c r="E19" t="s">
        <v>2556</v>
      </c>
      <c r="F19" t="s">
        <v>2967</v>
      </c>
      <c r="H19">
        <v>2</v>
      </c>
      <c r="I19" t="s">
        <v>21</v>
      </c>
      <c r="J19" s="2">
        <v>0</v>
      </c>
      <c r="K19">
        <v>2</v>
      </c>
      <c r="L19">
        <v>0</v>
      </c>
      <c r="M19" s="2">
        <v>0</v>
      </c>
      <c r="N19">
        <v>0</v>
      </c>
      <c r="O19">
        <v>0</v>
      </c>
      <c r="P19" s="2">
        <v>0</v>
      </c>
      <c r="Q19">
        <v>0</v>
      </c>
      <c r="R19">
        <v>0</v>
      </c>
      <c r="S19" s="2">
        <v>0</v>
      </c>
    </row>
    <row r="20" spans="1:19">
      <c r="A20" s="1">
        <v>951100909</v>
      </c>
      <c r="B20" t="s">
        <v>2582</v>
      </c>
      <c r="C20" t="s">
        <v>2823</v>
      </c>
      <c r="D20" t="s">
        <v>2548</v>
      </c>
      <c r="E20" t="s">
        <v>2556</v>
      </c>
      <c r="F20" t="s">
        <v>2969</v>
      </c>
      <c r="H20">
        <v>2</v>
      </c>
      <c r="I20" t="s">
        <v>3361</v>
      </c>
      <c r="J20" s="2">
        <v>166416</v>
      </c>
      <c r="K20">
        <v>1</v>
      </c>
      <c r="L20">
        <v>1</v>
      </c>
      <c r="M20" s="2">
        <v>166416</v>
      </c>
      <c r="N20">
        <v>1</v>
      </c>
      <c r="O20">
        <v>0</v>
      </c>
      <c r="P20" s="2">
        <v>0</v>
      </c>
      <c r="Q20">
        <v>0</v>
      </c>
      <c r="R20">
        <v>0</v>
      </c>
      <c r="S20" s="2">
        <v>0</v>
      </c>
    </row>
    <row r="21" spans="1:19">
      <c r="A21" s="1">
        <v>997735502</v>
      </c>
      <c r="B21" t="s">
        <v>2583</v>
      </c>
      <c r="C21" t="s">
        <v>2824</v>
      </c>
      <c r="D21" t="s">
        <v>2548</v>
      </c>
      <c r="E21" t="s">
        <v>2556</v>
      </c>
      <c r="F21" t="s">
        <v>2967</v>
      </c>
      <c r="H21">
        <v>1</v>
      </c>
      <c r="I21" t="s">
        <v>21</v>
      </c>
      <c r="J21" s="2">
        <v>89991.22</v>
      </c>
      <c r="K21">
        <v>1</v>
      </c>
      <c r="L21">
        <v>1</v>
      </c>
      <c r="M21" s="2">
        <v>89991.22</v>
      </c>
      <c r="N21">
        <v>0</v>
      </c>
      <c r="O21">
        <v>0</v>
      </c>
      <c r="P21" s="2">
        <v>0</v>
      </c>
      <c r="Q21">
        <v>0</v>
      </c>
      <c r="R21">
        <v>0</v>
      </c>
      <c r="S21" s="2">
        <v>0</v>
      </c>
    </row>
    <row r="22" spans="1:19">
      <c r="A22" s="1">
        <v>997315201</v>
      </c>
      <c r="B22" t="s">
        <v>2584</v>
      </c>
      <c r="C22" t="s">
        <v>2825</v>
      </c>
      <c r="D22" t="s">
        <v>2548</v>
      </c>
      <c r="E22" t="s">
        <v>2556</v>
      </c>
      <c r="F22" t="s">
        <v>2967</v>
      </c>
      <c r="H22">
        <v>1</v>
      </c>
      <c r="I22" t="s">
        <v>21</v>
      </c>
      <c r="J22" s="2">
        <v>107570.51</v>
      </c>
      <c r="K22">
        <v>1</v>
      </c>
      <c r="L22">
        <v>1</v>
      </c>
      <c r="M22" s="2">
        <v>107570.51</v>
      </c>
      <c r="N22">
        <v>0</v>
      </c>
      <c r="O22">
        <v>0</v>
      </c>
      <c r="P22" s="2">
        <v>0</v>
      </c>
      <c r="Q22">
        <v>0</v>
      </c>
      <c r="R22">
        <v>0</v>
      </c>
      <c r="S22" s="2">
        <v>0</v>
      </c>
    </row>
    <row r="23" spans="1:19">
      <c r="A23" s="1">
        <v>996868031</v>
      </c>
      <c r="B23" t="s">
        <v>2585</v>
      </c>
      <c r="C23" t="s">
        <v>2826</v>
      </c>
      <c r="D23" t="s">
        <v>2548</v>
      </c>
      <c r="E23" t="s">
        <v>2556</v>
      </c>
      <c r="F23" t="s">
        <v>2967</v>
      </c>
      <c r="H23">
        <v>2</v>
      </c>
      <c r="I23" t="s">
        <v>21</v>
      </c>
      <c r="J23" s="2">
        <v>365139.91</v>
      </c>
      <c r="K23">
        <v>2</v>
      </c>
      <c r="L23">
        <v>2</v>
      </c>
      <c r="M23" s="2">
        <v>365139.91</v>
      </c>
      <c r="N23">
        <v>0</v>
      </c>
      <c r="O23">
        <v>0</v>
      </c>
      <c r="P23" s="2">
        <v>0</v>
      </c>
      <c r="Q23">
        <v>0</v>
      </c>
      <c r="R23">
        <v>0</v>
      </c>
      <c r="S23" s="2">
        <v>0</v>
      </c>
    </row>
    <row r="24" spans="1:19">
      <c r="A24" s="1">
        <v>997466424</v>
      </c>
      <c r="B24" t="s">
        <v>2586</v>
      </c>
      <c r="C24" t="s">
        <v>2827</v>
      </c>
      <c r="D24" t="s">
        <v>2548</v>
      </c>
      <c r="E24" t="s">
        <v>2556</v>
      </c>
      <c r="F24" t="s">
        <v>2969</v>
      </c>
      <c r="H24">
        <v>2</v>
      </c>
      <c r="I24" t="s">
        <v>3361</v>
      </c>
      <c r="J24" s="2">
        <v>323991.54</v>
      </c>
      <c r="K24">
        <v>1</v>
      </c>
      <c r="L24">
        <v>1</v>
      </c>
      <c r="M24" s="2">
        <v>23991.54</v>
      </c>
      <c r="N24">
        <v>1</v>
      </c>
      <c r="O24">
        <v>1</v>
      </c>
      <c r="P24" s="2">
        <v>300000</v>
      </c>
      <c r="Q24">
        <v>0</v>
      </c>
      <c r="R24">
        <v>0</v>
      </c>
      <c r="S24" s="2">
        <v>0</v>
      </c>
    </row>
    <row r="25" spans="1:19">
      <c r="A25" s="1">
        <v>991044054</v>
      </c>
      <c r="B25" t="s">
        <v>2587</v>
      </c>
      <c r="D25" t="s">
        <v>2550</v>
      </c>
      <c r="E25" t="s">
        <v>2558</v>
      </c>
      <c r="F25" t="s">
        <v>2965</v>
      </c>
      <c r="H25">
        <v>3</v>
      </c>
      <c r="I25" t="s">
        <v>3361</v>
      </c>
      <c r="J25" s="2">
        <v>187785</v>
      </c>
      <c r="K25">
        <v>2</v>
      </c>
      <c r="L25">
        <v>2</v>
      </c>
      <c r="M25" s="2">
        <v>187785</v>
      </c>
      <c r="N25">
        <v>1</v>
      </c>
      <c r="O25">
        <v>0</v>
      </c>
      <c r="P25" s="2">
        <v>0</v>
      </c>
      <c r="Q25">
        <v>0</v>
      </c>
      <c r="R25">
        <v>0</v>
      </c>
      <c r="S25" s="2">
        <v>0</v>
      </c>
    </row>
    <row r="26" spans="1:19">
      <c r="A26" s="1">
        <v>996824478</v>
      </c>
      <c r="B26" t="s">
        <v>2588</v>
      </c>
      <c r="C26" t="s">
        <v>2828</v>
      </c>
      <c r="D26" t="s">
        <v>2549</v>
      </c>
      <c r="E26" t="s">
        <v>2557</v>
      </c>
      <c r="F26" t="s">
        <v>2969</v>
      </c>
      <c r="H26">
        <v>1</v>
      </c>
      <c r="I26" t="s">
        <v>21</v>
      </c>
      <c r="J26" s="2">
        <v>0</v>
      </c>
      <c r="K26">
        <v>1</v>
      </c>
      <c r="L26">
        <v>0</v>
      </c>
      <c r="M26" s="2">
        <v>0</v>
      </c>
      <c r="N26">
        <v>0</v>
      </c>
      <c r="O26">
        <v>0</v>
      </c>
      <c r="P26" s="2">
        <v>0</v>
      </c>
      <c r="Q26">
        <v>0</v>
      </c>
      <c r="R26">
        <v>0</v>
      </c>
      <c r="S26" s="2">
        <v>0</v>
      </c>
    </row>
    <row r="27" spans="1:19">
      <c r="A27" s="1">
        <v>997324028</v>
      </c>
      <c r="B27" t="s">
        <v>2589</v>
      </c>
      <c r="C27" t="s">
        <v>2829</v>
      </c>
      <c r="D27" t="s">
        <v>2551</v>
      </c>
      <c r="E27" t="s">
        <v>2559</v>
      </c>
      <c r="F27" t="s">
        <v>2965</v>
      </c>
      <c r="H27">
        <v>5</v>
      </c>
      <c r="I27" t="s">
        <v>3360</v>
      </c>
      <c r="J27" s="2">
        <v>507982.5</v>
      </c>
      <c r="K27">
        <v>3</v>
      </c>
      <c r="L27">
        <v>3</v>
      </c>
      <c r="M27" s="2">
        <v>507982.5</v>
      </c>
      <c r="N27">
        <v>1</v>
      </c>
      <c r="O27">
        <v>0</v>
      </c>
      <c r="P27" s="2">
        <v>0</v>
      </c>
      <c r="Q27">
        <v>1</v>
      </c>
      <c r="R27">
        <v>0</v>
      </c>
      <c r="S27" s="2">
        <v>0</v>
      </c>
    </row>
    <row r="28" spans="1:19">
      <c r="A28" s="1">
        <v>989758028</v>
      </c>
      <c r="B28" t="s">
        <v>2590</v>
      </c>
      <c r="C28" t="s">
        <v>2830</v>
      </c>
      <c r="D28" t="s">
        <v>2549</v>
      </c>
      <c r="E28" t="s">
        <v>2557</v>
      </c>
      <c r="F28" t="s">
        <v>2967</v>
      </c>
      <c r="H28">
        <v>3</v>
      </c>
      <c r="I28" t="s">
        <v>21</v>
      </c>
      <c r="J28" s="2">
        <v>291349</v>
      </c>
      <c r="K28">
        <v>3</v>
      </c>
      <c r="L28">
        <v>3</v>
      </c>
      <c r="M28" s="2">
        <v>291349</v>
      </c>
      <c r="N28">
        <v>0</v>
      </c>
      <c r="O28">
        <v>0</v>
      </c>
      <c r="P28" s="2">
        <v>0</v>
      </c>
      <c r="Q28">
        <v>0</v>
      </c>
      <c r="R28">
        <v>0</v>
      </c>
      <c r="S28" s="2">
        <v>0</v>
      </c>
    </row>
    <row r="29" spans="1:19">
      <c r="A29" s="1">
        <v>999613131</v>
      </c>
      <c r="B29" t="s">
        <v>2591</v>
      </c>
      <c r="C29" t="s">
        <v>2831</v>
      </c>
      <c r="D29" t="s">
        <v>2549</v>
      </c>
      <c r="E29" t="s">
        <v>2557</v>
      </c>
      <c r="F29" t="s">
        <v>2965</v>
      </c>
      <c r="H29">
        <v>46</v>
      </c>
      <c r="I29" t="s">
        <v>3360</v>
      </c>
      <c r="J29" s="2">
        <v>3600727.95</v>
      </c>
      <c r="K29">
        <v>16</v>
      </c>
      <c r="L29">
        <v>8</v>
      </c>
      <c r="M29" s="2">
        <v>1414759.2</v>
      </c>
      <c r="N29">
        <v>22</v>
      </c>
      <c r="O29">
        <v>1</v>
      </c>
      <c r="P29" s="2">
        <v>365000</v>
      </c>
      <c r="Q29">
        <v>8</v>
      </c>
      <c r="R29">
        <v>2</v>
      </c>
      <c r="S29" s="2">
        <v>1820968.75</v>
      </c>
    </row>
    <row r="30" spans="1:19">
      <c r="A30" s="1">
        <v>974580438</v>
      </c>
      <c r="B30" t="s">
        <v>2592</v>
      </c>
      <c r="C30" t="s">
        <v>2832</v>
      </c>
      <c r="D30" t="s">
        <v>2548</v>
      </c>
      <c r="E30" t="s">
        <v>2556</v>
      </c>
      <c r="F30" t="s">
        <v>2969</v>
      </c>
      <c r="H30">
        <v>1</v>
      </c>
      <c r="I30" t="s">
        <v>21</v>
      </c>
      <c r="J30" s="2">
        <v>0</v>
      </c>
      <c r="K30">
        <v>1</v>
      </c>
      <c r="L30">
        <v>0</v>
      </c>
      <c r="M30" s="2">
        <v>0</v>
      </c>
      <c r="N30">
        <v>0</v>
      </c>
      <c r="O30">
        <v>0</v>
      </c>
      <c r="P30" s="2">
        <v>0</v>
      </c>
      <c r="Q30">
        <v>0</v>
      </c>
      <c r="R30">
        <v>0</v>
      </c>
      <c r="S30" s="2">
        <v>0</v>
      </c>
    </row>
    <row r="31" spans="1:19">
      <c r="A31" s="1">
        <v>948458629</v>
      </c>
      <c r="B31" t="s">
        <v>2593</v>
      </c>
      <c r="C31" t="s">
        <v>2833</v>
      </c>
      <c r="D31" t="s">
        <v>2548</v>
      </c>
      <c r="E31" t="s">
        <v>2556</v>
      </c>
      <c r="F31" t="s">
        <v>2969</v>
      </c>
      <c r="H31">
        <v>1</v>
      </c>
      <c r="I31" t="s">
        <v>21</v>
      </c>
      <c r="J31" s="2">
        <v>164794</v>
      </c>
      <c r="K31">
        <v>1</v>
      </c>
      <c r="L31">
        <v>1</v>
      </c>
      <c r="M31" s="2">
        <v>164794</v>
      </c>
      <c r="N31">
        <v>0</v>
      </c>
      <c r="O31">
        <v>0</v>
      </c>
      <c r="P31" s="2">
        <v>0</v>
      </c>
      <c r="Q31">
        <v>0</v>
      </c>
      <c r="R31">
        <v>0</v>
      </c>
      <c r="S31" s="2">
        <v>0</v>
      </c>
    </row>
    <row r="32" spans="1:19">
      <c r="A32" s="1">
        <v>999851654</v>
      </c>
      <c r="B32" t="s">
        <v>2594</v>
      </c>
      <c r="D32" t="s">
        <v>2549</v>
      </c>
      <c r="E32" t="s">
        <v>2557</v>
      </c>
      <c r="F32" t="s">
        <v>2965</v>
      </c>
      <c r="H32">
        <v>5</v>
      </c>
      <c r="I32" t="s">
        <v>3361</v>
      </c>
      <c r="J32" s="2">
        <v>0</v>
      </c>
      <c r="K32">
        <v>3</v>
      </c>
      <c r="L32">
        <v>0</v>
      </c>
      <c r="M32" s="2">
        <v>0</v>
      </c>
      <c r="N32">
        <v>2</v>
      </c>
      <c r="O32">
        <v>0</v>
      </c>
      <c r="P32" s="2">
        <v>0</v>
      </c>
      <c r="Q32">
        <v>0</v>
      </c>
      <c r="R32">
        <v>0</v>
      </c>
      <c r="S32" s="2">
        <v>0</v>
      </c>
    </row>
    <row r="33" spans="1:19">
      <c r="A33" s="1">
        <v>966094490</v>
      </c>
      <c r="B33" t="s">
        <v>2595</v>
      </c>
      <c r="D33" t="s">
        <v>2548</v>
      </c>
      <c r="E33" t="s">
        <v>2556</v>
      </c>
      <c r="F33" t="s">
        <v>2969</v>
      </c>
      <c r="H33">
        <v>4</v>
      </c>
      <c r="I33" t="s">
        <v>3361</v>
      </c>
      <c r="J33" s="2">
        <v>11200</v>
      </c>
      <c r="K33">
        <v>1</v>
      </c>
      <c r="L33">
        <v>0</v>
      </c>
      <c r="M33" s="2">
        <v>0</v>
      </c>
      <c r="N33">
        <v>3</v>
      </c>
      <c r="O33">
        <v>1</v>
      </c>
      <c r="P33" s="2">
        <v>11200</v>
      </c>
      <c r="Q33">
        <v>0</v>
      </c>
      <c r="R33">
        <v>0</v>
      </c>
      <c r="S33" s="2">
        <v>0</v>
      </c>
    </row>
    <row r="34" spans="1:19">
      <c r="A34" s="1">
        <v>998354750</v>
      </c>
      <c r="B34" t="s">
        <v>2596</v>
      </c>
      <c r="C34" t="s">
        <v>2834</v>
      </c>
      <c r="D34" t="s">
        <v>2548</v>
      </c>
      <c r="E34" t="s">
        <v>2556</v>
      </c>
      <c r="F34" t="s">
        <v>2969</v>
      </c>
      <c r="H34">
        <v>8</v>
      </c>
      <c r="I34" t="s">
        <v>3360</v>
      </c>
      <c r="J34" s="2">
        <v>29960</v>
      </c>
      <c r="K34">
        <v>3</v>
      </c>
      <c r="L34">
        <v>1</v>
      </c>
      <c r="M34" s="2">
        <v>29960</v>
      </c>
      <c r="N34">
        <v>4</v>
      </c>
      <c r="O34">
        <v>0</v>
      </c>
      <c r="P34" s="2">
        <v>0</v>
      </c>
      <c r="Q34">
        <v>1</v>
      </c>
      <c r="R34">
        <v>0</v>
      </c>
      <c r="S34" s="2">
        <v>0</v>
      </c>
    </row>
    <row r="35" spans="1:19">
      <c r="A35" s="1">
        <v>952151710</v>
      </c>
      <c r="B35" t="s">
        <v>2597</v>
      </c>
      <c r="C35" t="s">
        <v>2835</v>
      </c>
      <c r="D35" t="s">
        <v>2552</v>
      </c>
      <c r="E35" t="s">
        <v>2560</v>
      </c>
      <c r="F35" t="s">
        <v>2966</v>
      </c>
      <c r="H35">
        <v>1</v>
      </c>
      <c r="I35" t="s">
        <v>21</v>
      </c>
      <c r="J35" s="2">
        <v>70085</v>
      </c>
      <c r="K35">
        <v>1</v>
      </c>
      <c r="L35">
        <v>1</v>
      </c>
      <c r="M35" s="2">
        <v>70085</v>
      </c>
      <c r="N35">
        <v>0</v>
      </c>
      <c r="O35">
        <v>0</v>
      </c>
      <c r="P35" s="2">
        <v>0</v>
      </c>
      <c r="Q35">
        <v>0</v>
      </c>
      <c r="R35">
        <v>0</v>
      </c>
      <c r="S35" s="2">
        <v>0</v>
      </c>
    </row>
    <row r="36" spans="1:19">
      <c r="A36" s="1">
        <v>996569368</v>
      </c>
      <c r="B36" t="s">
        <v>2598</v>
      </c>
      <c r="C36" t="s">
        <v>2836</v>
      </c>
      <c r="D36" t="s">
        <v>2549</v>
      </c>
      <c r="E36" t="s">
        <v>2557</v>
      </c>
      <c r="F36" t="s">
        <v>2966</v>
      </c>
      <c r="H36">
        <v>4</v>
      </c>
      <c r="I36" t="s">
        <v>3361</v>
      </c>
      <c r="J36" s="2">
        <v>234116</v>
      </c>
      <c r="K36">
        <v>2</v>
      </c>
      <c r="L36">
        <v>1</v>
      </c>
      <c r="M36" s="2">
        <v>234116</v>
      </c>
      <c r="N36">
        <v>2</v>
      </c>
      <c r="O36">
        <v>0</v>
      </c>
      <c r="P36" s="2">
        <v>0</v>
      </c>
      <c r="Q36">
        <v>0</v>
      </c>
      <c r="R36">
        <v>0</v>
      </c>
      <c r="S36" s="2">
        <v>0</v>
      </c>
    </row>
    <row r="37" spans="1:19">
      <c r="A37" s="1">
        <v>952224266</v>
      </c>
      <c r="B37" t="s">
        <v>2599</v>
      </c>
      <c r="C37" t="s">
        <v>2837</v>
      </c>
      <c r="D37" t="s">
        <v>2553</v>
      </c>
      <c r="E37" t="s">
        <v>2561</v>
      </c>
      <c r="F37" t="s">
        <v>2965</v>
      </c>
      <c r="H37">
        <v>1</v>
      </c>
      <c r="I37" t="s">
        <v>21</v>
      </c>
      <c r="J37" s="2">
        <v>102720</v>
      </c>
      <c r="K37">
        <v>1</v>
      </c>
      <c r="L37">
        <v>1</v>
      </c>
      <c r="M37" s="2">
        <v>102720</v>
      </c>
      <c r="N37">
        <v>0</v>
      </c>
      <c r="O37">
        <v>0</v>
      </c>
      <c r="P37" s="2">
        <v>0</v>
      </c>
      <c r="Q37">
        <v>0</v>
      </c>
      <c r="R37">
        <v>0</v>
      </c>
      <c r="S37" s="2">
        <v>0</v>
      </c>
    </row>
    <row r="38" spans="1:19">
      <c r="A38" s="1">
        <v>983378435</v>
      </c>
      <c r="B38" t="s">
        <v>2600</v>
      </c>
      <c r="C38" t="s">
        <v>2838</v>
      </c>
      <c r="D38" t="s">
        <v>2548</v>
      </c>
      <c r="E38" t="s">
        <v>2556</v>
      </c>
      <c r="F38" t="s">
        <v>2967</v>
      </c>
      <c r="H38">
        <v>1</v>
      </c>
      <c r="I38" t="s">
        <v>21</v>
      </c>
      <c r="J38" s="2">
        <v>0</v>
      </c>
      <c r="K38">
        <v>1</v>
      </c>
      <c r="L38">
        <v>0</v>
      </c>
      <c r="M38" s="2">
        <v>0</v>
      </c>
      <c r="N38">
        <v>0</v>
      </c>
      <c r="O38">
        <v>0</v>
      </c>
      <c r="P38" s="2">
        <v>0</v>
      </c>
      <c r="Q38">
        <v>0</v>
      </c>
      <c r="R38">
        <v>0</v>
      </c>
      <c r="S38" s="2">
        <v>0</v>
      </c>
    </row>
    <row r="39" spans="1:19">
      <c r="A39" s="1">
        <v>984772131</v>
      </c>
      <c r="B39" t="s">
        <v>2601</v>
      </c>
      <c r="C39" t="s">
        <v>2839</v>
      </c>
      <c r="D39" t="s">
        <v>2548</v>
      </c>
      <c r="E39" t="s">
        <v>2556</v>
      </c>
      <c r="F39" t="s">
        <v>2968</v>
      </c>
      <c r="H39">
        <v>3</v>
      </c>
      <c r="I39" t="s">
        <v>3361</v>
      </c>
      <c r="J39" s="2">
        <v>493882.66</v>
      </c>
      <c r="K39">
        <v>2</v>
      </c>
      <c r="L39">
        <v>2</v>
      </c>
      <c r="M39" s="2">
        <v>493882.66</v>
      </c>
      <c r="N39">
        <v>1</v>
      </c>
      <c r="O39">
        <v>0</v>
      </c>
      <c r="P39" s="2">
        <v>0</v>
      </c>
      <c r="Q39">
        <v>0</v>
      </c>
      <c r="R39">
        <v>0</v>
      </c>
      <c r="S39" s="2">
        <v>0</v>
      </c>
    </row>
    <row r="40" spans="1:19">
      <c r="A40" s="1">
        <v>998040955</v>
      </c>
      <c r="B40" t="s">
        <v>2602</v>
      </c>
      <c r="D40" t="s">
        <v>2548</v>
      </c>
      <c r="E40" t="s">
        <v>2556</v>
      </c>
      <c r="F40" t="s">
        <v>2965</v>
      </c>
      <c r="H40">
        <v>8</v>
      </c>
      <c r="I40" t="s">
        <v>3360</v>
      </c>
      <c r="J40" s="2">
        <v>456250</v>
      </c>
      <c r="K40">
        <v>2</v>
      </c>
      <c r="L40">
        <v>0</v>
      </c>
      <c r="M40" s="2">
        <v>0</v>
      </c>
      <c r="N40">
        <v>3</v>
      </c>
      <c r="O40">
        <v>0</v>
      </c>
      <c r="P40" s="2">
        <v>0</v>
      </c>
      <c r="Q40">
        <v>3</v>
      </c>
      <c r="R40">
        <v>2</v>
      </c>
      <c r="S40" s="2">
        <v>456250</v>
      </c>
    </row>
    <row r="41" spans="1:19">
      <c r="A41" s="1">
        <v>951228367</v>
      </c>
      <c r="B41" t="s">
        <v>2603</v>
      </c>
      <c r="C41" t="s">
        <v>2840</v>
      </c>
      <c r="D41" t="s">
        <v>2548</v>
      </c>
      <c r="E41" t="s">
        <v>2556</v>
      </c>
      <c r="F41" t="s">
        <v>2967</v>
      </c>
      <c r="H41">
        <v>1</v>
      </c>
      <c r="I41" t="s">
        <v>21</v>
      </c>
      <c r="J41" s="2">
        <v>60591.75</v>
      </c>
      <c r="K41">
        <v>1</v>
      </c>
      <c r="L41">
        <v>1</v>
      </c>
      <c r="M41" s="2">
        <v>60591.75</v>
      </c>
      <c r="N41">
        <v>0</v>
      </c>
      <c r="O41">
        <v>0</v>
      </c>
      <c r="P41" s="2">
        <v>0</v>
      </c>
      <c r="Q41">
        <v>0</v>
      </c>
      <c r="R41">
        <v>0</v>
      </c>
      <c r="S41" s="2">
        <v>0</v>
      </c>
    </row>
    <row r="42" spans="1:19">
      <c r="A42" s="1">
        <v>997151562</v>
      </c>
      <c r="B42" t="s">
        <v>2604</v>
      </c>
      <c r="D42" t="s">
        <v>2548</v>
      </c>
      <c r="E42" t="s">
        <v>2556</v>
      </c>
      <c r="F42" t="s">
        <v>2965</v>
      </c>
      <c r="H42">
        <v>11</v>
      </c>
      <c r="I42" t="s">
        <v>3361</v>
      </c>
      <c r="J42" s="2">
        <v>0</v>
      </c>
      <c r="K42">
        <v>2</v>
      </c>
      <c r="L42">
        <v>0</v>
      </c>
      <c r="M42" s="2">
        <v>0</v>
      </c>
      <c r="N42">
        <v>9</v>
      </c>
      <c r="O42">
        <v>0</v>
      </c>
      <c r="P42" s="2">
        <v>0</v>
      </c>
      <c r="Q42">
        <v>0</v>
      </c>
      <c r="R42">
        <v>0</v>
      </c>
      <c r="S42" s="2">
        <v>0</v>
      </c>
    </row>
    <row r="43" spans="1:19">
      <c r="A43" s="1">
        <v>998083247</v>
      </c>
      <c r="B43" t="s">
        <v>2605</v>
      </c>
      <c r="D43" t="s">
        <v>2548</v>
      </c>
      <c r="E43" t="s">
        <v>2556</v>
      </c>
      <c r="F43" t="s">
        <v>2965</v>
      </c>
      <c r="H43">
        <v>13</v>
      </c>
      <c r="I43" t="s">
        <v>3360</v>
      </c>
      <c r="J43" s="2">
        <v>3238937.5</v>
      </c>
      <c r="K43">
        <v>1</v>
      </c>
      <c r="L43">
        <v>0</v>
      </c>
      <c r="M43" s="2">
        <v>0</v>
      </c>
      <c r="N43">
        <v>9</v>
      </c>
      <c r="O43">
        <v>3</v>
      </c>
      <c r="P43" s="2">
        <v>3238937.5</v>
      </c>
      <c r="Q43">
        <v>3</v>
      </c>
      <c r="R43">
        <v>0</v>
      </c>
      <c r="S43" s="2">
        <v>0</v>
      </c>
    </row>
    <row r="44" spans="1:19">
      <c r="A44" s="1">
        <v>997292018</v>
      </c>
      <c r="B44" t="s">
        <v>2606</v>
      </c>
      <c r="C44" t="s">
        <v>2841</v>
      </c>
      <c r="D44" t="s">
        <v>2548</v>
      </c>
      <c r="E44" t="s">
        <v>2556</v>
      </c>
      <c r="F44" t="s">
        <v>2965</v>
      </c>
      <c r="H44">
        <v>11</v>
      </c>
      <c r="I44" t="s">
        <v>3360</v>
      </c>
      <c r="J44" s="2">
        <v>0</v>
      </c>
      <c r="K44">
        <v>2</v>
      </c>
      <c r="L44">
        <v>0</v>
      </c>
      <c r="M44" s="2">
        <v>0</v>
      </c>
      <c r="N44">
        <v>5</v>
      </c>
      <c r="O44">
        <v>0</v>
      </c>
      <c r="P44" s="2">
        <v>0</v>
      </c>
      <c r="Q44">
        <v>4</v>
      </c>
      <c r="R44">
        <v>0</v>
      </c>
      <c r="S44" s="2">
        <v>0</v>
      </c>
    </row>
    <row r="45" spans="1:19">
      <c r="A45" s="1">
        <v>999786082</v>
      </c>
      <c r="B45" t="s">
        <v>2607</v>
      </c>
      <c r="D45" t="s">
        <v>2548</v>
      </c>
      <c r="E45" t="s">
        <v>2556</v>
      </c>
      <c r="F45" t="s">
        <v>2967</v>
      </c>
      <c r="H45">
        <v>7</v>
      </c>
      <c r="I45" t="s">
        <v>3361</v>
      </c>
      <c r="J45" s="2">
        <v>2143593.75</v>
      </c>
      <c r="K45">
        <v>5</v>
      </c>
      <c r="L45">
        <v>4</v>
      </c>
      <c r="M45" s="2">
        <v>1303450</v>
      </c>
      <c r="N45">
        <v>2</v>
      </c>
      <c r="O45">
        <v>2</v>
      </c>
      <c r="P45" s="2">
        <v>840143.75</v>
      </c>
      <c r="Q45">
        <v>0</v>
      </c>
      <c r="R45">
        <v>0</v>
      </c>
      <c r="S45" s="2">
        <v>0</v>
      </c>
    </row>
    <row r="46" spans="1:19">
      <c r="A46" s="1">
        <v>983738305</v>
      </c>
      <c r="B46" t="s">
        <v>2608</v>
      </c>
      <c r="C46" t="s">
        <v>2842</v>
      </c>
      <c r="D46" t="s">
        <v>2548</v>
      </c>
      <c r="E46" t="s">
        <v>2556</v>
      </c>
      <c r="F46" t="s">
        <v>2966</v>
      </c>
      <c r="H46">
        <v>1</v>
      </c>
      <c r="I46" t="s">
        <v>21</v>
      </c>
      <c r="J46" s="2">
        <v>0</v>
      </c>
      <c r="K46">
        <v>1</v>
      </c>
      <c r="L46">
        <v>0</v>
      </c>
      <c r="M46" s="2">
        <v>0</v>
      </c>
      <c r="N46">
        <v>0</v>
      </c>
      <c r="O46">
        <v>0</v>
      </c>
      <c r="P46" s="2">
        <v>0</v>
      </c>
      <c r="Q46">
        <v>0</v>
      </c>
      <c r="R46">
        <v>0</v>
      </c>
      <c r="S46" s="2">
        <v>0</v>
      </c>
    </row>
    <row r="47" spans="1:19">
      <c r="A47" s="1">
        <v>996726411</v>
      </c>
      <c r="B47" t="s">
        <v>2609</v>
      </c>
      <c r="D47" t="s">
        <v>2548</v>
      </c>
      <c r="E47" t="s">
        <v>2556</v>
      </c>
      <c r="F47" t="s">
        <v>2969</v>
      </c>
      <c r="H47">
        <v>4</v>
      </c>
      <c r="I47" t="s">
        <v>3361</v>
      </c>
      <c r="J47" s="2">
        <v>21614</v>
      </c>
      <c r="K47">
        <v>2</v>
      </c>
      <c r="L47">
        <v>1</v>
      </c>
      <c r="M47" s="2">
        <v>21614</v>
      </c>
      <c r="N47">
        <v>2</v>
      </c>
      <c r="O47">
        <v>0</v>
      </c>
      <c r="P47" s="2">
        <v>0</v>
      </c>
      <c r="Q47">
        <v>0</v>
      </c>
      <c r="R47">
        <v>0</v>
      </c>
      <c r="S47" s="2">
        <v>0</v>
      </c>
    </row>
    <row r="48" spans="1:19">
      <c r="A48" s="1">
        <v>995994837</v>
      </c>
      <c r="B48" t="s">
        <v>2610</v>
      </c>
      <c r="C48" t="s">
        <v>2843</v>
      </c>
      <c r="D48" t="s">
        <v>2548</v>
      </c>
      <c r="E48" t="s">
        <v>2556</v>
      </c>
      <c r="F48" t="s">
        <v>2965</v>
      </c>
      <c r="H48">
        <v>2</v>
      </c>
      <c r="I48" t="s">
        <v>21</v>
      </c>
      <c r="J48" s="2">
        <v>40474.8</v>
      </c>
      <c r="K48">
        <v>2</v>
      </c>
      <c r="L48">
        <v>1</v>
      </c>
      <c r="M48" s="2">
        <v>40474.8</v>
      </c>
      <c r="N48">
        <v>0</v>
      </c>
      <c r="O48">
        <v>0</v>
      </c>
      <c r="P48" s="2">
        <v>0</v>
      </c>
      <c r="Q48">
        <v>0</v>
      </c>
      <c r="R48">
        <v>0</v>
      </c>
      <c r="S48" s="2">
        <v>0</v>
      </c>
    </row>
    <row r="49" spans="1:19">
      <c r="A49" s="1">
        <v>960710408</v>
      </c>
      <c r="B49" t="s">
        <v>2611</v>
      </c>
      <c r="C49" t="s">
        <v>2844</v>
      </c>
      <c r="D49" t="s">
        <v>2554</v>
      </c>
      <c r="E49" t="s">
        <v>2562</v>
      </c>
      <c r="F49" t="s">
        <v>2967</v>
      </c>
      <c r="H49">
        <v>1</v>
      </c>
      <c r="I49" t="s">
        <v>21</v>
      </c>
      <c r="J49" s="2">
        <v>48700</v>
      </c>
      <c r="K49">
        <v>1</v>
      </c>
      <c r="L49">
        <v>1</v>
      </c>
      <c r="M49" s="2">
        <v>48700</v>
      </c>
      <c r="N49">
        <v>0</v>
      </c>
      <c r="O49">
        <v>0</v>
      </c>
      <c r="P49" s="2">
        <v>0</v>
      </c>
      <c r="Q49">
        <v>0</v>
      </c>
      <c r="R49">
        <v>0</v>
      </c>
      <c r="S49" s="2">
        <v>0</v>
      </c>
    </row>
    <row r="50" spans="1:19">
      <c r="A50" s="1">
        <v>998804636</v>
      </c>
      <c r="B50" t="s">
        <v>2612</v>
      </c>
      <c r="C50" t="s">
        <v>2845</v>
      </c>
      <c r="D50" t="s">
        <v>2548</v>
      </c>
      <c r="E50" t="s">
        <v>2556</v>
      </c>
      <c r="F50" t="s">
        <v>2965</v>
      </c>
      <c r="H50">
        <v>48</v>
      </c>
      <c r="I50" t="s">
        <v>3360</v>
      </c>
      <c r="J50" s="2">
        <v>5366878.5</v>
      </c>
      <c r="K50">
        <v>9</v>
      </c>
      <c r="L50">
        <v>3</v>
      </c>
      <c r="M50" s="2">
        <v>318756</v>
      </c>
      <c r="N50">
        <v>26</v>
      </c>
      <c r="O50">
        <v>2</v>
      </c>
      <c r="P50" s="2">
        <v>2832500</v>
      </c>
      <c r="Q50">
        <v>13</v>
      </c>
      <c r="R50">
        <v>2</v>
      </c>
      <c r="S50" s="2">
        <v>2215622.5</v>
      </c>
    </row>
    <row r="51" spans="1:19">
      <c r="A51" s="1">
        <v>998804927</v>
      </c>
      <c r="B51" t="s">
        <v>2613</v>
      </c>
      <c r="D51" t="s">
        <v>2548</v>
      </c>
      <c r="E51" t="s">
        <v>2556</v>
      </c>
      <c r="F51" t="s">
        <v>2965</v>
      </c>
      <c r="H51">
        <v>7</v>
      </c>
      <c r="I51" t="s">
        <v>3361</v>
      </c>
      <c r="J51" s="2">
        <v>273807.5</v>
      </c>
      <c r="K51">
        <v>2</v>
      </c>
      <c r="L51">
        <v>0</v>
      </c>
      <c r="M51" s="2">
        <v>0</v>
      </c>
      <c r="N51">
        <v>5</v>
      </c>
      <c r="O51">
        <v>1</v>
      </c>
      <c r="P51" s="2">
        <v>273807.5</v>
      </c>
      <c r="Q51">
        <v>0</v>
      </c>
      <c r="R51">
        <v>0</v>
      </c>
      <c r="S51" s="2">
        <v>0</v>
      </c>
    </row>
    <row r="52" spans="1:19">
      <c r="A52" s="1">
        <v>999818577</v>
      </c>
      <c r="B52" t="s">
        <v>2614</v>
      </c>
      <c r="C52" t="s">
        <v>2846</v>
      </c>
      <c r="D52" t="s">
        <v>2548</v>
      </c>
      <c r="E52" t="s">
        <v>2556</v>
      </c>
      <c r="F52" t="s">
        <v>2965</v>
      </c>
      <c r="H52">
        <v>5</v>
      </c>
      <c r="I52" t="s">
        <v>3360</v>
      </c>
      <c r="J52" s="2">
        <v>0</v>
      </c>
      <c r="K52">
        <v>2</v>
      </c>
      <c r="L52">
        <v>0</v>
      </c>
      <c r="M52" s="2">
        <v>0</v>
      </c>
      <c r="N52">
        <v>2</v>
      </c>
      <c r="O52">
        <v>0</v>
      </c>
      <c r="P52" s="2">
        <v>0</v>
      </c>
      <c r="Q52">
        <v>1</v>
      </c>
      <c r="R52">
        <v>0</v>
      </c>
      <c r="S52" s="2">
        <v>0</v>
      </c>
    </row>
    <row r="53" spans="1:19">
      <c r="A53" s="1">
        <v>999879978</v>
      </c>
      <c r="B53" t="s">
        <v>2615</v>
      </c>
      <c r="D53" t="s">
        <v>2548</v>
      </c>
      <c r="E53" t="s">
        <v>2556</v>
      </c>
      <c r="F53" t="s">
        <v>2965</v>
      </c>
      <c r="H53">
        <v>8</v>
      </c>
      <c r="I53" t="s">
        <v>3360</v>
      </c>
      <c r="J53" s="2">
        <v>0</v>
      </c>
      <c r="K53">
        <v>1</v>
      </c>
      <c r="L53">
        <v>0</v>
      </c>
      <c r="M53" s="2">
        <v>0</v>
      </c>
      <c r="N53">
        <v>6</v>
      </c>
      <c r="O53">
        <v>0</v>
      </c>
      <c r="P53" s="2">
        <v>0</v>
      </c>
      <c r="Q53">
        <v>1</v>
      </c>
      <c r="R53">
        <v>0</v>
      </c>
      <c r="S53" s="2">
        <v>0</v>
      </c>
    </row>
    <row r="54" spans="1:19">
      <c r="A54" s="1">
        <v>998859344</v>
      </c>
      <c r="B54" t="s">
        <v>2616</v>
      </c>
      <c r="C54" t="s">
        <v>2847</v>
      </c>
      <c r="D54" t="s">
        <v>2548</v>
      </c>
      <c r="E54" t="s">
        <v>2556</v>
      </c>
      <c r="F54" t="s">
        <v>2969</v>
      </c>
      <c r="H54">
        <v>1</v>
      </c>
      <c r="I54" t="s">
        <v>21</v>
      </c>
      <c r="J54" s="2">
        <v>11265.71</v>
      </c>
      <c r="K54">
        <v>1</v>
      </c>
      <c r="L54">
        <v>1</v>
      </c>
      <c r="M54" s="2">
        <v>11265.71</v>
      </c>
      <c r="N54">
        <v>0</v>
      </c>
      <c r="O54">
        <v>0</v>
      </c>
      <c r="P54" s="2">
        <v>0</v>
      </c>
      <c r="Q54">
        <v>0</v>
      </c>
      <c r="R54">
        <v>0</v>
      </c>
      <c r="S54" s="2">
        <v>0</v>
      </c>
    </row>
    <row r="55" spans="1:19">
      <c r="A55" s="1">
        <v>998826946</v>
      </c>
      <c r="B55" t="s">
        <v>2617</v>
      </c>
      <c r="C55" t="s">
        <v>2848</v>
      </c>
      <c r="D55" t="s">
        <v>2548</v>
      </c>
      <c r="E55" t="s">
        <v>2556</v>
      </c>
      <c r="F55" t="s">
        <v>2965</v>
      </c>
      <c r="H55">
        <v>71</v>
      </c>
      <c r="I55" t="s">
        <v>3360</v>
      </c>
      <c r="J55" s="2">
        <v>1661324.97</v>
      </c>
      <c r="K55">
        <v>18</v>
      </c>
      <c r="L55">
        <v>10</v>
      </c>
      <c r="M55" s="2">
        <v>1131626.47</v>
      </c>
      <c r="N55">
        <v>39</v>
      </c>
      <c r="O55">
        <v>2</v>
      </c>
      <c r="P55" s="2">
        <v>199227.5</v>
      </c>
      <c r="Q55">
        <v>14</v>
      </c>
      <c r="R55">
        <v>1</v>
      </c>
      <c r="S55" s="2">
        <v>330471</v>
      </c>
    </row>
    <row r="56" spans="1:19">
      <c r="A56" s="1">
        <v>998385014</v>
      </c>
      <c r="B56" t="s">
        <v>2618</v>
      </c>
      <c r="C56" t="s">
        <v>2849</v>
      </c>
      <c r="D56" t="s">
        <v>2548</v>
      </c>
      <c r="E56" t="s">
        <v>2556</v>
      </c>
      <c r="F56" t="s">
        <v>2965</v>
      </c>
      <c r="H56">
        <v>11</v>
      </c>
      <c r="I56" t="s">
        <v>3360</v>
      </c>
      <c r="J56" s="2">
        <v>316363.75</v>
      </c>
      <c r="K56">
        <v>1</v>
      </c>
      <c r="L56">
        <v>0</v>
      </c>
      <c r="M56" s="2">
        <v>0</v>
      </c>
      <c r="N56">
        <v>7</v>
      </c>
      <c r="O56">
        <v>1</v>
      </c>
      <c r="P56" s="2">
        <v>100531.25</v>
      </c>
      <c r="Q56">
        <v>3</v>
      </c>
      <c r="R56">
        <v>2</v>
      </c>
      <c r="S56" s="2">
        <v>215832.5</v>
      </c>
    </row>
    <row r="57" spans="1:19">
      <c r="A57" s="1">
        <v>951531492</v>
      </c>
      <c r="B57" t="s">
        <v>2619</v>
      </c>
      <c r="C57" t="s">
        <v>2850</v>
      </c>
      <c r="D57" t="s">
        <v>2548</v>
      </c>
      <c r="E57" t="s">
        <v>2556</v>
      </c>
      <c r="F57" t="s">
        <v>2968</v>
      </c>
      <c r="H57">
        <v>1</v>
      </c>
      <c r="I57" t="s">
        <v>21</v>
      </c>
      <c r="J57" s="2">
        <v>261435.1</v>
      </c>
      <c r="K57">
        <v>1</v>
      </c>
      <c r="L57">
        <v>1</v>
      </c>
      <c r="M57" s="2">
        <v>261435.1</v>
      </c>
      <c r="N57">
        <v>0</v>
      </c>
      <c r="O57">
        <v>0</v>
      </c>
      <c r="P57" s="2">
        <v>0</v>
      </c>
      <c r="Q57">
        <v>0</v>
      </c>
      <c r="R57">
        <v>0</v>
      </c>
      <c r="S57" s="2">
        <v>0</v>
      </c>
    </row>
    <row r="58" spans="1:19">
      <c r="A58" s="1">
        <v>964384477</v>
      </c>
      <c r="B58" t="s">
        <v>2620</v>
      </c>
      <c r="C58" t="s">
        <v>2851</v>
      </c>
      <c r="D58" t="s">
        <v>2548</v>
      </c>
      <c r="E58" t="s">
        <v>2556</v>
      </c>
      <c r="F58" t="s">
        <v>2969</v>
      </c>
      <c r="H58">
        <v>2</v>
      </c>
      <c r="I58" t="s">
        <v>21</v>
      </c>
      <c r="J58" s="2">
        <v>0</v>
      </c>
      <c r="K58">
        <v>2</v>
      </c>
      <c r="L58">
        <v>0</v>
      </c>
      <c r="M58" s="2">
        <v>0</v>
      </c>
      <c r="N58">
        <v>0</v>
      </c>
      <c r="O58">
        <v>0</v>
      </c>
      <c r="P58" s="2">
        <v>0</v>
      </c>
      <c r="Q58">
        <v>0</v>
      </c>
      <c r="R58">
        <v>0</v>
      </c>
      <c r="S58" s="2">
        <v>0</v>
      </c>
    </row>
    <row r="59" spans="1:19">
      <c r="A59" s="1">
        <v>951539252</v>
      </c>
      <c r="B59" t="s">
        <v>2621</v>
      </c>
      <c r="C59" t="s">
        <v>2852</v>
      </c>
      <c r="D59" t="s">
        <v>2548</v>
      </c>
      <c r="E59" t="s">
        <v>2556</v>
      </c>
      <c r="F59" t="s">
        <v>2968</v>
      </c>
      <c r="H59">
        <v>1</v>
      </c>
      <c r="I59" t="s">
        <v>21</v>
      </c>
      <c r="J59" s="2">
        <v>293548.08</v>
      </c>
      <c r="K59">
        <v>1</v>
      </c>
      <c r="L59">
        <v>1</v>
      </c>
      <c r="M59" s="2">
        <v>293548.08</v>
      </c>
      <c r="N59">
        <v>0</v>
      </c>
      <c r="O59">
        <v>0</v>
      </c>
      <c r="P59" s="2">
        <v>0</v>
      </c>
      <c r="Q59">
        <v>0</v>
      </c>
      <c r="R59">
        <v>0</v>
      </c>
      <c r="S59" s="2">
        <v>0</v>
      </c>
    </row>
    <row r="60" spans="1:19">
      <c r="A60" s="1">
        <v>960368386</v>
      </c>
      <c r="B60" t="s">
        <v>2622</v>
      </c>
      <c r="C60" t="s">
        <v>2853</v>
      </c>
      <c r="D60" t="s">
        <v>2548</v>
      </c>
      <c r="E60" t="s">
        <v>2556</v>
      </c>
      <c r="F60" t="s">
        <v>2969</v>
      </c>
      <c r="H60">
        <v>16</v>
      </c>
      <c r="I60" t="s">
        <v>3361</v>
      </c>
      <c r="J60" s="2">
        <v>152120</v>
      </c>
      <c r="K60">
        <v>2</v>
      </c>
      <c r="L60">
        <v>1</v>
      </c>
      <c r="M60" s="2">
        <v>17120</v>
      </c>
      <c r="N60">
        <v>14</v>
      </c>
      <c r="O60">
        <v>1</v>
      </c>
      <c r="P60" s="2">
        <v>135000</v>
      </c>
      <c r="Q60">
        <v>0</v>
      </c>
      <c r="R60">
        <v>0</v>
      </c>
      <c r="S60" s="2">
        <v>0</v>
      </c>
    </row>
    <row r="61" spans="1:19">
      <c r="A61" s="1">
        <v>967932349</v>
      </c>
      <c r="B61" t="s">
        <v>2623</v>
      </c>
      <c r="C61" t="s">
        <v>2854</v>
      </c>
      <c r="D61" t="s">
        <v>2548</v>
      </c>
      <c r="E61" t="s">
        <v>2556</v>
      </c>
      <c r="F61" t="s">
        <v>2967</v>
      </c>
      <c r="H61">
        <v>1</v>
      </c>
      <c r="I61" t="s">
        <v>21</v>
      </c>
      <c r="J61" s="2">
        <v>641268</v>
      </c>
      <c r="K61">
        <v>1</v>
      </c>
      <c r="L61">
        <v>1</v>
      </c>
      <c r="M61" s="2">
        <v>641268</v>
      </c>
      <c r="N61">
        <v>0</v>
      </c>
      <c r="O61">
        <v>0</v>
      </c>
      <c r="P61" s="2">
        <v>0</v>
      </c>
      <c r="Q61">
        <v>0</v>
      </c>
      <c r="R61">
        <v>0</v>
      </c>
      <c r="S61" s="2">
        <v>0</v>
      </c>
    </row>
    <row r="62" spans="1:19">
      <c r="A62" s="1">
        <v>950590301</v>
      </c>
      <c r="B62" t="s">
        <v>2624</v>
      </c>
      <c r="C62" t="s">
        <v>2855</v>
      </c>
      <c r="D62" t="s">
        <v>2548</v>
      </c>
      <c r="E62" t="s">
        <v>2556</v>
      </c>
      <c r="F62" t="s">
        <v>2967</v>
      </c>
      <c r="H62">
        <v>2</v>
      </c>
      <c r="I62" t="s">
        <v>3361</v>
      </c>
      <c r="J62" s="2">
        <v>438376.25</v>
      </c>
      <c r="K62">
        <v>1</v>
      </c>
      <c r="L62">
        <v>0</v>
      </c>
      <c r="M62" s="2">
        <v>0</v>
      </c>
      <c r="N62">
        <v>1</v>
      </c>
      <c r="O62">
        <v>1</v>
      </c>
      <c r="P62" s="2">
        <v>438376.25</v>
      </c>
      <c r="Q62">
        <v>0</v>
      </c>
      <c r="R62">
        <v>0</v>
      </c>
      <c r="S62" s="2">
        <v>0</v>
      </c>
    </row>
    <row r="63" spans="1:19">
      <c r="A63" s="1">
        <v>996491768</v>
      </c>
      <c r="B63" t="s">
        <v>2625</v>
      </c>
      <c r="C63" t="s">
        <v>2856</v>
      </c>
      <c r="D63" t="s">
        <v>2548</v>
      </c>
      <c r="E63" t="s">
        <v>2556</v>
      </c>
      <c r="F63" t="s">
        <v>2966</v>
      </c>
      <c r="H63">
        <v>4</v>
      </c>
      <c r="I63" t="s">
        <v>3360</v>
      </c>
      <c r="J63" s="2">
        <v>85600</v>
      </c>
      <c r="K63">
        <v>1</v>
      </c>
      <c r="L63">
        <v>1</v>
      </c>
      <c r="M63" s="2">
        <v>85600</v>
      </c>
      <c r="N63">
        <v>2</v>
      </c>
      <c r="O63">
        <v>0</v>
      </c>
      <c r="P63" s="2">
        <v>0</v>
      </c>
      <c r="Q63">
        <v>1</v>
      </c>
      <c r="R63">
        <v>0</v>
      </c>
      <c r="S63" s="2">
        <v>0</v>
      </c>
    </row>
    <row r="64" spans="1:19">
      <c r="A64" s="1">
        <v>954799810</v>
      </c>
      <c r="B64" t="s">
        <v>2626</v>
      </c>
      <c r="C64" t="s">
        <v>2857</v>
      </c>
      <c r="D64" t="s">
        <v>2550</v>
      </c>
      <c r="E64" t="s">
        <v>2558</v>
      </c>
      <c r="F64" t="s">
        <v>2966</v>
      </c>
      <c r="H64">
        <v>1</v>
      </c>
      <c r="I64" t="s">
        <v>21</v>
      </c>
      <c r="J64" s="2">
        <v>150121</v>
      </c>
      <c r="K64">
        <v>1</v>
      </c>
      <c r="L64">
        <v>1</v>
      </c>
      <c r="M64" s="2">
        <v>150121</v>
      </c>
      <c r="N64">
        <v>0</v>
      </c>
      <c r="O64">
        <v>0</v>
      </c>
      <c r="P64" s="2">
        <v>0</v>
      </c>
      <c r="Q64">
        <v>0</v>
      </c>
      <c r="R64">
        <v>0</v>
      </c>
      <c r="S64" s="2">
        <v>0</v>
      </c>
    </row>
    <row r="65" spans="1:19">
      <c r="A65" s="1">
        <v>998333507</v>
      </c>
      <c r="B65" t="s">
        <v>2627</v>
      </c>
      <c r="C65" t="s">
        <v>2858</v>
      </c>
      <c r="D65" t="s">
        <v>2548</v>
      </c>
      <c r="E65" t="s">
        <v>2556</v>
      </c>
      <c r="F65" t="s">
        <v>2966</v>
      </c>
      <c r="H65">
        <v>2</v>
      </c>
      <c r="I65" t="s">
        <v>3362</v>
      </c>
      <c r="J65" s="2">
        <v>82650</v>
      </c>
      <c r="K65">
        <v>1</v>
      </c>
      <c r="L65">
        <v>1</v>
      </c>
      <c r="M65" s="2">
        <v>82650</v>
      </c>
      <c r="N65">
        <v>0</v>
      </c>
      <c r="O65">
        <v>0</v>
      </c>
      <c r="P65" s="2">
        <v>0</v>
      </c>
      <c r="Q65">
        <v>1</v>
      </c>
      <c r="R65">
        <v>0</v>
      </c>
      <c r="S65" s="2">
        <v>0</v>
      </c>
    </row>
    <row r="66" spans="1:19">
      <c r="A66" s="1">
        <v>998711419</v>
      </c>
      <c r="B66" t="s">
        <v>2628</v>
      </c>
      <c r="D66" t="s">
        <v>2548</v>
      </c>
      <c r="E66" t="s">
        <v>2556</v>
      </c>
      <c r="F66" t="s">
        <v>2965</v>
      </c>
      <c r="H66">
        <v>14</v>
      </c>
      <c r="I66" t="s">
        <v>3360</v>
      </c>
      <c r="J66" s="2">
        <v>170419</v>
      </c>
      <c r="K66">
        <v>2</v>
      </c>
      <c r="L66">
        <v>1</v>
      </c>
      <c r="M66" s="2">
        <v>120419</v>
      </c>
      <c r="N66">
        <v>7</v>
      </c>
      <c r="O66">
        <v>0</v>
      </c>
      <c r="P66" s="2">
        <v>0</v>
      </c>
      <c r="Q66">
        <v>5</v>
      </c>
      <c r="R66">
        <v>1</v>
      </c>
      <c r="S66" s="2">
        <v>50000</v>
      </c>
    </row>
    <row r="67" spans="1:19">
      <c r="A67" s="1">
        <v>963122410</v>
      </c>
      <c r="B67" t="s">
        <v>2629</v>
      </c>
      <c r="C67" t="s">
        <v>2859</v>
      </c>
      <c r="D67" t="s">
        <v>2548</v>
      </c>
      <c r="E67" t="s">
        <v>2556</v>
      </c>
      <c r="F67" t="s">
        <v>2968</v>
      </c>
      <c r="H67">
        <v>7</v>
      </c>
      <c r="I67" t="s">
        <v>3361</v>
      </c>
      <c r="J67" s="2">
        <v>140105.5</v>
      </c>
      <c r="K67">
        <v>1</v>
      </c>
      <c r="L67">
        <v>1</v>
      </c>
      <c r="M67" s="2">
        <v>104218</v>
      </c>
      <c r="N67">
        <v>6</v>
      </c>
      <c r="O67">
        <v>1</v>
      </c>
      <c r="P67" s="2">
        <v>35887.5</v>
      </c>
      <c r="Q67">
        <v>0</v>
      </c>
      <c r="R67">
        <v>0</v>
      </c>
      <c r="S67" s="2">
        <v>0</v>
      </c>
    </row>
    <row r="68" spans="1:19">
      <c r="A68" s="1">
        <v>998770104</v>
      </c>
      <c r="B68" t="s">
        <v>2630</v>
      </c>
      <c r="C68" t="s">
        <v>2860</v>
      </c>
      <c r="D68" t="s">
        <v>2549</v>
      </c>
      <c r="E68" t="s">
        <v>2557</v>
      </c>
      <c r="F68" t="s">
        <v>2966</v>
      </c>
      <c r="H68">
        <v>2</v>
      </c>
      <c r="I68" t="s">
        <v>3361</v>
      </c>
      <c r="J68" s="2">
        <v>43000</v>
      </c>
      <c r="K68">
        <v>1</v>
      </c>
      <c r="L68">
        <v>1</v>
      </c>
      <c r="M68" s="2">
        <v>43000</v>
      </c>
      <c r="N68">
        <v>1</v>
      </c>
      <c r="O68">
        <v>0</v>
      </c>
      <c r="P68" s="2">
        <v>0</v>
      </c>
      <c r="Q68">
        <v>0</v>
      </c>
      <c r="R68">
        <v>0</v>
      </c>
      <c r="S68" s="2">
        <v>0</v>
      </c>
    </row>
    <row r="69" spans="1:19">
      <c r="A69" s="1">
        <v>962472413</v>
      </c>
      <c r="B69" t="s">
        <v>2631</v>
      </c>
      <c r="C69" t="s">
        <v>2861</v>
      </c>
      <c r="D69" t="s">
        <v>2548</v>
      </c>
      <c r="E69" t="s">
        <v>2556</v>
      </c>
      <c r="F69" t="s">
        <v>2968</v>
      </c>
      <c r="H69">
        <v>1</v>
      </c>
      <c r="I69" t="s">
        <v>21</v>
      </c>
      <c r="J69" s="2">
        <v>0</v>
      </c>
      <c r="K69">
        <v>1</v>
      </c>
      <c r="L69">
        <v>0</v>
      </c>
      <c r="M69" s="2">
        <v>0</v>
      </c>
      <c r="N69">
        <v>0</v>
      </c>
      <c r="O69">
        <v>0</v>
      </c>
      <c r="P69" s="2">
        <v>0</v>
      </c>
      <c r="Q69">
        <v>0</v>
      </c>
      <c r="R69">
        <v>0</v>
      </c>
      <c r="S69" s="2">
        <v>0</v>
      </c>
    </row>
    <row r="70" spans="1:19">
      <c r="A70" s="1">
        <v>998819089</v>
      </c>
      <c r="B70" t="s">
        <v>2632</v>
      </c>
      <c r="C70" t="s">
        <v>2862</v>
      </c>
      <c r="D70" t="s">
        <v>2548</v>
      </c>
      <c r="E70" t="s">
        <v>2556</v>
      </c>
      <c r="F70" t="s">
        <v>2967</v>
      </c>
      <c r="H70">
        <v>2</v>
      </c>
      <c r="I70" t="s">
        <v>21</v>
      </c>
      <c r="J70" s="2">
        <v>0</v>
      </c>
      <c r="K70">
        <v>2</v>
      </c>
      <c r="L70">
        <v>0</v>
      </c>
      <c r="M70" s="2">
        <v>0</v>
      </c>
      <c r="N70">
        <v>0</v>
      </c>
      <c r="O70">
        <v>0</v>
      </c>
      <c r="P70" s="2">
        <v>0</v>
      </c>
      <c r="Q70">
        <v>0</v>
      </c>
      <c r="R70">
        <v>0</v>
      </c>
      <c r="S70" s="2">
        <v>0</v>
      </c>
    </row>
    <row r="71" spans="1:19">
      <c r="A71" s="1">
        <v>966504412</v>
      </c>
      <c r="B71" t="s">
        <v>2633</v>
      </c>
      <c r="C71" t="s">
        <v>2863</v>
      </c>
      <c r="D71" t="s">
        <v>2548</v>
      </c>
      <c r="E71" t="s">
        <v>2556</v>
      </c>
      <c r="F71" t="s">
        <v>2969</v>
      </c>
      <c r="H71">
        <v>1</v>
      </c>
      <c r="I71" t="s">
        <v>21</v>
      </c>
      <c r="J71" s="2">
        <v>0</v>
      </c>
      <c r="K71">
        <v>1</v>
      </c>
      <c r="L71">
        <v>0</v>
      </c>
      <c r="M71" s="2">
        <v>0</v>
      </c>
      <c r="N71">
        <v>0</v>
      </c>
      <c r="O71">
        <v>0</v>
      </c>
      <c r="P71" s="2">
        <v>0</v>
      </c>
      <c r="Q71">
        <v>0</v>
      </c>
      <c r="R71">
        <v>0</v>
      </c>
      <c r="S71" s="2">
        <v>0</v>
      </c>
    </row>
    <row r="72" spans="1:19">
      <c r="A72" s="1">
        <v>965802423</v>
      </c>
      <c r="B72" t="s">
        <v>2634</v>
      </c>
      <c r="C72" t="s">
        <v>2864</v>
      </c>
      <c r="D72" t="s">
        <v>2548</v>
      </c>
      <c r="E72" t="s">
        <v>2556</v>
      </c>
      <c r="F72" t="s">
        <v>2968</v>
      </c>
      <c r="H72">
        <v>1</v>
      </c>
      <c r="I72" t="s">
        <v>21</v>
      </c>
      <c r="J72" s="2">
        <v>0</v>
      </c>
      <c r="K72">
        <v>1</v>
      </c>
      <c r="L72">
        <v>0</v>
      </c>
      <c r="M72" s="2">
        <v>0</v>
      </c>
      <c r="N72">
        <v>0</v>
      </c>
      <c r="O72">
        <v>0</v>
      </c>
      <c r="P72" s="2">
        <v>0</v>
      </c>
      <c r="Q72">
        <v>0</v>
      </c>
      <c r="R72">
        <v>0</v>
      </c>
      <c r="S72" s="2">
        <v>0</v>
      </c>
    </row>
    <row r="73" spans="1:19">
      <c r="A73" s="1">
        <v>966514403</v>
      </c>
      <c r="B73" t="s">
        <v>2635</v>
      </c>
      <c r="C73" t="s">
        <v>2865</v>
      </c>
      <c r="D73" t="s">
        <v>2548</v>
      </c>
      <c r="E73" t="s">
        <v>2556</v>
      </c>
      <c r="F73" t="s">
        <v>2969</v>
      </c>
      <c r="H73">
        <v>4</v>
      </c>
      <c r="I73" t="s">
        <v>3361</v>
      </c>
      <c r="J73" s="2">
        <v>23925</v>
      </c>
      <c r="K73">
        <v>1</v>
      </c>
      <c r="L73">
        <v>0</v>
      </c>
      <c r="M73" s="2">
        <v>0</v>
      </c>
      <c r="N73">
        <v>3</v>
      </c>
      <c r="O73">
        <v>1</v>
      </c>
      <c r="P73" s="2">
        <v>23925</v>
      </c>
      <c r="Q73">
        <v>0</v>
      </c>
      <c r="R73">
        <v>0</v>
      </c>
      <c r="S73" s="2">
        <v>0</v>
      </c>
    </row>
    <row r="74" spans="1:19">
      <c r="A74" s="1">
        <v>952611975</v>
      </c>
      <c r="B74" t="s">
        <v>2636</v>
      </c>
      <c r="C74" t="s">
        <v>2866</v>
      </c>
      <c r="D74" t="s">
        <v>2548</v>
      </c>
      <c r="E74" t="s">
        <v>2556</v>
      </c>
      <c r="F74" t="s">
        <v>2967</v>
      </c>
      <c r="H74">
        <v>1</v>
      </c>
      <c r="I74" t="s">
        <v>21</v>
      </c>
      <c r="J74" s="2">
        <v>0</v>
      </c>
      <c r="K74">
        <v>1</v>
      </c>
      <c r="L74">
        <v>0</v>
      </c>
      <c r="M74" s="2">
        <v>0</v>
      </c>
      <c r="N74">
        <v>0</v>
      </c>
      <c r="O74">
        <v>0</v>
      </c>
      <c r="P74" s="2">
        <v>0</v>
      </c>
      <c r="Q74">
        <v>0</v>
      </c>
      <c r="R74">
        <v>0</v>
      </c>
      <c r="S74" s="2">
        <v>0</v>
      </c>
    </row>
    <row r="75" spans="1:19">
      <c r="A75" s="1">
        <v>998225740</v>
      </c>
      <c r="B75" t="s">
        <v>2637</v>
      </c>
      <c r="D75" t="s">
        <v>2548</v>
      </c>
      <c r="E75" t="s">
        <v>2556</v>
      </c>
      <c r="F75" t="s">
        <v>2965</v>
      </c>
      <c r="H75">
        <v>20</v>
      </c>
      <c r="I75" t="s">
        <v>3360</v>
      </c>
      <c r="J75" s="2">
        <v>921353.62</v>
      </c>
      <c r="K75">
        <v>3</v>
      </c>
      <c r="L75">
        <v>2</v>
      </c>
      <c r="M75" s="2">
        <v>77923.12</v>
      </c>
      <c r="N75">
        <v>12</v>
      </c>
      <c r="O75">
        <v>2</v>
      </c>
      <c r="P75" s="2">
        <v>458954.25</v>
      </c>
      <c r="Q75">
        <v>5</v>
      </c>
      <c r="R75">
        <v>1</v>
      </c>
      <c r="S75" s="2">
        <v>384476.25</v>
      </c>
    </row>
    <row r="76" spans="1:19">
      <c r="A76" s="1">
        <v>995752046</v>
      </c>
      <c r="B76" t="s">
        <v>2638</v>
      </c>
      <c r="C76" t="s">
        <v>2867</v>
      </c>
      <c r="D76" t="s">
        <v>2550</v>
      </c>
      <c r="E76" t="s">
        <v>2558</v>
      </c>
      <c r="F76" t="s">
        <v>2966</v>
      </c>
      <c r="H76">
        <v>1</v>
      </c>
      <c r="I76" t="s">
        <v>21</v>
      </c>
      <c r="J76" s="2">
        <v>282000</v>
      </c>
      <c r="K76">
        <v>1</v>
      </c>
      <c r="L76">
        <v>1</v>
      </c>
      <c r="M76" s="2">
        <v>282000</v>
      </c>
      <c r="N76">
        <v>0</v>
      </c>
      <c r="O76">
        <v>0</v>
      </c>
      <c r="P76" s="2">
        <v>0</v>
      </c>
      <c r="Q76">
        <v>0</v>
      </c>
      <c r="R76">
        <v>0</v>
      </c>
      <c r="S76" s="2">
        <v>0</v>
      </c>
    </row>
    <row r="77" spans="1:19">
      <c r="A77" s="1">
        <v>998811717</v>
      </c>
      <c r="B77" t="s">
        <v>2639</v>
      </c>
      <c r="C77" t="s">
        <v>2868</v>
      </c>
      <c r="D77" t="s">
        <v>2549</v>
      </c>
      <c r="E77" t="s">
        <v>2557</v>
      </c>
      <c r="F77" t="s">
        <v>2966</v>
      </c>
      <c r="H77">
        <v>1</v>
      </c>
      <c r="I77" t="s">
        <v>21</v>
      </c>
      <c r="J77" s="2">
        <v>25000</v>
      </c>
      <c r="K77">
        <v>1</v>
      </c>
      <c r="L77">
        <v>1</v>
      </c>
      <c r="M77" s="2">
        <v>25000</v>
      </c>
      <c r="N77">
        <v>0</v>
      </c>
      <c r="O77">
        <v>0</v>
      </c>
      <c r="P77" s="2">
        <v>0</v>
      </c>
      <c r="Q77">
        <v>0</v>
      </c>
      <c r="R77">
        <v>0</v>
      </c>
      <c r="S77" s="2">
        <v>0</v>
      </c>
    </row>
    <row r="78" spans="1:19">
      <c r="A78" s="1">
        <v>996325704</v>
      </c>
      <c r="B78" t="s">
        <v>2640</v>
      </c>
      <c r="C78" t="s">
        <v>2869</v>
      </c>
      <c r="D78" t="s">
        <v>2548</v>
      </c>
      <c r="E78" t="s">
        <v>2556</v>
      </c>
      <c r="F78" t="s">
        <v>2966</v>
      </c>
      <c r="H78">
        <v>6</v>
      </c>
      <c r="I78" t="s">
        <v>3360</v>
      </c>
      <c r="J78" s="2">
        <v>653100.01</v>
      </c>
      <c r="K78">
        <v>1</v>
      </c>
      <c r="L78">
        <v>1</v>
      </c>
      <c r="M78" s="2">
        <v>578100.01</v>
      </c>
      <c r="N78">
        <v>3</v>
      </c>
      <c r="O78">
        <v>0</v>
      </c>
      <c r="P78" s="2">
        <v>0</v>
      </c>
      <c r="Q78">
        <v>2</v>
      </c>
      <c r="R78">
        <v>1</v>
      </c>
      <c r="S78" s="2">
        <v>75000</v>
      </c>
    </row>
    <row r="79" spans="1:19">
      <c r="A79" s="1">
        <v>972460212</v>
      </c>
      <c r="B79" t="s">
        <v>2641</v>
      </c>
      <c r="C79" t="s">
        <v>2870</v>
      </c>
      <c r="D79" t="s">
        <v>2548</v>
      </c>
      <c r="E79" t="s">
        <v>2556</v>
      </c>
      <c r="F79" t="s">
        <v>2965</v>
      </c>
      <c r="H79">
        <v>3</v>
      </c>
      <c r="I79" t="s">
        <v>21</v>
      </c>
      <c r="J79" s="2">
        <v>456299.2</v>
      </c>
      <c r="K79">
        <v>3</v>
      </c>
      <c r="L79">
        <v>2</v>
      </c>
      <c r="M79" s="2">
        <v>456299.2</v>
      </c>
      <c r="N79">
        <v>0</v>
      </c>
      <c r="O79">
        <v>0</v>
      </c>
      <c r="P79" s="2">
        <v>0</v>
      </c>
      <c r="Q79">
        <v>0</v>
      </c>
      <c r="R79">
        <v>0</v>
      </c>
      <c r="S79" s="2">
        <v>0</v>
      </c>
    </row>
    <row r="80" spans="1:19">
      <c r="A80" s="1">
        <v>953386423</v>
      </c>
      <c r="B80" t="s">
        <v>2642</v>
      </c>
      <c r="C80" t="s">
        <v>2871</v>
      </c>
      <c r="D80" t="s">
        <v>2548</v>
      </c>
      <c r="E80" t="s">
        <v>2556</v>
      </c>
      <c r="F80" t="s">
        <v>2967</v>
      </c>
      <c r="H80">
        <v>1</v>
      </c>
      <c r="I80" t="s">
        <v>21</v>
      </c>
      <c r="J80" s="2">
        <v>0</v>
      </c>
      <c r="K80">
        <v>1</v>
      </c>
      <c r="L80">
        <v>0</v>
      </c>
      <c r="M80" s="2">
        <v>0</v>
      </c>
      <c r="N80">
        <v>0</v>
      </c>
      <c r="O80">
        <v>0</v>
      </c>
      <c r="P80" s="2">
        <v>0</v>
      </c>
      <c r="Q80">
        <v>0</v>
      </c>
      <c r="R80">
        <v>0</v>
      </c>
      <c r="S80" s="2">
        <v>0</v>
      </c>
    </row>
    <row r="81" spans="1:19">
      <c r="A81" s="1">
        <v>964840474</v>
      </c>
      <c r="B81" t="s">
        <v>2643</v>
      </c>
      <c r="C81" t="s">
        <v>2872</v>
      </c>
      <c r="D81" t="s">
        <v>2548</v>
      </c>
      <c r="E81" t="s">
        <v>2556</v>
      </c>
      <c r="F81" t="s">
        <v>2968</v>
      </c>
      <c r="H81">
        <v>1</v>
      </c>
      <c r="I81" t="s">
        <v>21</v>
      </c>
      <c r="J81" s="2">
        <v>0</v>
      </c>
      <c r="K81">
        <v>1</v>
      </c>
      <c r="L81">
        <v>0</v>
      </c>
      <c r="M81" s="2">
        <v>0</v>
      </c>
      <c r="N81">
        <v>0</v>
      </c>
      <c r="O81">
        <v>0</v>
      </c>
      <c r="P81" s="2">
        <v>0</v>
      </c>
      <c r="Q81">
        <v>0</v>
      </c>
      <c r="R81">
        <v>0</v>
      </c>
      <c r="S81" s="2">
        <v>0</v>
      </c>
    </row>
    <row r="82" spans="1:19">
      <c r="A82" s="1">
        <v>996719233</v>
      </c>
      <c r="B82" t="s">
        <v>2644</v>
      </c>
      <c r="C82" t="s">
        <v>2873</v>
      </c>
      <c r="D82" t="s">
        <v>2548</v>
      </c>
      <c r="E82" t="s">
        <v>2556</v>
      </c>
      <c r="F82" t="s">
        <v>2968</v>
      </c>
      <c r="H82">
        <v>1</v>
      </c>
      <c r="I82" t="s">
        <v>21</v>
      </c>
      <c r="J82" s="2">
        <v>57994</v>
      </c>
      <c r="K82">
        <v>1</v>
      </c>
      <c r="L82">
        <v>1</v>
      </c>
      <c r="M82" s="2">
        <v>57994</v>
      </c>
      <c r="N82">
        <v>0</v>
      </c>
      <c r="O82">
        <v>0</v>
      </c>
      <c r="P82" s="2">
        <v>0</v>
      </c>
      <c r="Q82">
        <v>0</v>
      </c>
      <c r="R82">
        <v>0</v>
      </c>
      <c r="S82" s="2">
        <v>0</v>
      </c>
    </row>
    <row r="83" spans="1:19">
      <c r="A83" s="1">
        <v>996306013</v>
      </c>
      <c r="B83" t="s">
        <v>2645</v>
      </c>
      <c r="D83" t="s">
        <v>2549</v>
      </c>
      <c r="E83" t="s">
        <v>2557</v>
      </c>
      <c r="F83" t="s">
        <v>2966</v>
      </c>
      <c r="H83">
        <v>6</v>
      </c>
      <c r="I83" t="s">
        <v>3360</v>
      </c>
      <c r="J83" s="2">
        <v>0</v>
      </c>
      <c r="K83">
        <v>1</v>
      </c>
      <c r="L83">
        <v>0</v>
      </c>
      <c r="M83" s="2">
        <v>0</v>
      </c>
      <c r="N83">
        <v>4</v>
      </c>
      <c r="O83">
        <v>0</v>
      </c>
      <c r="P83" s="2">
        <v>0</v>
      </c>
      <c r="Q83">
        <v>1</v>
      </c>
      <c r="R83">
        <v>0</v>
      </c>
      <c r="S83" s="2">
        <v>0</v>
      </c>
    </row>
    <row r="84" spans="1:19">
      <c r="A84" s="1">
        <v>995410024</v>
      </c>
      <c r="B84" t="s">
        <v>2646</v>
      </c>
      <c r="C84" t="s">
        <v>2874</v>
      </c>
      <c r="D84" t="s">
        <v>2548</v>
      </c>
      <c r="E84" t="s">
        <v>2556</v>
      </c>
      <c r="H84">
        <v>5</v>
      </c>
      <c r="I84" t="s">
        <v>3361</v>
      </c>
      <c r="J84" s="2">
        <v>0</v>
      </c>
      <c r="K84">
        <v>3</v>
      </c>
      <c r="L84">
        <v>0</v>
      </c>
      <c r="M84" s="2">
        <v>0</v>
      </c>
      <c r="N84">
        <v>2</v>
      </c>
      <c r="O84">
        <v>0</v>
      </c>
      <c r="P84" s="2">
        <v>0</v>
      </c>
      <c r="Q84">
        <v>0</v>
      </c>
      <c r="R84">
        <v>0</v>
      </c>
      <c r="S84" s="2">
        <v>0</v>
      </c>
    </row>
    <row r="85" spans="1:19">
      <c r="A85" s="1">
        <v>956780356</v>
      </c>
      <c r="B85" t="s">
        <v>2647</v>
      </c>
      <c r="C85" t="s">
        <v>2875</v>
      </c>
      <c r="D85" t="s">
        <v>2548</v>
      </c>
      <c r="E85" t="s">
        <v>2556</v>
      </c>
      <c r="F85" t="s">
        <v>2967</v>
      </c>
      <c r="H85">
        <v>1</v>
      </c>
      <c r="I85" t="s">
        <v>21</v>
      </c>
      <c r="J85" s="2">
        <v>34755</v>
      </c>
      <c r="K85">
        <v>1</v>
      </c>
      <c r="L85">
        <v>1</v>
      </c>
      <c r="M85" s="2">
        <v>34755</v>
      </c>
      <c r="N85">
        <v>0</v>
      </c>
      <c r="O85">
        <v>0</v>
      </c>
      <c r="P85" s="2">
        <v>0</v>
      </c>
      <c r="Q85">
        <v>0</v>
      </c>
      <c r="R85">
        <v>0</v>
      </c>
      <c r="S85" s="2">
        <v>0</v>
      </c>
    </row>
    <row r="86" spans="1:19">
      <c r="A86" s="1">
        <v>984883972</v>
      </c>
      <c r="B86" t="s">
        <v>2648</v>
      </c>
      <c r="C86" t="s">
        <v>2876</v>
      </c>
      <c r="D86" t="s">
        <v>2548</v>
      </c>
      <c r="E86" t="s">
        <v>2556</v>
      </c>
      <c r="F86" t="s">
        <v>2966</v>
      </c>
      <c r="H86">
        <v>1</v>
      </c>
      <c r="I86" t="s">
        <v>21</v>
      </c>
      <c r="J86" s="2">
        <v>243375.75</v>
      </c>
      <c r="K86">
        <v>1</v>
      </c>
      <c r="L86">
        <v>1</v>
      </c>
      <c r="M86" s="2">
        <v>243375.75</v>
      </c>
      <c r="N86">
        <v>0</v>
      </c>
      <c r="O86">
        <v>0</v>
      </c>
      <c r="P86" s="2">
        <v>0</v>
      </c>
      <c r="Q86">
        <v>0</v>
      </c>
      <c r="R86">
        <v>0</v>
      </c>
      <c r="S86" s="2">
        <v>0</v>
      </c>
    </row>
    <row r="87" spans="1:19">
      <c r="A87" s="1">
        <v>998317211</v>
      </c>
      <c r="B87" t="s">
        <v>2649</v>
      </c>
      <c r="D87" t="s">
        <v>2549</v>
      </c>
      <c r="E87" t="s">
        <v>2557</v>
      </c>
      <c r="F87" t="s">
        <v>2966</v>
      </c>
      <c r="H87">
        <v>6</v>
      </c>
      <c r="I87" t="s">
        <v>3360</v>
      </c>
      <c r="J87" s="2">
        <v>171000</v>
      </c>
      <c r="K87">
        <v>2</v>
      </c>
      <c r="L87">
        <v>0</v>
      </c>
      <c r="M87" s="2">
        <v>0</v>
      </c>
      <c r="N87">
        <v>3</v>
      </c>
      <c r="O87">
        <v>0</v>
      </c>
      <c r="P87" s="2">
        <v>0</v>
      </c>
      <c r="Q87">
        <v>1</v>
      </c>
      <c r="R87">
        <v>1</v>
      </c>
      <c r="S87" s="2">
        <v>171000</v>
      </c>
    </row>
    <row r="88" spans="1:19">
      <c r="A88" s="1">
        <v>998849741</v>
      </c>
      <c r="B88" t="s">
        <v>2650</v>
      </c>
      <c r="C88" t="s">
        <v>2877</v>
      </c>
      <c r="D88" t="s">
        <v>2548</v>
      </c>
      <c r="E88" t="s">
        <v>2556</v>
      </c>
      <c r="F88" t="s">
        <v>2966</v>
      </c>
      <c r="H88">
        <v>1</v>
      </c>
      <c r="I88" t="s">
        <v>21</v>
      </c>
      <c r="J88" s="2">
        <v>0</v>
      </c>
      <c r="K88">
        <v>1</v>
      </c>
      <c r="L88">
        <v>0</v>
      </c>
      <c r="M88" s="2">
        <v>0</v>
      </c>
      <c r="N88">
        <v>0</v>
      </c>
      <c r="O88">
        <v>0</v>
      </c>
      <c r="P88" s="2">
        <v>0</v>
      </c>
      <c r="Q88">
        <v>0</v>
      </c>
      <c r="R88">
        <v>0</v>
      </c>
      <c r="S88" s="2">
        <v>0</v>
      </c>
    </row>
    <row r="89" spans="1:19">
      <c r="A89" s="1">
        <v>951073167</v>
      </c>
      <c r="B89" t="s">
        <v>2651</v>
      </c>
      <c r="C89" t="s">
        <v>2878</v>
      </c>
      <c r="D89" t="s">
        <v>2548</v>
      </c>
      <c r="E89" t="s">
        <v>2556</v>
      </c>
      <c r="F89" t="s">
        <v>2967</v>
      </c>
      <c r="H89">
        <v>1</v>
      </c>
      <c r="I89" t="s">
        <v>21</v>
      </c>
      <c r="J89" s="2">
        <v>0</v>
      </c>
      <c r="K89">
        <v>1</v>
      </c>
      <c r="L89">
        <v>0</v>
      </c>
      <c r="M89" s="2">
        <v>0</v>
      </c>
      <c r="N89">
        <v>0</v>
      </c>
      <c r="O89">
        <v>0</v>
      </c>
      <c r="P89" s="2">
        <v>0</v>
      </c>
      <c r="Q89">
        <v>0</v>
      </c>
      <c r="R89">
        <v>0</v>
      </c>
      <c r="S89" s="2">
        <v>0</v>
      </c>
    </row>
    <row r="90" spans="1:19">
      <c r="A90" s="1">
        <v>996231614</v>
      </c>
      <c r="B90" t="s">
        <v>2652</v>
      </c>
      <c r="C90" t="s">
        <v>2652</v>
      </c>
      <c r="D90" t="s">
        <v>2548</v>
      </c>
      <c r="E90" t="s">
        <v>2556</v>
      </c>
      <c r="F90" t="s">
        <v>2965</v>
      </c>
      <c r="H90">
        <v>20</v>
      </c>
      <c r="I90" t="s">
        <v>3360</v>
      </c>
      <c r="J90" s="2">
        <v>124050</v>
      </c>
      <c r="K90">
        <v>3</v>
      </c>
      <c r="L90">
        <v>1</v>
      </c>
      <c r="M90" s="2">
        <v>37800</v>
      </c>
      <c r="N90">
        <v>13</v>
      </c>
      <c r="O90">
        <v>2</v>
      </c>
      <c r="P90" s="2">
        <v>86250</v>
      </c>
      <c r="Q90">
        <v>4</v>
      </c>
      <c r="R90">
        <v>0</v>
      </c>
      <c r="S90" s="2">
        <v>0</v>
      </c>
    </row>
    <row r="91" spans="1:19">
      <c r="A91" s="1">
        <v>998024756</v>
      </c>
      <c r="B91" t="s">
        <v>2653</v>
      </c>
      <c r="C91" t="s">
        <v>2879</v>
      </c>
      <c r="D91" t="s">
        <v>2548</v>
      </c>
      <c r="E91" t="s">
        <v>2556</v>
      </c>
      <c r="F91" t="s">
        <v>2965</v>
      </c>
      <c r="H91">
        <v>1</v>
      </c>
      <c r="I91" t="s">
        <v>21</v>
      </c>
      <c r="J91" s="2">
        <v>0</v>
      </c>
      <c r="K91">
        <v>1</v>
      </c>
      <c r="L91">
        <v>0</v>
      </c>
      <c r="M91" s="2">
        <v>0</v>
      </c>
      <c r="N91">
        <v>0</v>
      </c>
      <c r="O91">
        <v>0</v>
      </c>
      <c r="P91" s="2">
        <v>0</v>
      </c>
      <c r="Q91">
        <v>0</v>
      </c>
      <c r="R91">
        <v>0</v>
      </c>
      <c r="S91" s="2">
        <v>0</v>
      </c>
    </row>
    <row r="92" spans="1:19">
      <c r="A92" s="1">
        <v>973066462</v>
      </c>
      <c r="B92" t="s">
        <v>2654</v>
      </c>
      <c r="C92" t="s">
        <v>2880</v>
      </c>
      <c r="D92" t="s">
        <v>2548</v>
      </c>
      <c r="E92" t="s">
        <v>2556</v>
      </c>
      <c r="F92" t="s">
        <v>2965</v>
      </c>
      <c r="H92">
        <v>5</v>
      </c>
      <c r="I92" t="s">
        <v>3361</v>
      </c>
      <c r="J92" s="2">
        <v>31200</v>
      </c>
      <c r="K92">
        <v>3</v>
      </c>
      <c r="L92">
        <v>0</v>
      </c>
      <c r="M92" s="2">
        <v>0</v>
      </c>
      <c r="N92">
        <v>2</v>
      </c>
      <c r="O92">
        <v>1</v>
      </c>
      <c r="P92" s="2">
        <v>31200</v>
      </c>
      <c r="Q92">
        <v>0</v>
      </c>
      <c r="R92">
        <v>0</v>
      </c>
      <c r="S92" s="2">
        <v>0</v>
      </c>
    </row>
    <row r="93" spans="1:19">
      <c r="A93" s="1">
        <v>996257125</v>
      </c>
      <c r="B93" t="s">
        <v>2655</v>
      </c>
      <c r="C93" t="s">
        <v>2881</v>
      </c>
      <c r="D93" t="s">
        <v>2548</v>
      </c>
      <c r="E93" t="s">
        <v>2556</v>
      </c>
      <c r="F93" t="s">
        <v>2965</v>
      </c>
      <c r="H93">
        <v>1</v>
      </c>
      <c r="I93" t="s">
        <v>21</v>
      </c>
      <c r="J93" s="2">
        <v>0</v>
      </c>
      <c r="K93">
        <v>1</v>
      </c>
      <c r="L93">
        <v>0</v>
      </c>
      <c r="M93" s="2">
        <v>0</v>
      </c>
      <c r="N93">
        <v>0</v>
      </c>
      <c r="O93">
        <v>0</v>
      </c>
      <c r="P93" s="2">
        <v>0</v>
      </c>
      <c r="Q93">
        <v>0</v>
      </c>
      <c r="R93">
        <v>0</v>
      </c>
      <c r="S93" s="2">
        <v>0</v>
      </c>
    </row>
    <row r="94" spans="1:19">
      <c r="A94" s="1">
        <v>968750253</v>
      </c>
      <c r="B94" t="s">
        <v>2656</v>
      </c>
      <c r="C94" t="s">
        <v>2882</v>
      </c>
      <c r="D94" t="s">
        <v>2548</v>
      </c>
      <c r="E94" t="s">
        <v>2556</v>
      </c>
      <c r="F94" t="s">
        <v>2965</v>
      </c>
      <c r="H94">
        <v>3</v>
      </c>
      <c r="I94" t="s">
        <v>3360</v>
      </c>
      <c r="J94" s="2">
        <v>0</v>
      </c>
      <c r="K94">
        <v>1</v>
      </c>
      <c r="L94">
        <v>0</v>
      </c>
      <c r="M94" s="2">
        <v>0</v>
      </c>
      <c r="N94">
        <v>1</v>
      </c>
      <c r="O94">
        <v>0</v>
      </c>
      <c r="P94" s="2">
        <v>0</v>
      </c>
      <c r="Q94">
        <v>1</v>
      </c>
      <c r="R94">
        <v>0</v>
      </c>
      <c r="S94" s="2">
        <v>0</v>
      </c>
    </row>
    <row r="95" spans="1:19">
      <c r="A95" s="1">
        <v>960960474</v>
      </c>
      <c r="B95" t="s">
        <v>2657</v>
      </c>
      <c r="C95" t="s">
        <v>2883</v>
      </c>
      <c r="D95" t="s">
        <v>2548</v>
      </c>
      <c r="E95" t="s">
        <v>2556</v>
      </c>
      <c r="F95" t="s">
        <v>2966</v>
      </c>
      <c r="H95">
        <v>1</v>
      </c>
      <c r="I95" t="s">
        <v>21</v>
      </c>
      <c r="J95" s="2">
        <v>60600</v>
      </c>
      <c r="K95">
        <v>1</v>
      </c>
      <c r="L95">
        <v>1</v>
      </c>
      <c r="M95" s="2">
        <v>60600</v>
      </c>
      <c r="N95">
        <v>0</v>
      </c>
      <c r="O95">
        <v>0</v>
      </c>
      <c r="P95" s="2">
        <v>0</v>
      </c>
      <c r="Q95">
        <v>0</v>
      </c>
      <c r="R95">
        <v>0</v>
      </c>
      <c r="S95" s="2">
        <v>0</v>
      </c>
    </row>
    <row r="96" spans="1:19">
      <c r="A96" s="1">
        <v>999885216</v>
      </c>
      <c r="B96" t="s">
        <v>2658</v>
      </c>
      <c r="C96" t="s">
        <v>2884</v>
      </c>
      <c r="D96" t="s">
        <v>2548</v>
      </c>
      <c r="E96" t="s">
        <v>2556</v>
      </c>
      <c r="F96" t="s">
        <v>2965</v>
      </c>
      <c r="H96">
        <v>19</v>
      </c>
      <c r="I96" t="s">
        <v>3360</v>
      </c>
      <c r="J96" s="2">
        <v>149500</v>
      </c>
      <c r="K96">
        <v>5</v>
      </c>
      <c r="L96">
        <v>1</v>
      </c>
      <c r="M96" s="2">
        <v>149500</v>
      </c>
      <c r="N96">
        <v>5</v>
      </c>
      <c r="O96">
        <v>0</v>
      </c>
      <c r="P96" s="2">
        <v>0</v>
      </c>
      <c r="Q96">
        <v>9</v>
      </c>
      <c r="R96">
        <v>0</v>
      </c>
      <c r="S96" s="2">
        <v>0</v>
      </c>
    </row>
    <row r="97" spans="1:19">
      <c r="A97" s="1">
        <v>951263384</v>
      </c>
      <c r="B97" t="s">
        <v>2659</v>
      </c>
      <c r="C97" t="s">
        <v>2885</v>
      </c>
      <c r="D97" t="s">
        <v>2548</v>
      </c>
      <c r="E97" t="s">
        <v>2556</v>
      </c>
      <c r="F97" t="s">
        <v>2967</v>
      </c>
      <c r="H97">
        <v>1</v>
      </c>
      <c r="I97" t="s">
        <v>21</v>
      </c>
      <c r="J97" s="2">
        <v>305000</v>
      </c>
      <c r="K97">
        <v>1</v>
      </c>
      <c r="L97">
        <v>1</v>
      </c>
      <c r="M97" s="2">
        <v>305000</v>
      </c>
      <c r="N97">
        <v>0</v>
      </c>
      <c r="O97">
        <v>0</v>
      </c>
      <c r="P97" s="2">
        <v>0</v>
      </c>
      <c r="Q97">
        <v>0</v>
      </c>
      <c r="R97">
        <v>0</v>
      </c>
      <c r="S97" s="2">
        <v>0</v>
      </c>
    </row>
    <row r="98" spans="1:19">
      <c r="A98" s="1">
        <v>999793357</v>
      </c>
      <c r="B98" t="s">
        <v>2660</v>
      </c>
      <c r="C98" t="s">
        <v>2886</v>
      </c>
      <c r="D98" t="s">
        <v>2548</v>
      </c>
      <c r="E98" t="s">
        <v>2556</v>
      </c>
      <c r="F98" t="s">
        <v>2967</v>
      </c>
      <c r="H98">
        <v>1</v>
      </c>
      <c r="I98" t="s">
        <v>21</v>
      </c>
      <c r="J98" s="2">
        <v>0</v>
      </c>
      <c r="K98">
        <v>1</v>
      </c>
      <c r="L98">
        <v>0</v>
      </c>
      <c r="M98" s="2">
        <v>0</v>
      </c>
      <c r="N98">
        <v>0</v>
      </c>
      <c r="O98">
        <v>0</v>
      </c>
      <c r="P98" s="2">
        <v>0</v>
      </c>
      <c r="Q98">
        <v>0</v>
      </c>
      <c r="R98">
        <v>0</v>
      </c>
      <c r="S98" s="2">
        <v>0</v>
      </c>
    </row>
    <row r="99" spans="1:19">
      <c r="A99" s="1">
        <v>998089261</v>
      </c>
      <c r="B99" t="s">
        <v>2661</v>
      </c>
      <c r="C99" t="s">
        <v>2887</v>
      </c>
      <c r="D99" t="s">
        <v>2548</v>
      </c>
      <c r="E99" t="s">
        <v>2556</v>
      </c>
      <c r="F99" t="s">
        <v>2966</v>
      </c>
      <c r="H99">
        <v>10</v>
      </c>
      <c r="I99" t="s">
        <v>3360</v>
      </c>
      <c r="J99" s="2">
        <v>744192.53</v>
      </c>
      <c r="K99">
        <v>4</v>
      </c>
      <c r="L99">
        <v>3</v>
      </c>
      <c r="M99" s="2">
        <v>376667.53</v>
      </c>
      <c r="N99">
        <v>5</v>
      </c>
      <c r="O99">
        <v>1</v>
      </c>
      <c r="P99" s="2">
        <v>367525</v>
      </c>
      <c r="Q99">
        <v>1</v>
      </c>
      <c r="R99">
        <v>0</v>
      </c>
      <c r="S99" s="2">
        <v>0</v>
      </c>
    </row>
    <row r="100" spans="1:19">
      <c r="A100" s="1">
        <v>998539535</v>
      </c>
      <c r="B100" t="s">
        <v>2662</v>
      </c>
      <c r="C100" t="s">
        <v>2662</v>
      </c>
      <c r="D100" t="s">
        <v>2548</v>
      </c>
      <c r="E100" t="s">
        <v>2556</v>
      </c>
      <c r="F100" t="s">
        <v>2965</v>
      </c>
      <c r="H100">
        <v>15</v>
      </c>
      <c r="I100" t="s">
        <v>3360</v>
      </c>
      <c r="J100" s="2">
        <v>0</v>
      </c>
      <c r="K100">
        <v>1</v>
      </c>
      <c r="L100">
        <v>0</v>
      </c>
      <c r="M100" s="2">
        <v>0</v>
      </c>
      <c r="N100">
        <v>9</v>
      </c>
      <c r="O100">
        <v>0</v>
      </c>
      <c r="P100" s="2">
        <v>0</v>
      </c>
      <c r="Q100">
        <v>5</v>
      </c>
      <c r="R100">
        <v>0</v>
      </c>
      <c r="S100" s="2">
        <v>0</v>
      </c>
    </row>
    <row r="101" spans="1:19">
      <c r="A101" s="1">
        <v>997400464</v>
      </c>
      <c r="B101" t="s">
        <v>2663</v>
      </c>
      <c r="C101" t="s">
        <v>2888</v>
      </c>
      <c r="D101" t="s">
        <v>2548</v>
      </c>
      <c r="E101" t="s">
        <v>2556</v>
      </c>
      <c r="F101" t="s">
        <v>2969</v>
      </c>
      <c r="H101">
        <v>6</v>
      </c>
      <c r="I101" t="s">
        <v>3360</v>
      </c>
      <c r="J101" s="2">
        <v>0</v>
      </c>
      <c r="K101">
        <v>3</v>
      </c>
      <c r="L101">
        <v>0</v>
      </c>
      <c r="M101" s="2">
        <v>0</v>
      </c>
      <c r="N101">
        <v>2</v>
      </c>
      <c r="O101">
        <v>0</v>
      </c>
      <c r="P101" s="2">
        <v>0</v>
      </c>
      <c r="Q101">
        <v>1</v>
      </c>
      <c r="R101">
        <v>0</v>
      </c>
      <c r="S101" s="2">
        <v>0</v>
      </c>
    </row>
    <row r="102" spans="1:19">
      <c r="A102" s="1">
        <v>998075972</v>
      </c>
      <c r="B102" t="s">
        <v>2664</v>
      </c>
      <c r="C102" t="s">
        <v>2889</v>
      </c>
      <c r="D102" t="s">
        <v>2548</v>
      </c>
      <c r="E102" t="s">
        <v>2556</v>
      </c>
      <c r="F102" t="s">
        <v>2969</v>
      </c>
      <c r="H102">
        <v>3</v>
      </c>
      <c r="I102" t="s">
        <v>3360</v>
      </c>
      <c r="J102" s="2">
        <v>0</v>
      </c>
      <c r="K102">
        <v>1</v>
      </c>
      <c r="L102">
        <v>0</v>
      </c>
      <c r="M102" s="2">
        <v>0</v>
      </c>
      <c r="N102">
        <v>1</v>
      </c>
      <c r="O102">
        <v>0</v>
      </c>
      <c r="P102" s="2">
        <v>0</v>
      </c>
      <c r="Q102">
        <v>1</v>
      </c>
      <c r="R102">
        <v>0</v>
      </c>
      <c r="S102" s="2">
        <v>0</v>
      </c>
    </row>
    <row r="103" spans="1:19">
      <c r="A103" s="1">
        <v>951778551</v>
      </c>
      <c r="B103" t="s">
        <v>2665</v>
      </c>
      <c r="C103" t="s">
        <v>2890</v>
      </c>
      <c r="D103" t="s">
        <v>2548</v>
      </c>
      <c r="E103" t="s">
        <v>2556</v>
      </c>
      <c r="F103" t="s">
        <v>2967</v>
      </c>
      <c r="H103">
        <v>1</v>
      </c>
      <c r="I103" t="s">
        <v>21</v>
      </c>
      <c r="J103" s="2">
        <v>0</v>
      </c>
      <c r="K103">
        <v>1</v>
      </c>
      <c r="L103">
        <v>0</v>
      </c>
      <c r="M103" s="2">
        <v>0</v>
      </c>
      <c r="N103">
        <v>0</v>
      </c>
      <c r="O103">
        <v>0</v>
      </c>
      <c r="P103" s="2">
        <v>0</v>
      </c>
      <c r="Q103">
        <v>0</v>
      </c>
      <c r="R103">
        <v>0</v>
      </c>
      <c r="S103" s="2">
        <v>0</v>
      </c>
    </row>
    <row r="104" spans="1:19">
      <c r="A104" s="1">
        <v>986276989</v>
      </c>
      <c r="B104" t="s">
        <v>2666</v>
      </c>
      <c r="C104" t="s">
        <v>2891</v>
      </c>
      <c r="D104" t="s">
        <v>2548</v>
      </c>
      <c r="E104" t="s">
        <v>2556</v>
      </c>
      <c r="F104" t="s">
        <v>2965</v>
      </c>
      <c r="H104">
        <v>22</v>
      </c>
      <c r="I104" t="s">
        <v>3360</v>
      </c>
      <c r="J104" s="2">
        <v>268250</v>
      </c>
      <c r="K104">
        <v>1</v>
      </c>
      <c r="L104">
        <v>0</v>
      </c>
      <c r="M104" s="2">
        <v>0</v>
      </c>
      <c r="N104">
        <v>16</v>
      </c>
      <c r="O104">
        <v>0</v>
      </c>
      <c r="P104" s="2">
        <v>0</v>
      </c>
      <c r="Q104">
        <v>5</v>
      </c>
      <c r="R104">
        <v>1</v>
      </c>
      <c r="S104" s="2">
        <v>268250</v>
      </c>
    </row>
    <row r="105" spans="1:19">
      <c r="A105" s="1">
        <v>994387935</v>
      </c>
      <c r="B105" t="s">
        <v>2667</v>
      </c>
      <c r="C105" t="s">
        <v>2892</v>
      </c>
      <c r="D105" t="s">
        <v>2548</v>
      </c>
      <c r="E105" t="s">
        <v>2556</v>
      </c>
      <c r="F105" t="s">
        <v>2965</v>
      </c>
      <c r="H105">
        <v>1</v>
      </c>
      <c r="I105" t="s">
        <v>21</v>
      </c>
      <c r="J105" s="2">
        <v>0</v>
      </c>
      <c r="K105">
        <v>1</v>
      </c>
      <c r="L105">
        <v>0</v>
      </c>
      <c r="M105" s="2">
        <v>0</v>
      </c>
      <c r="N105">
        <v>0</v>
      </c>
      <c r="O105">
        <v>0</v>
      </c>
      <c r="P105" s="2">
        <v>0</v>
      </c>
      <c r="Q105">
        <v>0</v>
      </c>
      <c r="R105">
        <v>0</v>
      </c>
      <c r="S105" s="2">
        <v>0</v>
      </c>
    </row>
    <row r="106" spans="1:19">
      <c r="A106" s="1">
        <v>986247404</v>
      </c>
      <c r="B106" t="s">
        <v>2668</v>
      </c>
      <c r="C106" t="s">
        <v>2893</v>
      </c>
      <c r="D106" t="s">
        <v>2548</v>
      </c>
      <c r="E106" t="s">
        <v>2556</v>
      </c>
      <c r="F106" t="s">
        <v>2967</v>
      </c>
      <c r="H106">
        <v>1</v>
      </c>
      <c r="I106" t="s">
        <v>21</v>
      </c>
      <c r="J106" s="2">
        <v>0</v>
      </c>
      <c r="K106">
        <v>1</v>
      </c>
      <c r="L106">
        <v>0</v>
      </c>
      <c r="M106" s="2">
        <v>0</v>
      </c>
      <c r="N106">
        <v>0</v>
      </c>
      <c r="O106">
        <v>0</v>
      </c>
      <c r="P106" s="2">
        <v>0</v>
      </c>
      <c r="Q106">
        <v>0</v>
      </c>
      <c r="R106">
        <v>0</v>
      </c>
      <c r="S106" s="2">
        <v>0</v>
      </c>
    </row>
    <row r="107" spans="1:19">
      <c r="A107" s="1">
        <v>949274593</v>
      </c>
      <c r="B107" t="s">
        <v>2669</v>
      </c>
      <c r="C107" t="s">
        <v>2894</v>
      </c>
      <c r="D107" t="s">
        <v>2548</v>
      </c>
      <c r="E107" t="s">
        <v>2556</v>
      </c>
      <c r="F107" t="s">
        <v>2967</v>
      </c>
      <c r="H107">
        <v>1</v>
      </c>
      <c r="I107" t="s">
        <v>21</v>
      </c>
      <c r="J107" s="2">
        <v>0</v>
      </c>
      <c r="K107">
        <v>1</v>
      </c>
      <c r="L107">
        <v>0</v>
      </c>
      <c r="M107" s="2">
        <v>0</v>
      </c>
      <c r="N107">
        <v>0</v>
      </c>
      <c r="O107">
        <v>0</v>
      </c>
      <c r="P107" s="2">
        <v>0</v>
      </c>
      <c r="Q107">
        <v>0</v>
      </c>
      <c r="R107">
        <v>0</v>
      </c>
      <c r="S107" s="2">
        <v>0</v>
      </c>
    </row>
    <row r="108" spans="1:19">
      <c r="A108" s="1">
        <v>997637823</v>
      </c>
      <c r="B108" t="s">
        <v>2670</v>
      </c>
      <c r="C108" t="s">
        <v>2895</v>
      </c>
      <c r="D108" t="s">
        <v>2548</v>
      </c>
      <c r="E108" t="s">
        <v>2556</v>
      </c>
      <c r="F108" t="s">
        <v>2967</v>
      </c>
      <c r="H108">
        <v>1</v>
      </c>
      <c r="I108" t="s">
        <v>21</v>
      </c>
      <c r="J108" s="2">
        <v>38340</v>
      </c>
      <c r="K108">
        <v>1</v>
      </c>
      <c r="L108">
        <v>1</v>
      </c>
      <c r="M108" s="2">
        <v>38340</v>
      </c>
      <c r="N108">
        <v>0</v>
      </c>
      <c r="O108">
        <v>0</v>
      </c>
      <c r="P108" s="2">
        <v>0</v>
      </c>
      <c r="Q108">
        <v>0</v>
      </c>
      <c r="R108">
        <v>0</v>
      </c>
      <c r="S108" s="2">
        <v>0</v>
      </c>
    </row>
    <row r="109" spans="1:19">
      <c r="A109" s="1">
        <v>949840588</v>
      </c>
      <c r="B109" t="s">
        <v>2671</v>
      </c>
      <c r="C109" t="s">
        <v>2895</v>
      </c>
      <c r="D109" t="s">
        <v>2548</v>
      </c>
      <c r="E109" t="s">
        <v>2556</v>
      </c>
      <c r="F109" t="s">
        <v>2967</v>
      </c>
      <c r="H109">
        <v>1</v>
      </c>
      <c r="I109" t="s">
        <v>21</v>
      </c>
      <c r="J109" s="2">
        <v>0</v>
      </c>
      <c r="K109">
        <v>1</v>
      </c>
      <c r="L109">
        <v>0</v>
      </c>
      <c r="M109" s="2">
        <v>0</v>
      </c>
      <c r="N109">
        <v>0</v>
      </c>
      <c r="O109">
        <v>0</v>
      </c>
      <c r="P109" s="2">
        <v>0</v>
      </c>
      <c r="Q109">
        <v>0</v>
      </c>
      <c r="R109">
        <v>0</v>
      </c>
      <c r="S109" s="2">
        <v>0</v>
      </c>
    </row>
    <row r="110" spans="1:19">
      <c r="A110" s="1">
        <v>951759248</v>
      </c>
      <c r="B110" t="s">
        <v>2672</v>
      </c>
      <c r="C110" t="s">
        <v>2896</v>
      </c>
      <c r="D110" t="s">
        <v>2548</v>
      </c>
      <c r="E110" t="s">
        <v>2556</v>
      </c>
      <c r="F110" t="s">
        <v>2967</v>
      </c>
      <c r="H110">
        <v>1</v>
      </c>
      <c r="I110" t="s">
        <v>21</v>
      </c>
      <c r="J110" s="2">
        <v>89604</v>
      </c>
      <c r="K110">
        <v>1</v>
      </c>
      <c r="L110">
        <v>1</v>
      </c>
      <c r="M110" s="2">
        <v>89604</v>
      </c>
      <c r="N110">
        <v>0</v>
      </c>
      <c r="O110">
        <v>0</v>
      </c>
      <c r="P110" s="2">
        <v>0</v>
      </c>
      <c r="Q110">
        <v>0</v>
      </c>
      <c r="R110">
        <v>0</v>
      </c>
      <c r="S110" s="2">
        <v>0</v>
      </c>
    </row>
    <row r="111" spans="1:19">
      <c r="A111" s="1">
        <v>999597126</v>
      </c>
      <c r="B111" t="s">
        <v>2673</v>
      </c>
      <c r="C111" t="s">
        <v>2897</v>
      </c>
      <c r="D111" t="s">
        <v>2548</v>
      </c>
      <c r="E111" t="s">
        <v>2556</v>
      </c>
      <c r="F111" t="s">
        <v>2967</v>
      </c>
      <c r="H111">
        <v>1</v>
      </c>
      <c r="I111" t="s">
        <v>21</v>
      </c>
      <c r="J111" s="2">
        <v>0</v>
      </c>
      <c r="K111">
        <v>1</v>
      </c>
      <c r="L111">
        <v>0</v>
      </c>
      <c r="M111" s="2">
        <v>0</v>
      </c>
      <c r="N111">
        <v>0</v>
      </c>
      <c r="O111">
        <v>0</v>
      </c>
      <c r="P111" s="2">
        <v>0</v>
      </c>
      <c r="Q111">
        <v>0</v>
      </c>
      <c r="R111">
        <v>0</v>
      </c>
      <c r="S111" s="2">
        <v>0</v>
      </c>
    </row>
    <row r="112" spans="1:19">
      <c r="A112" s="1">
        <v>966956432</v>
      </c>
      <c r="B112" t="s">
        <v>2674</v>
      </c>
      <c r="C112" t="s">
        <v>2674</v>
      </c>
      <c r="D112" t="s">
        <v>2549</v>
      </c>
      <c r="E112" t="s">
        <v>2557</v>
      </c>
      <c r="F112" t="s">
        <v>2965</v>
      </c>
      <c r="H112">
        <v>3</v>
      </c>
      <c r="I112" t="s">
        <v>3360</v>
      </c>
      <c r="J112" s="2">
        <v>63922.5</v>
      </c>
      <c r="K112">
        <v>1</v>
      </c>
      <c r="L112">
        <v>0</v>
      </c>
      <c r="M112" s="2">
        <v>0</v>
      </c>
      <c r="N112">
        <v>1</v>
      </c>
      <c r="O112">
        <v>0</v>
      </c>
      <c r="P112" s="2">
        <v>0</v>
      </c>
      <c r="Q112">
        <v>1</v>
      </c>
      <c r="R112">
        <v>1</v>
      </c>
      <c r="S112" s="2">
        <v>63922.5</v>
      </c>
    </row>
    <row r="113" spans="1:19">
      <c r="A113" s="1">
        <v>950727847</v>
      </c>
      <c r="B113" t="s">
        <v>2675</v>
      </c>
      <c r="C113" t="s">
        <v>2675</v>
      </c>
      <c r="D113" t="s">
        <v>2548</v>
      </c>
      <c r="E113" t="s">
        <v>2556</v>
      </c>
      <c r="F113" t="s">
        <v>2966</v>
      </c>
      <c r="H113">
        <v>1</v>
      </c>
      <c r="I113" t="s">
        <v>21</v>
      </c>
      <c r="J113" s="2">
        <v>103000</v>
      </c>
      <c r="K113">
        <v>1</v>
      </c>
      <c r="L113">
        <v>1</v>
      </c>
      <c r="M113" s="2">
        <v>103000</v>
      </c>
      <c r="N113">
        <v>0</v>
      </c>
      <c r="O113">
        <v>0</v>
      </c>
      <c r="P113" s="2">
        <v>0</v>
      </c>
      <c r="Q113">
        <v>0</v>
      </c>
      <c r="R113">
        <v>0</v>
      </c>
      <c r="S113" s="2">
        <v>0</v>
      </c>
    </row>
    <row r="114" spans="1:19">
      <c r="A114" s="1">
        <v>952699954</v>
      </c>
      <c r="B114" t="s">
        <v>2676</v>
      </c>
      <c r="C114" t="s">
        <v>2898</v>
      </c>
      <c r="D114" t="s">
        <v>2548</v>
      </c>
      <c r="E114" t="s">
        <v>2556</v>
      </c>
      <c r="F114" t="s">
        <v>2967</v>
      </c>
      <c r="H114">
        <v>1</v>
      </c>
      <c r="I114" t="s">
        <v>21</v>
      </c>
      <c r="J114" s="2">
        <v>88000</v>
      </c>
      <c r="K114">
        <v>1</v>
      </c>
      <c r="L114">
        <v>1</v>
      </c>
      <c r="M114" s="2">
        <v>88000</v>
      </c>
      <c r="N114">
        <v>0</v>
      </c>
      <c r="O114">
        <v>0</v>
      </c>
      <c r="P114" s="2">
        <v>0</v>
      </c>
      <c r="Q114">
        <v>0</v>
      </c>
      <c r="R114">
        <v>0</v>
      </c>
      <c r="S114" s="2">
        <v>0</v>
      </c>
    </row>
    <row r="115" spans="1:19">
      <c r="A115" s="1">
        <v>968436361</v>
      </c>
      <c r="B115" t="s">
        <v>2677</v>
      </c>
      <c r="C115" t="s">
        <v>2899</v>
      </c>
      <c r="D115" t="s">
        <v>2548</v>
      </c>
      <c r="E115" t="s">
        <v>2556</v>
      </c>
      <c r="F115" t="s">
        <v>2966</v>
      </c>
      <c r="H115">
        <v>1</v>
      </c>
      <c r="I115" t="s">
        <v>21</v>
      </c>
      <c r="J115" s="2">
        <v>374813.84</v>
      </c>
      <c r="K115">
        <v>1</v>
      </c>
      <c r="L115">
        <v>1</v>
      </c>
      <c r="M115" s="2">
        <v>374813.84</v>
      </c>
      <c r="N115">
        <v>0</v>
      </c>
      <c r="O115">
        <v>0</v>
      </c>
      <c r="P115" s="2">
        <v>0</v>
      </c>
      <c r="Q115">
        <v>0</v>
      </c>
      <c r="R115">
        <v>0</v>
      </c>
      <c r="S115" s="2">
        <v>0</v>
      </c>
    </row>
    <row r="116" spans="1:19">
      <c r="A116" s="1">
        <v>992582086</v>
      </c>
      <c r="B116" t="s">
        <v>2678</v>
      </c>
      <c r="C116" t="s">
        <v>2900</v>
      </c>
      <c r="D116" t="s">
        <v>2549</v>
      </c>
      <c r="E116" t="s">
        <v>2557</v>
      </c>
      <c r="F116" t="s">
        <v>2965</v>
      </c>
      <c r="H116">
        <v>8</v>
      </c>
      <c r="I116" t="s">
        <v>3361</v>
      </c>
      <c r="J116" s="2">
        <v>1200380</v>
      </c>
      <c r="K116">
        <v>1</v>
      </c>
      <c r="L116">
        <v>0</v>
      </c>
      <c r="M116" s="2">
        <v>0</v>
      </c>
      <c r="N116">
        <v>7</v>
      </c>
      <c r="O116">
        <v>3</v>
      </c>
      <c r="P116" s="2">
        <v>1200380</v>
      </c>
      <c r="Q116">
        <v>0</v>
      </c>
      <c r="R116">
        <v>0</v>
      </c>
      <c r="S116" s="2">
        <v>0</v>
      </c>
    </row>
    <row r="117" spans="1:19">
      <c r="A117" s="1">
        <v>986163111</v>
      </c>
      <c r="B117" t="s">
        <v>2679</v>
      </c>
      <c r="C117" t="s">
        <v>2901</v>
      </c>
      <c r="D117" t="s">
        <v>2548</v>
      </c>
      <c r="E117" t="s">
        <v>2556</v>
      </c>
      <c r="F117" t="s">
        <v>2966</v>
      </c>
      <c r="H117">
        <v>1</v>
      </c>
      <c r="I117" t="s">
        <v>21</v>
      </c>
      <c r="J117" s="2">
        <v>0</v>
      </c>
      <c r="K117">
        <v>1</v>
      </c>
      <c r="L117">
        <v>0</v>
      </c>
      <c r="M117" s="2">
        <v>0</v>
      </c>
      <c r="N117">
        <v>0</v>
      </c>
      <c r="O117">
        <v>0</v>
      </c>
      <c r="P117" s="2">
        <v>0</v>
      </c>
      <c r="Q117">
        <v>0</v>
      </c>
      <c r="R117">
        <v>0</v>
      </c>
      <c r="S117" s="2">
        <v>0</v>
      </c>
    </row>
    <row r="118" spans="1:19">
      <c r="A118" s="1">
        <v>997692046</v>
      </c>
      <c r="B118" t="s">
        <v>2680</v>
      </c>
      <c r="C118" t="s">
        <v>2902</v>
      </c>
      <c r="D118" t="s">
        <v>2549</v>
      </c>
      <c r="E118" t="s">
        <v>2557</v>
      </c>
      <c r="F118" t="s">
        <v>2966</v>
      </c>
      <c r="H118">
        <v>5</v>
      </c>
      <c r="I118" t="s">
        <v>3361</v>
      </c>
      <c r="J118" s="2">
        <v>466922.5</v>
      </c>
      <c r="K118">
        <v>1</v>
      </c>
      <c r="L118">
        <v>0</v>
      </c>
      <c r="M118" s="2">
        <v>0</v>
      </c>
      <c r="N118">
        <v>4</v>
      </c>
      <c r="O118">
        <v>1</v>
      </c>
      <c r="P118" s="2">
        <v>466922.5</v>
      </c>
      <c r="Q118">
        <v>0</v>
      </c>
      <c r="R118">
        <v>0</v>
      </c>
      <c r="S118" s="2">
        <v>0</v>
      </c>
    </row>
    <row r="119" spans="1:19">
      <c r="A119" s="1">
        <v>999555513</v>
      </c>
      <c r="B119" t="s">
        <v>2681</v>
      </c>
      <c r="D119" t="s">
        <v>2548</v>
      </c>
      <c r="E119" t="s">
        <v>2556</v>
      </c>
      <c r="F119" t="s">
        <v>2966</v>
      </c>
      <c r="H119">
        <v>4</v>
      </c>
      <c r="I119" t="s">
        <v>3361</v>
      </c>
      <c r="J119" s="2">
        <v>631880.6</v>
      </c>
      <c r="K119">
        <v>2</v>
      </c>
      <c r="L119">
        <v>2</v>
      </c>
      <c r="M119" s="2">
        <v>631880.6</v>
      </c>
      <c r="N119">
        <v>2</v>
      </c>
      <c r="O119">
        <v>0</v>
      </c>
      <c r="P119" s="2">
        <v>0</v>
      </c>
      <c r="Q119">
        <v>0</v>
      </c>
      <c r="R119">
        <v>0</v>
      </c>
      <c r="S119" s="2">
        <v>0</v>
      </c>
    </row>
    <row r="120" spans="1:19">
      <c r="A120" s="1">
        <v>984358329</v>
      </c>
      <c r="B120" t="s">
        <v>2682</v>
      </c>
      <c r="C120" t="s">
        <v>2903</v>
      </c>
      <c r="D120" t="s">
        <v>2548</v>
      </c>
      <c r="E120" t="s">
        <v>2556</v>
      </c>
      <c r="F120" t="s">
        <v>2968</v>
      </c>
      <c r="H120">
        <v>1</v>
      </c>
      <c r="I120" t="s">
        <v>21</v>
      </c>
      <c r="J120" s="2">
        <v>639094.4</v>
      </c>
      <c r="K120">
        <v>1</v>
      </c>
      <c r="L120">
        <v>1</v>
      </c>
      <c r="M120" s="2">
        <v>639094.4</v>
      </c>
      <c r="N120">
        <v>0</v>
      </c>
      <c r="O120">
        <v>0</v>
      </c>
      <c r="P120" s="2">
        <v>0</v>
      </c>
      <c r="Q120">
        <v>0</v>
      </c>
      <c r="R120">
        <v>0</v>
      </c>
      <c r="S120" s="2">
        <v>0</v>
      </c>
    </row>
    <row r="121" spans="1:19">
      <c r="A121" s="1">
        <v>975002485</v>
      </c>
      <c r="B121" t="s">
        <v>2683</v>
      </c>
      <c r="C121" t="s">
        <v>2904</v>
      </c>
      <c r="D121" t="s">
        <v>2548</v>
      </c>
      <c r="E121" t="s">
        <v>2556</v>
      </c>
      <c r="F121" t="s">
        <v>2968</v>
      </c>
      <c r="H121">
        <v>1</v>
      </c>
      <c r="I121" t="s">
        <v>21</v>
      </c>
      <c r="J121" s="2">
        <v>0</v>
      </c>
      <c r="K121">
        <v>1</v>
      </c>
      <c r="L121">
        <v>0</v>
      </c>
      <c r="M121" s="2">
        <v>0</v>
      </c>
      <c r="N121">
        <v>0</v>
      </c>
      <c r="O121">
        <v>0</v>
      </c>
      <c r="P121" s="2">
        <v>0</v>
      </c>
      <c r="Q121">
        <v>0</v>
      </c>
      <c r="R121">
        <v>0</v>
      </c>
      <c r="S121" s="2">
        <v>0</v>
      </c>
    </row>
    <row r="122" spans="1:19">
      <c r="A122" s="1">
        <v>983932402</v>
      </c>
      <c r="B122" t="s">
        <v>2684</v>
      </c>
      <c r="C122" t="s">
        <v>2905</v>
      </c>
      <c r="D122" t="s">
        <v>2548</v>
      </c>
      <c r="E122" t="s">
        <v>2556</v>
      </c>
      <c r="F122" t="s">
        <v>2966</v>
      </c>
      <c r="H122">
        <v>4</v>
      </c>
      <c r="I122" t="s">
        <v>3361</v>
      </c>
      <c r="J122" s="2">
        <v>181777.75</v>
      </c>
      <c r="K122">
        <v>1</v>
      </c>
      <c r="L122">
        <v>0</v>
      </c>
      <c r="M122" s="2">
        <v>0</v>
      </c>
      <c r="N122">
        <v>3</v>
      </c>
      <c r="O122">
        <v>2</v>
      </c>
      <c r="P122" s="2">
        <v>181777.75</v>
      </c>
      <c r="Q122">
        <v>0</v>
      </c>
      <c r="R122">
        <v>0</v>
      </c>
      <c r="S122" s="2">
        <v>0</v>
      </c>
    </row>
    <row r="123" spans="1:19">
      <c r="A123" s="1">
        <v>954435575</v>
      </c>
      <c r="B123" t="s">
        <v>2685</v>
      </c>
      <c r="C123" t="s">
        <v>2906</v>
      </c>
      <c r="D123" t="s">
        <v>2548</v>
      </c>
      <c r="E123" t="s">
        <v>2556</v>
      </c>
      <c r="F123" t="s">
        <v>2968</v>
      </c>
      <c r="H123">
        <v>1</v>
      </c>
      <c r="I123" t="s">
        <v>21</v>
      </c>
      <c r="J123" s="2">
        <v>99746.5</v>
      </c>
      <c r="K123">
        <v>1</v>
      </c>
      <c r="L123">
        <v>1</v>
      </c>
      <c r="M123" s="2">
        <v>99746.5</v>
      </c>
      <c r="N123">
        <v>0</v>
      </c>
      <c r="O123">
        <v>0</v>
      </c>
      <c r="P123" s="2">
        <v>0</v>
      </c>
      <c r="Q123">
        <v>0</v>
      </c>
      <c r="R123">
        <v>0</v>
      </c>
      <c r="S123" s="2">
        <v>0</v>
      </c>
    </row>
    <row r="124" spans="1:19">
      <c r="A124" s="1">
        <v>998295580</v>
      </c>
      <c r="B124" t="s">
        <v>2686</v>
      </c>
      <c r="C124" t="s">
        <v>2907</v>
      </c>
      <c r="D124" t="s">
        <v>2549</v>
      </c>
      <c r="E124" t="s">
        <v>2557</v>
      </c>
      <c r="F124" t="s">
        <v>2966</v>
      </c>
      <c r="H124">
        <v>9</v>
      </c>
      <c r="I124" t="s">
        <v>3360</v>
      </c>
      <c r="J124" s="2">
        <v>498900.25</v>
      </c>
      <c r="K124">
        <v>1</v>
      </c>
      <c r="L124">
        <v>1</v>
      </c>
      <c r="M124" s="2">
        <v>120180</v>
      </c>
      <c r="N124">
        <v>4</v>
      </c>
      <c r="O124">
        <v>2</v>
      </c>
      <c r="P124" s="2">
        <v>297611.5</v>
      </c>
      <c r="Q124">
        <v>4</v>
      </c>
      <c r="R124">
        <v>1</v>
      </c>
      <c r="S124" s="2">
        <v>81108.75</v>
      </c>
    </row>
    <row r="125" spans="1:19">
      <c r="A125" s="1">
        <v>999845252</v>
      </c>
      <c r="B125" t="s">
        <v>2687</v>
      </c>
      <c r="C125" t="s">
        <v>2908</v>
      </c>
      <c r="D125" t="s">
        <v>2548</v>
      </c>
      <c r="E125" t="s">
        <v>2556</v>
      </c>
      <c r="F125" t="s">
        <v>2965</v>
      </c>
      <c r="H125">
        <v>64</v>
      </c>
      <c r="I125" t="s">
        <v>3360</v>
      </c>
      <c r="J125" s="2">
        <v>393561.16</v>
      </c>
      <c r="K125">
        <v>13</v>
      </c>
      <c r="L125">
        <v>3</v>
      </c>
      <c r="M125" s="2">
        <v>358361.16</v>
      </c>
      <c r="N125">
        <v>39</v>
      </c>
      <c r="O125">
        <v>1</v>
      </c>
      <c r="P125" s="2">
        <v>35200</v>
      </c>
      <c r="Q125">
        <v>12</v>
      </c>
      <c r="R125">
        <v>0</v>
      </c>
      <c r="S125" s="2">
        <v>0</v>
      </c>
    </row>
    <row r="126" spans="1:19">
      <c r="A126" s="1">
        <v>998869335</v>
      </c>
      <c r="B126" t="s">
        <v>2688</v>
      </c>
      <c r="C126" t="s">
        <v>2909</v>
      </c>
      <c r="D126" t="s">
        <v>2549</v>
      </c>
      <c r="E126" t="s">
        <v>2557</v>
      </c>
      <c r="F126" t="s">
        <v>2967</v>
      </c>
      <c r="H126">
        <v>1</v>
      </c>
      <c r="I126" t="s">
        <v>21</v>
      </c>
      <c r="J126" s="2">
        <v>187966</v>
      </c>
      <c r="K126">
        <v>1</v>
      </c>
      <c r="L126">
        <v>1</v>
      </c>
      <c r="M126" s="2">
        <v>187966</v>
      </c>
      <c r="N126">
        <v>0</v>
      </c>
      <c r="O126">
        <v>0</v>
      </c>
      <c r="P126" s="2">
        <v>0</v>
      </c>
      <c r="Q126">
        <v>0</v>
      </c>
      <c r="R126">
        <v>0</v>
      </c>
      <c r="S126" s="2">
        <v>0</v>
      </c>
    </row>
    <row r="127" spans="1:19">
      <c r="A127" s="1">
        <v>906020935</v>
      </c>
      <c r="B127" t="s">
        <v>2689</v>
      </c>
      <c r="D127" t="s">
        <v>2548</v>
      </c>
      <c r="E127" t="s">
        <v>2556</v>
      </c>
      <c r="F127" t="s">
        <v>2969</v>
      </c>
      <c r="G127" t="b">
        <v>0</v>
      </c>
      <c r="H127">
        <v>1</v>
      </c>
      <c r="I127" t="s">
        <v>22</v>
      </c>
      <c r="J127" s="2">
        <v>0</v>
      </c>
      <c r="K127">
        <v>0</v>
      </c>
      <c r="L127">
        <v>0</v>
      </c>
      <c r="M127" s="2">
        <v>0</v>
      </c>
      <c r="N127">
        <v>1</v>
      </c>
      <c r="O127">
        <v>0</v>
      </c>
      <c r="P127" s="2">
        <v>0</v>
      </c>
      <c r="Q127">
        <v>0</v>
      </c>
      <c r="R127">
        <v>0</v>
      </c>
      <c r="S127" s="2">
        <v>0</v>
      </c>
    </row>
    <row r="128" spans="1:19">
      <c r="A128" s="1">
        <v>984830428</v>
      </c>
      <c r="B128" t="s">
        <v>2690</v>
      </c>
      <c r="D128" t="s">
        <v>2549</v>
      </c>
      <c r="E128" t="s">
        <v>2557</v>
      </c>
      <c r="F128" t="s">
        <v>2967</v>
      </c>
      <c r="G128" t="b">
        <v>0</v>
      </c>
      <c r="H128">
        <v>1</v>
      </c>
      <c r="I128" t="s">
        <v>22</v>
      </c>
      <c r="J128" s="2">
        <v>59125</v>
      </c>
      <c r="K128">
        <v>0</v>
      </c>
      <c r="L128">
        <v>0</v>
      </c>
      <c r="M128" s="2">
        <v>0</v>
      </c>
      <c r="N128">
        <v>1</v>
      </c>
      <c r="O128">
        <v>1</v>
      </c>
      <c r="P128" s="2">
        <v>59125</v>
      </c>
      <c r="Q128">
        <v>0</v>
      </c>
      <c r="R128">
        <v>0</v>
      </c>
      <c r="S128" s="2">
        <v>0</v>
      </c>
    </row>
    <row r="129" spans="1:19">
      <c r="A129" s="1">
        <v>917296506</v>
      </c>
      <c r="B129" t="s">
        <v>2691</v>
      </c>
      <c r="D129" t="s">
        <v>2548</v>
      </c>
      <c r="E129" t="s">
        <v>2556</v>
      </c>
      <c r="F129" t="s">
        <v>2967</v>
      </c>
      <c r="G129" t="b">
        <v>0</v>
      </c>
      <c r="H129">
        <v>2</v>
      </c>
      <c r="I129" t="s">
        <v>22</v>
      </c>
      <c r="J129" s="2">
        <v>0</v>
      </c>
      <c r="K129">
        <v>0</v>
      </c>
      <c r="L129">
        <v>0</v>
      </c>
      <c r="M129" s="2">
        <v>0</v>
      </c>
      <c r="N129">
        <v>2</v>
      </c>
      <c r="O129">
        <v>0</v>
      </c>
      <c r="P129" s="2">
        <v>0</v>
      </c>
      <c r="Q129">
        <v>0</v>
      </c>
      <c r="R129">
        <v>0</v>
      </c>
      <c r="S129" s="2">
        <v>0</v>
      </c>
    </row>
    <row r="130" spans="1:19">
      <c r="A130" s="1">
        <v>940997971</v>
      </c>
      <c r="B130" t="s">
        <v>2692</v>
      </c>
      <c r="C130" t="s">
        <v>2910</v>
      </c>
      <c r="D130" t="s">
        <v>2548</v>
      </c>
      <c r="E130" t="s">
        <v>2556</v>
      </c>
      <c r="F130" t="s">
        <v>2968</v>
      </c>
      <c r="G130" t="b">
        <v>0</v>
      </c>
      <c r="H130">
        <v>1</v>
      </c>
      <c r="I130" t="s">
        <v>22</v>
      </c>
      <c r="J130" s="2">
        <v>0</v>
      </c>
      <c r="K130">
        <v>0</v>
      </c>
      <c r="L130">
        <v>0</v>
      </c>
      <c r="M130" s="2">
        <v>0</v>
      </c>
      <c r="N130">
        <v>1</v>
      </c>
      <c r="O130">
        <v>0</v>
      </c>
      <c r="P130" s="2">
        <v>0</v>
      </c>
      <c r="Q130">
        <v>0</v>
      </c>
      <c r="R130">
        <v>0</v>
      </c>
      <c r="S130" s="2">
        <v>0</v>
      </c>
    </row>
    <row r="131" spans="1:19">
      <c r="A131" s="1">
        <v>927688504</v>
      </c>
      <c r="B131" t="s">
        <v>2693</v>
      </c>
      <c r="C131" t="s">
        <v>2911</v>
      </c>
      <c r="D131" t="s">
        <v>2549</v>
      </c>
      <c r="E131" t="s">
        <v>2557</v>
      </c>
      <c r="F131" t="s">
        <v>2969</v>
      </c>
      <c r="G131" t="b">
        <v>0</v>
      </c>
      <c r="H131">
        <v>1</v>
      </c>
      <c r="I131" t="s">
        <v>22</v>
      </c>
      <c r="J131" s="2">
        <v>89880</v>
      </c>
      <c r="K131">
        <v>0</v>
      </c>
      <c r="L131">
        <v>0</v>
      </c>
      <c r="M131" s="2">
        <v>0</v>
      </c>
      <c r="N131">
        <v>1</v>
      </c>
      <c r="O131">
        <v>1</v>
      </c>
      <c r="P131" s="2">
        <v>89880</v>
      </c>
      <c r="Q131">
        <v>0</v>
      </c>
      <c r="R131">
        <v>0</v>
      </c>
      <c r="S131" s="2">
        <v>0</v>
      </c>
    </row>
    <row r="132" spans="1:19">
      <c r="A132" s="1">
        <v>905831106</v>
      </c>
      <c r="B132" t="s">
        <v>2694</v>
      </c>
      <c r="D132" t="s">
        <v>2549</v>
      </c>
      <c r="E132" t="s">
        <v>2557</v>
      </c>
      <c r="F132" t="s">
        <v>2969</v>
      </c>
      <c r="G132" t="b">
        <v>0</v>
      </c>
      <c r="H132">
        <v>1</v>
      </c>
      <c r="I132" t="s">
        <v>22</v>
      </c>
      <c r="J132" s="2">
        <v>25000</v>
      </c>
      <c r="K132">
        <v>0</v>
      </c>
      <c r="L132">
        <v>0</v>
      </c>
      <c r="M132" s="2">
        <v>0</v>
      </c>
      <c r="N132">
        <v>1</v>
      </c>
      <c r="O132">
        <v>1</v>
      </c>
      <c r="P132" s="2">
        <v>25000</v>
      </c>
      <c r="Q132">
        <v>0</v>
      </c>
      <c r="R132">
        <v>0</v>
      </c>
      <c r="S132" s="2">
        <v>0</v>
      </c>
    </row>
    <row r="133" spans="1:19">
      <c r="A133" s="1">
        <v>991108074</v>
      </c>
      <c r="B133" t="s">
        <v>2695</v>
      </c>
      <c r="C133" t="s">
        <v>2912</v>
      </c>
      <c r="D133" t="s">
        <v>2549</v>
      </c>
      <c r="E133" t="s">
        <v>2557</v>
      </c>
      <c r="F133" t="s">
        <v>2967</v>
      </c>
      <c r="G133" t="b">
        <v>0</v>
      </c>
      <c r="H133">
        <v>5</v>
      </c>
      <c r="I133" t="s">
        <v>22</v>
      </c>
      <c r="J133" s="2">
        <v>0</v>
      </c>
      <c r="K133">
        <v>0</v>
      </c>
      <c r="L133">
        <v>0</v>
      </c>
      <c r="M133" s="2">
        <v>0</v>
      </c>
      <c r="N133">
        <v>5</v>
      </c>
      <c r="O133">
        <v>0</v>
      </c>
      <c r="P133" s="2">
        <v>0</v>
      </c>
      <c r="Q133">
        <v>0</v>
      </c>
      <c r="R133">
        <v>0</v>
      </c>
      <c r="S133" s="2">
        <v>0</v>
      </c>
    </row>
    <row r="134" spans="1:19">
      <c r="A134" s="1">
        <v>889838037</v>
      </c>
      <c r="B134" t="s">
        <v>2696</v>
      </c>
      <c r="C134" t="s">
        <v>2913</v>
      </c>
      <c r="D134" t="s">
        <v>2548</v>
      </c>
      <c r="E134" t="s">
        <v>2556</v>
      </c>
      <c r="F134" t="s">
        <v>2966</v>
      </c>
      <c r="G134" t="b">
        <v>0</v>
      </c>
      <c r="H134">
        <v>1</v>
      </c>
      <c r="I134" t="s">
        <v>22</v>
      </c>
      <c r="J134" s="2">
        <v>0</v>
      </c>
      <c r="K134">
        <v>0</v>
      </c>
      <c r="L134">
        <v>0</v>
      </c>
      <c r="M134" s="2">
        <v>0</v>
      </c>
      <c r="N134">
        <v>1</v>
      </c>
      <c r="O134">
        <v>0</v>
      </c>
      <c r="P134" s="2">
        <v>0</v>
      </c>
      <c r="Q134">
        <v>0</v>
      </c>
      <c r="R134">
        <v>0</v>
      </c>
      <c r="S134" s="2">
        <v>0</v>
      </c>
    </row>
    <row r="135" spans="1:19">
      <c r="A135" s="1">
        <v>973812489</v>
      </c>
      <c r="B135" t="s">
        <v>2697</v>
      </c>
      <c r="C135" t="s">
        <v>2914</v>
      </c>
      <c r="D135" t="s">
        <v>2548</v>
      </c>
      <c r="E135" t="s">
        <v>2556</v>
      </c>
      <c r="F135" t="s">
        <v>2966</v>
      </c>
      <c r="G135" t="b">
        <v>0</v>
      </c>
      <c r="H135">
        <v>4</v>
      </c>
      <c r="I135" t="s">
        <v>3363</v>
      </c>
      <c r="J135" s="2">
        <v>0</v>
      </c>
      <c r="K135">
        <v>0</v>
      </c>
      <c r="L135">
        <v>0</v>
      </c>
      <c r="M135" s="2">
        <v>0</v>
      </c>
      <c r="N135">
        <v>3</v>
      </c>
      <c r="O135">
        <v>0</v>
      </c>
      <c r="P135" s="2">
        <v>0</v>
      </c>
      <c r="Q135">
        <v>1</v>
      </c>
      <c r="R135">
        <v>0</v>
      </c>
      <c r="S135" s="2">
        <v>0</v>
      </c>
    </row>
    <row r="136" spans="1:19">
      <c r="A136" s="1">
        <v>950071060</v>
      </c>
      <c r="B136" t="s">
        <v>2698</v>
      </c>
      <c r="D136" t="s">
        <v>2548</v>
      </c>
      <c r="E136" t="s">
        <v>2556</v>
      </c>
      <c r="F136" t="s">
        <v>2966</v>
      </c>
      <c r="G136" t="b">
        <v>0</v>
      </c>
      <c r="H136">
        <v>3</v>
      </c>
      <c r="I136" t="s">
        <v>22</v>
      </c>
      <c r="J136" s="2">
        <v>143925</v>
      </c>
      <c r="K136">
        <v>0</v>
      </c>
      <c r="L136">
        <v>0</v>
      </c>
      <c r="M136" s="2">
        <v>0</v>
      </c>
      <c r="N136">
        <v>3</v>
      </c>
      <c r="O136">
        <v>1</v>
      </c>
      <c r="P136" s="2">
        <v>143925</v>
      </c>
      <c r="Q136">
        <v>0</v>
      </c>
      <c r="R136">
        <v>0</v>
      </c>
      <c r="S136" s="2">
        <v>0</v>
      </c>
    </row>
    <row r="137" spans="1:19">
      <c r="A137" s="1">
        <v>951840146</v>
      </c>
      <c r="B137" t="s">
        <v>2699</v>
      </c>
      <c r="C137" t="s">
        <v>2915</v>
      </c>
      <c r="D137" t="s">
        <v>2548</v>
      </c>
      <c r="E137" t="s">
        <v>2556</v>
      </c>
      <c r="F137" t="s">
        <v>2965</v>
      </c>
      <c r="G137" t="b">
        <v>0</v>
      </c>
      <c r="H137">
        <v>2</v>
      </c>
      <c r="I137" t="s">
        <v>3363</v>
      </c>
      <c r="J137" s="2">
        <v>0</v>
      </c>
      <c r="K137">
        <v>0</v>
      </c>
      <c r="L137">
        <v>0</v>
      </c>
      <c r="M137" s="2">
        <v>0</v>
      </c>
      <c r="N137">
        <v>1</v>
      </c>
      <c r="O137">
        <v>0</v>
      </c>
      <c r="P137" s="2">
        <v>0</v>
      </c>
      <c r="Q137">
        <v>1</v>
      </c>
      <c r="R137">
        <v>0</v>
      </c>
      <c r="S137" s="2">
        <v>0</v>
      </c>
    </row>
    <row r="138" spans="1:19">
      <c r="A138" s="1">
        <v>968922622</v>
      </c>
      <c r="B138" t="s">
        <v>2700</v>
      </c>
      <c r="C138" t="s">
        <v>2700</v>
      </c>
      <c r="D138" t="s">
        <v>2548</v>
      </c>
      <c r="E138" t="s">
        <v>2556</v>
      </c>
      <c r="F138" t="s">
        <v>2965</v>
      </c>
      <c r="G138" t="b">
        <v>0</v>
      </c>
      <c r="H138">
        <v>12</v>
      </c>
      <c r="I138" t="s">
        <v>3363</v>
      </c>
      <c r="J138" s="2">
        <v>193678.22</v>
      </c>
      <c r="K138">
        <v>0</v>
      </c>
      <c r="L138">
        <v>0</v>
      </c>
      <c r="M138" s="2">
        <v>0</v>
      </c>
      <c r="N138">
        <v>8</v>
      </c>
      <c r="O138">
        <v>2</v>
      </c>
      <c r="P138" s="2">
        <v>193678.22</v>
      </c>
      <c r="Q138">
        <v>4</v>
      </c>
      <c r="R138">
        <v>0</v>
      </c>
      <c r="S138" s="2">
        <v>0</v>
      </c>
    </row>
    <row r="139" spans="1:19">
      <c r="A139" s="1">
        <v>922444781</v>
      </c>
      <c r="B139" t="s">
        <v>2701</v>
      </c>
      <c r="D139" t="s">
        <v>2548</v>
      </c>
      <c r="E139" t="s">
        <v>2556</v>
      </c>
      <c r="F139" t="s">
        <v>2968</v>
      </c>
      <c r="G139" t="b">
        <v>0</v>
      </c>
      <c r="H139">
        <v>4</v>
      </c>
      <c r="I139" t="s">
        <v>3363</v>
      </c>
      <c r="J139" s="2">
        <v>272811.53</v>
      </c>
      <c r="K139">
        <v>0</v>
      </c>
      <c r="L139">
        <v>0</v>
      </c>
      <c r="M139" s="2">
        <v>0</v>
      </c>
      <c r="N139">
        <v>3</v>
      </c>
      <c r="O139">
        <v>1</v>
      </c>
      <c r="P139" s="2">
        <v>272811.53</v>
      </c>
      <c r="Q139">
        <v>1</v>
      </c>
      <c r="R139">
        <v>0</v>
      </c>
      <c r="S139" s="2">
        <v>0</v>
      </c>
    </row>
    <row r="140" spans="1:19">
      <c r="A140" s="1">
        <v>957524443</v>
      </c>
      <c r="B140" t="s">
        <v>2702</v>
      </c>
      <c r="C140" t="s">
        <v>2916</v>
      </c>
      <c r="D140" t="s">
        <v>2548</v>
      </c>
      <c r="E140" t="s">
        <v>2556</v>
      </c>
      <c r="F140" t="s">
        <v>2965</v>
      </c>
      <c r="G140" t="b">
        <v>0</v>
      </c>
      <c r="H140">
        <v>8</v>
      </c>
      <c r="I140" t="s">
        <v>3363</v>
      </c>
      <c r="J140" s="2">
        <v>319601.25</v>
      </c>
      <c r="K140">
        <v>0</v>
      </c>
      <c r="L140">
        <v>0</v>
      </c>
      <c r="M140" s="2">
        <v>0</v>
      </c>
      <c r="N140">
        <v>5</v>
      </c>
      <c r="O140">
        <v>1</v>
      </c>
      <c r="P140" s="2">
        <v>319601.25</v>
      </c>
      <c r="Q140">
        <v>3</v>
      </c>
      <c r="R140">
        <v>0</v>
      </c>
      <c r="S140" s="2">
        <v>0</v>
      </c>
    </row>
    <row r="141" spans="1:19">
      <c r="A141" s="1">
        <v>944164342</v>
      </c>
      <c r="B141" t="s">
        <v>2703</v>
      </c>
      <c r="C141" t="s">
        <v>2703</v>
      </c>
      <c r="D141" t="s">
        <v>2548</v>
      </c>
      <c r="E141" t="s">
        <v>2556</v>
      </c>
      <c r="F141" t="s">
        <v>2967</v>
      </c>
      <c r="G141" t="b">
        <v>1</v>
      </c>
      <c r="H141">
        <v>1</v>
      </c>
      <c r="I141" t="s">
        <v>22</v>
      </c>
      <c r="J141" s="2">
        <v>365750</v>
      </c>
      <c r="K141">
        <v>0</v>
      </c>
      <c r="L141">
        <v>0</v>
      </c>
      <c r="M141" s="2">
        <v>0</v>
      </c>
      <c r="N141">
        <v>1</v>
      </c>
      <c r="O141">
        <v>1</v>
      </c>
      <c r="P141" s="2">
        <v>365750</v>
      </c>
      <c r="Q141">
        <v>0</v>
      </c>
      <c r="R141">
        <v>0</v>
      </c>
      <c r="S141" s="2">
        <v>0</v>
      </c>
    </row>
    <row r="142" spans="1:19">
      <c r="A142" s="1">
        <v>991708019</v>
      </c>
      <c r="B142" t="s">
        <v>2704</v>
      </c>
      <c r="C142" t="s">
        <v>2917</v>
      </c>
      <c r="D142" t="s">
        <v>2548</v>
      </c>
      <c r="E142" t="s">
        <v>2556</v>
      </c>
      <c r="F142" t="s">
        <v>2965</v>
      </c>
      <c r="G142" t="b">
        <v>0</v>
      </c>
      <c r="H142">
        <v>4</v>
      </c>
      <c r="I142" t="s">
        <v>3363</v>
      </c>
      <c r="J142" s="2">
        <v>0</v>
      </c>
      <c r="K142">
        <v>0</v>
      </c>
      <c r="L142">
        <v>0</v>
      </c>
      <c r="M142" s="2">
        <v>0</v>
      </c>
      <c r="N142">
        <v>3</v>
      </c>
      <c r="O142">
        <v>0</v>
      </c>
      <c r="P142" s="2">
        <v>0</v>
      </c>
      <c r="Q142">
        <v>1</v>
      </c>
      <c r="R142">
        <v>0</v>
      </c>
      <c r="S142" s="2">
        <v>0</v>
      </c>
    </row>
    <row r="143" spans="1:19">
      <c r="A143" s="1">
        <v>894722181</v>
      </c>
      <c r="B143" t="s">
        <v>2705</v>
      </c>
      <c r="C143" t="s">
        <v>2918</v>
      </c>
      <c r="D143" t="s">
        <v>2548</v>
      </c>
      <c r="E143" t="s">
        <v>2556</v>
      </c>
      <c r="F143" t="s">
        <v>2967</v>
      </c>
      <c r="G143" t="b">
        <v>0</v>
      </c>
      <c r="H143">
        <v>1</v>
      </c>
      <c r="I143" t="s">
        <v>22</v>
      </c>
      <c r="J143" s="2">
        <v>0</v>
      </c>
      <c r="K143">
        <v>0</v>
      </c>
      <c r="L143">
        <v>0</v>
      </c>
      <c r="M143" s="2">
        <v>0</v>
      </c>
      <c r="N143">
        <v>1</v>
      </c>
      <c r="O143">
        <v>0</v>
      </c>
      <c r="P143" s="2">
        <v>0</v>
      </c>
      <c r="Q143">
        <v>0</v>
      </c>
      <c r="R143">
        <v>0</v>
      </c>
      <c r="S143" s="2">
        <v>0</v>
      </c>
    </row>
    <row r="144" spans="1:19">
      <c r="A144" s="1">
        <v>956388476</v>
      </c>
      <c r="B144" t="s">
        <v>2706</v>
      </c>
      <c r="D144" t="s">
        <v>2548</v>
      </c>
      <c r="E144" t="s">
        <v>2556</v>
      </c>
      <c r="F144" t="s">
        <v>2967</v>
      </c>
      <c r="G144" t="b">
        <v>0</v>
      </c>
      <c r="H144">
        <v>3</v>
      </c>
      <c r="I144" t="s">
        <v>22</v>
      </c>
      <c r="J144" s="2">
        <v>0</v>
      </c>
      <c r="K144">
        <v>0</v>
      </c>
      <c r="L144">
        <v>0</v>
      </c>
      <c r="M144" s="2">
        <v>0</v>
      </c>
      <c r="N144">
        <v>3</v>
      </c>
      <c r="O144">
        <v>0</v>
      </c>
      <c r="P144" s="2">
        <v>0</v>
      </c>
      <c r="Q144">
        <v>0</v>
      </c>
      <c r="R144">
        <v>0</v>
      </c>
      <c r="S144" s="2">
        <v>0</v>
      </c>
    </row>
    <row r="145" spans="1:19">
      <c r="A145" s="1">
        <v>898697144</v>
      </c>
      <c r="B145" t="s">
        <v>2707</v>
      </c>
      <c r="D145" t="s">
        <v>2548</v>
      </c>
      <c r="E145" t="s">
        <v>2556</v>
      </c>
      <c r="F145" t="s">
        <v>2967</v>
      </c>
      <c r="G145" t="b">
        <v>0</v>
      </c>
      <c r="H145">
        <v>1</v>
      </c>
      <c r="I145" t="s">
        <v>22</v>
      </c>
      <c r="J145" s="2">
        <v>0</v>
      </c>
      <c r="K145">
        <v>0</v>
      </c>
      <c r="L145">
        <v>0</v>
      </c>
      <c r="M145" s="2">
        <v>0</v>
      </c>
      <c r="N145">
        <v>1</v>
      </c>
      <c r="O145">
        <v>0</v>
      </c>
      <c r="P145" s="2">
        <v>0</v>
      </c>
      <c r="Q145">
        <v>0</v>
      </c>
      <c r="R145">
        <v>0</v>
      </c>
      <c r="S145" s="2">
        <v>0</v>
      </c>
    </row>
    <row r="146" spans="1:19">
      <c r="A146" s="1">
        <v>902912958</v>
      </c>
      <c r="B146" t="s">
        <v>2708</v>
      </c>
      <c r="C146" t="s">
        <v>2919</v>
      </c>
      <c r="D146" t="s">
        <v>2548</v>
      </c>
      <c r="E146" t="s">
        <v>2556</v>
      </c>
      <c r="F146" t="s">
        <v>2969</v>
      </c>
      <c r="G146" t="b">
        <v>0</v>
      </c>
      <c r="H146">
        <v>2</v>
      </c>
      <c r="I146" t="s">
        <v>22</v>
      </c>
      <c r="J146" s="2">
        <v>0</v>
      </c>
      <c r="K146">
        <v>0</v>
      </c>
      <c r="L146">
        <v>0</v>
      </c>
      <c r="M146" s="2">
        <v>0</v>
      </c>
      <c r="N146">
        <v>2</v>
      </c>
      <c r="O146">
        <v>0</v>
      </c>
      <c r="P146" s="2">
        <v>0</v>
      </c>
      <c r="Q146">
        <v>0</v>
      </c>
      <c r="R146">
        <v>0</v>
      </c>
      <c r="S146" s="2">
        <v>0</v>
      </c>
    </row>
    <row r="147" spans="1:19">
      <c r="A147" s="1">
        <v>986196188</v>
      </c>
      <c r="B147" t="s">
        <v>2709</v>
      </c>
      <c r="C147" t="s">
        <v>2920</v>
      </c>
      <c r="D147" t="s">
        <v>2548</v>
      </c>
      <c r="E147" t="s">
        <v>2556</v>
      </c>
      <c r="F147" t="s">
        <v>2965</v>
      </c>
      <c r="G147" t="b">
        <v>0</v>
      </c>
      <c r="H147">
        <v>9</v>
      </c>
      <c r="I147" t="s">
        <v>3363</v>
      </c>
      <c r="J147" s="2">
        <v>0</v>
      </c>
      <c r="K147">
        <v>0</v>
      </c>
      <c r="L147">
        <v>0</v>
      </c>
      <c r="M147" s="2">
        <v>0</v>
      </c>
      <c r="N147">
        <v>4</v>
      </c>
      <c r="O147">
        <v>0</v>
      </c>
      <c r="P147" s="2">
        <v>0</v>
      </c>
      <c r="Q147">
        <v>5</v>
      </c>
      <c r="R147">
        <v>0</v>
      </c>
      <c r="S147" s="2">
        <v>0</v>
      </c>
    </row>
    <row r="148" spans="1:19">
      <c r="A148" s="1">
        <v>992254032</v>
      </c>
      <c r="B148" t="s">
        <v>2710</v>
      </c>
      <c r="C148" t="s">
        <v>2921</v>
      </c>
      <c r="D148" t="s">
        <v>2548</v>
      </c>
      <c r="E148" t="s">
        <v>2556</v>
      </c>
      <c r="F148" t="s">
        <v>2969</v>
      </c>
      <c r="G148" t="b">
        <v>0</v>
      </c>
      <c r="H148">
        <v>1</v>
      </c>
      <c r="I148" t="s">
        <v>22</v>
      </c>
      <c r="J148" s="2">
        <v>0</v>
      </c>
      <c r="K148">
        <v>0</v>
      </c>
      <c r="L148">
        <v>0</v>
      </c>
      <c r="M148" s="2">
        <v>0</v>
      </c>
      <c r="N148">
        <v>1</v>
      </c>
      <c r="O148">
        <v>0</v>
      </c>
      <c r="P148" s="2">
        <v>0</v>
      </c>
      <c r="Q148">
        <v>0</v>
      </c>
      <c r="R148">
        <v>0</v>
      </c>
      <c r="S148" s="2">
        <v>0</v>
      </c>
    </row>
    <row r="149" spans="1:19">
      <c r="A149" s="1">
        <v>888891581</v>
      </c>
      <c r="B149" t="s">
        <v>2711</v>
      </c>
      <c r="D149" t="s">
        <v>2548</v>
      </c>
      <c r="E149" t="s">
        <v>2556</v>
      </c>
      <c r="F149" t="s">
        <v>2967</v>
      </c>
      <c r="G149" t="b">
        <v>0</v>
      </c>
      <c r="H149">
        <v>1</v>
      </c>
      <c r="I149" t="s">
        <v>22</v>
      </c>
      <c r="J149" s="2">
        <v>0</v>
      </c>
      <c r="K149">
        <v>0</v>
      </c>
      <c r="L149">
        <v>0</v>
      </c>
      <c r="M149" s="2">
        <v>0</v>
      </c>
      <c r="N149">
        <v>1</v>
      </c>
      <c r="O149">
        <v>0</v>
      </c>
      <c r="P149" s="2">
        <v>0</v>
      </c>
      <c r="Q149">
        <v>0</v>
      </c>
      <c r="R149">
        <v>0</v>
      </c>
      <c r="S149" s="2">
        <v>0</v>
      </c>
    </row>
    <row r="150" spans="1:19">
      <c r="A150" s="1">
        <v>902158977</v>
      </c>
      <c r="B150" t="s">
        <v>2712</v>
      </c>
      <c r="D150" t="s">
        <v>2548</v>
      </c>
      <c r="E150" t="s">
        <v>2556</v>
      </c>
      <c r="F150" t="s">
        <v>2967</v>
      </c>
      <c r="G150" t="b">
        <v>0</v>
      </c>
      <c r="H150">
        <v>1</v>
      </c>
      <c r="I150" t="s">
        <v>22</v>
      </c>
      <c r="J150" s="2">
        <v>0</v>
      </c>
      <c r="K150">
        <v>0</v>
      </c>
      <c r="L150">
        <v>0</v>
      </c>
      <c r="M150" s="2">
        <v>0</v>
      </c>
      <c r="N150">
        <v>1</v>
      </c>
      <c r="O150">
        <v>0</v>
      </c>
      <c r="P150" s="2">
        <v>0</v>
      </c>
      <c r="Q150">
        <v>0</v>
      </c>
      <c r="R150">
        <v>0</v>
      </c>
      <c r="S150" s="2">
        <v>0</v>
      </c>
    </row>
    <row r="151" spans="1:19">
      <c r="A151" s="1">
        <v>909457742</v>
      </c>
      <c r="B151" t="s">
        <v>2713</v>
      </c>
      <c r="C151" t="s">
        <v>2922</v>
      </c>
      <c r="D151" t="s">
        <v>2548</v>
      </c>
      <c r="E151" t="s">
        <v>2556</v>
      </c>
      <c r="F151" t="s">
        <v>2967</v>
      </c>
      <c r="G151" t="b">
        <v>0</v>
      </c>
      <c r="H151">
        <v>1</v>
      </c>
      <c r="I151" t="s">
        <v>22</v>
      </c>
      <c r="J151" s="2">
        <v>0</v>
      </c>
      <c r="K151">
        <v>0</v>
      </c>
      <c r="L151">
        <v>0</v>
      </c>
      <c r="M151" s="2">
        <v>0</v>
      </c>
      <c r="N151">
        <v>1</v>
      </c>
      <c r="O151">
        <v>0</v>
      </c>
      <c r="P151" s="2">
        <v>0</v>
      </c>
      <c r="Q151">
        <v>0</v>
      </c>
      <c r="R151">
        <v>0</v>
      </c>
      <c r="S151" s="2">
        <v>0</v>
      </c>
    </row>
    <row r="152" spans="1:19">
      <c r="A152" s="1">
        <v>958686309</v>
      </c>
      <c r="B152" t="s">
        <v>2714</v>
      </c>
      <c r="C152" t="s">
        <v>2923</v>
      </c>
      <c r="D152" t="s">
        <v>2548</v>
      </c>
      <c r="E152" t="s">
        <v>2556</v>
      </c>
      <c r="G152" t="b">
        <v>0</v>
      </c>
      <c r="H152">
        <v>1</v>
      </c>
      <c r="I152" t="s">
        <v>22</v>
      </c>
      <c r="J152" s="2">
        <v>0</v>
      </c>
      <c r="K152">
        <v>0</v>
      </c>
      <c r="L152">
        <v>0</v>
      </c>
      <c r="M152" s="2">
        <v>0</v>
      </c>
      <c r="N152">
        <v>1</v>
      </c>
      <c r="O152">
        <v>0</v>
      </c>
      <c r="P152" s="2">
        <v>0</v>
      </c>
      <c r="Q152">
        <v>0</v>
      </c>
      <c r="R152">
        <v>0</v>
      </c>
      <c r="S152" s="2">
        <v>0</v>
      </c>
    </row>
    <row r="153" spans="1:19">
      <c r="A153" s="1">
        <v>927459875</v>
      </c>
      <c r="B153" t="s">
        <v>2715</v>
      </c>
      <c r="C153" t="s">
        <v>2924</v>
      </c>
      <c r="D153" t="s">
        <v>2552</v>
      </c>
      <c r="E153" t="s">
        <v>2560</v>
      </c>
      <c r="F153" t="s">
        <v>2966</v>
      </c>
      <c r="G153" t="b">
        <v>1</v>
      </c>
      <c r="H153">
        <v>1</v>
      </c>
      <c r="I153" t="s">
        <v>22</v>
      </c>
      <c r="J153" s="2">
        <v>0</v>
      </c>
      <c r="K153">
        <v>0</v>
      </c>
      <c r="L153">
        <v>0</v>
      </c>
      <c r="M153" s="2">
        <v>0</v>
      </c>
      <c r="N153">
        <v>1</v>
      </c>
      <c r="O153">
        <v>0</v>
      </c>
      <c r="P153" s="2">
        <v>0</v>
      </c>
      <c r="Q153">
        <v>0</v>
      </c>
      <c r="R153">
        <v>0</v>
      </c>
      <c r="S153" s="2">
        <v>0</v>
      </c>
    </row>
    <row r="154" spans="1:19">
      <c r="A154" s="1">
        <v>906636885</v>
      </c>
      <c r="B154" t="s">
        <v>2716</v>
      </c>
      <c r="D154" t="s">
        <v>2552</v>
      </c>
      <c r="E154" t="s">
        <v>2560</v>
      </c>
      <c r="F154" t="s">
        <v>2969</v>
      </c>
      <c r="G154" t="b">
        <v>0</v>
      </c>
      <c r="H154">
        <v>1</v>
      </c>
      <c r="I154" t="s">
        <v>22</v>
      </c>
      <c r="J154" s="2">
        <v>0</v>
      </c>
      <c r="K154">
        <v>0</v>
      </c>
      <c r="L154">
        <v>0</v>
      </c>
      <c r="M154" s="2">
        <v>0</v>
      </c>
      <c r="N154">
        <v>1</v>
      </c>
      <c r="O154">
        <v>0</v>
      </c>
      <c r="P154" s="2">
        <v>0</v>
      </c>
      <c r="Q154">
        <v>0</v>
      </c>
      <c r="R154">
        <v>0</v>
      </c>
      <c r="S154" s="2">
        <v>0</v>
      </c>
    </row>
    <row r="155" spans="1:19">
      <c r="A155" s="1">
        <v>900285519</v>
      </c>
      <c r="B155" t="s">
        <v>2717</v>
      </c>
      <c r="D155" t="s">
        <v>2555</v>
      </c>
      <c r="E155" t="s">
        <v>2563</v>
      </c>
      <c r="F155" t="s">
        <v>2965</v>
      </c>
      <c r="G155" t="b">
        <v>0</v>
      </c>
      <c r="H155">
        <v>1</v>
      </c>
      <c r="I155" t="s">
        <v>22</v>
      </c>
      <c r="J155" s="2">
        <v>0</v>
      </c>
      <c r="K155">
        <v>0</v>
      </c>
      <c r="L155">
        <v>0</v>
      </c>
      <c r="M155" s="2">
        <v>0</v>
      </c>
      <c r="N155">
        <v>1</v>
      </c>
      <c r="O155">
        <v>0</v>
      </c>
      <c r="P155" s="2">
        <v>0</v>
      </c>
      <c r="Q155">
        <v>0</v>
      </c>
      <c r="R155">
        <v>0</v>
      </c>
      <c r="S155" s="2">
        <v>0</v>
      </c>
    </row>
    <row r="156" spans="1:19">
      <c r="A156" s="1">
        <v>904687088</v>
      </c>
      <c r="B156" t="s">
        <v>2718</v>
      </c>
      <c r="D156" t="s">
        <v>2548</v>
      </c>
      <c r="E156" t="s">
        <v>2556</v>
      </c>
      <c r="F156" t="s">
        <v>2967</v>
      </c>
      <c r="G156" t="b">
        <v>0</v>
      </c>
      <c r="H156">
        <v>3</v>
      </c>
      <c r="I156" t="s">
        <v>22</v>
      </c>
      <c r="J156" s="2">
        <v>0</v>
      </c>
      <c r="K156">
        <v>0</v>
      </c>
      <c r="L156">
        <v>0</v>
      </c>
      <c r="M156" s="2">
        <v>0</v>
      </c>
      <c r="N156">
        <v>3</v>
      </c>
      <c r="O156">
        <v>0</v>
      </c>
      <c r="P156" s="2">
        <v>0</v>
      </c>
      <c r="Q156">
        <v>0</v>
      </c>
      <c r="R156">
        <v>0</v>
      </c>
      <c r="S156" s="2">
        <v>0</v>
      </c>
    </row>
    <row r="157" spans="1:19">
      <c r="A157" s="1">
        <v>888895891</v>
      </c>
      <c r="B157" t="s">
        <v>2719</v>
      </c>
      <c r="D157" t="s">
        <v>2549</v>
      </c>
      <c r="E157" t="s">
        <v>2557</v>
      </c>
      <c r="F157" t="s">
        <v>2967</v>
      </c>
      <c r="G157" t="b">
        <v>0</v>
      </c>
      <c r="H157">
        <v>1</v>
      </c>
      <c r="I157" t="s">
        <v>22</v>
      </c>
      <c r="J157" s="2">
        <v>0</v>
      </c>
      <c r="K157">
        <v>0</v>
      </c>
      <c r="L157">
        <v>0</v>
      </c>
      <c r="M157" s="2">
        <v>0</v>
      </c>
      <c r="N157">
        <v>1</v>
      </c>
      <c r="O157">
        <v>0</v>
      </c>
      <c r="P157" s="2">
        <v>0</v>
      </c>
      <c r="Q157">
        <v>0</v>
      </c>
      <c r="R157">
        <v>0</v>
      </c>
      <c r="S157" s="2">
        <v>0</v>
      </c>
    </row>
    <row r="158" spans="1:19">
      <c r="A158" s="1">
        <v>897627525</v>
      </c>
      <c r="B158" t="s">
        <v>2720</v>
      </c>
      <c r="D158" t="s">
        <v>2548</v>
      </c>
      <c r="E158" t="s">
        <v>2556</v>
      </c>
      <c r="F158" t="s">
        <v>2968</v>
      </c>
      <c r="G158" t="b">
        <v>0</v>
      </c>
      <c r="H158">
        <v>2</v>
      </c>
      <c r="I158" t="s">
        <v>22</v>
      </c>
      <c r="J158" s="2">
        <v>59812.5</v>
      </c>
      <c r="K158">
        <v>0</v>
      </c>
      <c r="L158">
        <v>0</v>
      </c>
      <c r="M158" s="2">
        <v>0</v>
      </c>
      <c r="N158">
        <v>2</v>
      </c>
      <c r="O158">
        <v>1</v>
      </c>
      <c r="P158" s="2">
        <v>59812.5</v>
      </c>
      <c r="Q158">
        <v>0</v>
      </c>
      <c r="R158">
        <v>0</v>
      </c>
      <c r="S158" s="2">
        <v>0</v>
      </c>
    </row>
    <row r="159" spans="1:19">
      <c r="A159" s="1">
        <v>904862852</v>
      </c>
      <c r="B159" t="s">
        <v>2721</v>
      </c>
      <c r="C159" t="s">
        <v>2721</v>
      </c>
      <c r="D159" t="s">
        <v>2548</v>
      </c>
      <c r="E159" t="s">
        <v>2556</v>
      </c>
      <c r="F159" t="s">
        <v>2967</v>
      </c>
      <c r="G159" t="b">
        <v>0</v>
      </c>
      <c r="H159">
        <v>1</v>
      </c>
      <c r="I159" t="s">
        <v>22</v>
      </c>
      <c r="J159" s="2">
        <v>0</v>
      </c>
      <c r="K159">
        <v>0</v>
      </c>
      <c r="L159">
        <v>0</v>
      </c>
      <c r="M159" s="2">
        <v>0</v>
      </c>
      <c r="N159">
        <v>1</v>
      </c>
      <c r="O159">
        <v>0</v>
      </c>
      <c r="P159" s="2">
        <v>0</v>
      </c>
      <c r="Q159">
        <v>0</v>
      </c>
      <c r="R159">
        <v>0</v>
      </c>
      <c r="S159" s="2">
        <v>0</v>
      </c>
    </row>
    <row r="160" spans="1:19">
      <c r="A160" s="1">
        <v>912156961</v>
      </c>
      <c r="B160" t="s">
        <v>2722</v>
      </c>
      <c r="C160" t="s">
        <v>2925</v>
      </c>
      <c r="D160" t="s">
        <v>2548</v>
      </c>
      <c r="E160" t="s">
        <v>2556</v>
      </c>
      <c r="F160" t="s">
        <v>2967</v>
      </c>
      <c r="G160" t="b">
        <v>0</v>
      </c>
      <c r="H160">
        <v>1</v>
      </c>
      <c r="I160" t="s">
        <v>22</v>
      </c>
      <c r="J160" s="2">
        <v>0</v>
      </c>
      <c r="K160">
        <v>0</v>
      </c>
      <c r="L160">
        <v>0</v>
      </c>
      <c r="M160" s="2">
        <v>0</v>
      </c>
      <c r="N160">
        <v>1</v>
      </c>
      <c r="O160">
        <v>0</v>
      </c>
      <c r="P160" s="2">
        <v>0</v>
      </c>
      <c r="Q160">
        <v>0</v>
      </c>
      <c r="R160">
        <v>0</v>
      </c>
      <c r="S160" s="2">
        <v>0</v>
      </c>
    </row>
    <row r="161" spans="1:19">
      <c r="A161" s="1">
        <v>897235257</v>
      </c>
      <c r="B161" t="s">
        <v>2723</v>
      </c>
      <c r="C161" t="s">
        <v>2926</v>
      </c>
      <c r="D161" t="s">
        <v>2548</v>
      </c>
      <c r="E161" t="s">
        <v>2556</v>
      </c>
      <c r="F161" t="s">
        <v>2967</v>
      </c>
      <c r="G161" t="b">
        <v>1</v>
      </c>
      <c r="H161">
        <v>2</v>
      </c>
      <c r="I161" t="s">
        <v>22</v>
      </c>
      <c r="J161" s="2">
        <v>0</v>
      </c>
      <c r="K161">
        <v>0</v>
      </c>
      <c r="L161">
        <v>0</v>
      </c>
      <c r="M161" s="2">
        <v>0</v>
      </c>
      <c r="N161">
        <v>2</v>
      </c>
      <c r="O161">
        <v>0</v>
      </c>
      <c r="P161" s="2">
        <v>0</v>
      </c>
      <c r="Q161">
        <v>0</v>
      </c>
      <c r="R161">
        <v>0</v>
      </c>
      <c r="S161" s="2">
        <v>0</v>
      </c>
    </row>
    <row r="162" spans="1:19">
      <c r="A162" s="1">
        <v>922294431</v>
      </c>
      <c r="B162" t="s">
        <v>2724</v>
      </c>
      <c r="C162" t="s">
        <v>2927</v>
      </c>
      <c r="D162" t="s">
        <v>2554</v>
      </c>
      <c r="E162" t="s">
        <v>2562</v>
      </c>
      <c r="F162" t="s">
        <v>2967</v>
      </c>
      <c r="G162" t="b">
        <v>0</v>
      </c>
      <c r="H162">
        <v>1</v>
      </c>
      <c r="I162" t="s">
        <v>22</v>
      </c>
      <c r="J162" s="2">
        <v>67725</v>
      </c>
      <c r="K162">
        <v>0</v>
      </c>
      <c r="L162">
        <v>0</v>
      </c>
      <c r="M162" s="2">
        <v>0</v>
      </c>
      <c r="N162">
        <v>1</v>
      </c>
      <c r="O162">
        <v>1</v>
      </c>
      <c r="P162" s="2">
        <v>67725</v>
      </c>
      <c r="Q162">
        <v>0</v>
      </c>
      <c r="R162">
        <v>0</v>
      </c>
      <c r="S162" s="2">
        <v>0</v>
      </c>
    </row>
    <row r="163" spans="1:19">
      <c r="A163" s="1">
        <v>952893857</v>
      </c>
      <c r="B163" t="s">
        <v>2725</v>
      </c>
      <c r="C163" t="s">
        <v>2928</v>
      </c>
      <c r="D163" t="s">
        <v>2548</v>
      </c>
      <c r="E163" t="s">
        <v>2556</v>
      </c>
      <c r="F163" t="s">
        <v>2965</v>
      </c>
      <c r="G163" t="b">
        <v>0</v>
      </c>
      <c r="H163">
        <v>1</v>
      </c>
      <c r="I163" t="s">
        <v>22</v>
      </c>
      <c r="J163" s="2">
        <v>0</v>
      </c>
      <c r="K163">
        <v>0</v>
      </c>
      <c r="L163">
        <v>0</v>
      </c>
      <c r="M163" s="2">
        <v>0</v>
      </c>
      <c r="N163">
        <v>1</v>
      </c>
      <c r="O163">
        <v>0</v>
      </c>
      <c r="P163" s="2">
        <v>0</v>
      </c>
      <c r="Q163">
        <v>0</v>
      </c>
      <c r="R163">
        <v>0</v>
      </c>
      <c r="S163" s="2">
        <v>0</v>
      </c>
    </row>
    <row r="164" spans="1:19">
      <c r="A164" s="1">
        <v>919611896</v>
      </c>
      <c r="B164" t="s">
        <v>2726</v>
      </c>
      <c r="D164" t="s">
        <v>2548</v>
      </c>
      <c r="E164" t="s">
        <v>2556</v>
      </c>
      <c r="F164" t="s">
        <v>2965</v>
      </c>
      <c r="G164" t="b">
        <v>0</v>
      </c>
      <c r="H164">
        <v>4</v>
      </c>
      <c r="I164" t="s">
        <v>22</v>
      </c>
      <c r="J164" s="2">
        <v>181250</v>
      </c>
      <c r="K164">
        <v>0</v>
      </c>
      <c r="L164">
        <v>0</v>
      </c>
      <c r="M164" s="2">
        <v>0</v>
      </c>
      <c r="N164">
        <v>4</v>
      </c>
      <c r="O164">
        <v>2</v>
      </c>
      <c r="P164" s="2">
        <v>181250</v>
      </c>
      <c r="Q164">
        <v>0</v>
      </c>
      <c r="R164">
        <v>0</v>
      </c>
      <c r="S164" s="2">
        <v>0</v>
      </c>
    </row>
    <row r="165" spans="1:19">
      <c r="A165" s="1">
        <v>888889939</v>
      </c>
      <c r="B165" t="s">
        <v>2727</v>
      </c>
      <c r="D165" t="s">
        <v>2548</v>
      </c>
      <c r="E165" t="s">
        <v>2556</v>
      </c>
      <c r="F165" t="s">
        <v>2967</v>
      </c>
      <c r="G165" t="b">
        <v>0</v>
      </c>
      <c r="H165">
        <v>1</v>
      </c>
      <c r="I165" t="s">
        <v>22</v>
      </c>
      <c r="J165" s="2">
        <v>0</v>
      </c>
      <c r="K165">
        <v>0</v>
      </c>
      <c r="L165">
        <v>0</v>
      </c>
      <c r="M165" s="2">
        <v>0</v>
      </c>
      <c r="N165">
        <v>1</v>
      </c>
      <c r="O165">
        <v>0</v>
      </c>
      <c r="P165" s="2">
        <v>0</v>
      </c>
      <c r="Q165">
        <v>0</v>
      </c>
      <c r="R165">
        <v>0</v>
      </c>
      <c r="S165" s="2">
        <v>0</v>
      </c>
    </row>
    <row r="166" spans="1:19">
      <c r="A166" s="1">
        <v>888892322</v>
      </c>
      <c r="B166" t="s">
        <v>2728</v>
      </c>
      <c r="D166" t="s">
        <v>2548</v>
      </c>
      <c r="E166" t="s">
        <v>2556</v>
      </c>
      <c r="F166" t="s">
        <v>2965</v>
      </c>
      <c r="G166" t="b">
        <v>0</v>
      </c>
      <c r="H166">
        <v>1</v>
      </c>
      <c r="I166" t="s">
        <v>22</v>
      </c>
      <c r="J166" s="2">
        <v>0</v>
      </c>
      <c r="K166">
        <v>0</v>
      </c>
      <c r="L166">
        <v>0</v>
      </c>
      <c r="M166" s="2">
        <v>0</v>
      </c>
      <c r="N166">
        <v>1</v>
      </c>
      <c r="O166">
        <v>0</v>
      </c>
      <c r="P166" s="2">
        <v>0</v>
      </c>
      <c r="Q166">
        <v>0</v>
      </c>
      <c r="R166">
        <v>0</v>
      </c>
      <c r="S166" s="2">
        <v>0</v>
      </c>
    </row>
    <row r="167" spans="1:19">
      <c r="A167" s="1">
        <v>898956619</v>
      </c>
      <c r="B167" t="s">
        <v>2729</v>
      </c>
      <c r="C167" t="s">
        <v>2929</v>
      </c>
      <c r="D167" t="s">
        <v>2548</v>
      </c>
      <c r="E167" t="s">
        <v>2556</v>
      </c>
      <c r="F167" t="s">
        <v>2967</v>
      </c>
      <c r="G167" t="b">
        <v>0</v>
      </c>
      <c r="H167">
        <v>1</v>
      </c>
      <c r="I167" t="s">
        <v>22</v>
      </c>
      <c r="J167" s="2">
        <v>0</v>
      </c>
      <c r="K167">
        <v>0</v>
      </c>
      <c r="L167">
        <v>0</v>
      </c>
      <c r="M167" s="2">
        <v>0</v>
      </c>
      <c r="N167">
        <v>1</v>
      </c>
      <c r="O167">
        <v>0</v>
      </c>
      <c r="P167" s="2">
        <v>0</v>
      </c>
      <c r="Q167">
        <v>0</v>
      </c>
      <c r="R167">
        <v>0</v>
      </c>
      <c r="S167" s="2">
        <v>0</v>
      </c>
    </row>
    <row r="168" spans="1:19">
      <c r="A168" s="1">
        <v>985382455</v>
      </c>
      <c r="B168" t="s">
        <v>2730</v>
      </c>
      <c r="C168" t="s">
        <v>2930</v>
      </c>
      <c r="D168" t="s">
        <v>2548</v>
      </c>
      <c r="E168" t="s">
        <v>2556</v>
      </c>
      <c r="F168" t="s">
        <v>2965</v>
      </c>
      <c r="G168" t="b">
        <v>0</v>
      </c>
      <c r="H168">
        <v>1</v>
      </c>
      <c r="I168" t="s">
        <v>22</v>
      </c>
      <c r="J168" s="2">
        <v>0</v>
      </c>
      <c r="K168">
        <v>0</v>
      </c>
      <c r="L168">
        <v>0</v>
      </c>
      <c r="M168" s="2">
        <v>0</v>
      </c>
      <c r="N168">
        <v>1</v>
      </c>
      <c r="O168">
        <v>0</v>
      </c>
      <c r="P168" s="2">
        <v>0</v>
      </c>
      <c r="Q168">
        <v>0</v>
      </c>
      <c r="R168">
        <v>0</v>
      </c>
      <c r="S168" s="2">
        <v>0</v>
      </c>
    </row>
    <row r="169" spans="1:19">
      <c r="A169" s="1">
        <v>903183782</v>
      </c>
      <c r="B169" t="s">
        <v>2731</v>
      </c>
      <c r="C169" t="s">
        <v>2931</v>
      </c>
      <c r="D169" t="s">
        <v>2548</v>
      </c>
      <c r="E169" t="s">
        <v>2556</v>
      </c>
      <c r="F169" t="s">
        <v>2967</v>
      </c>
      <c r="G169" t="b">
        <v>0</v>
      </c>
      <c r="H169">
        <v>1</v>
      </c>
      <c r="I169" t="s">
        <v>22</v>
      </c>
      <c r="J169" s="2">
        <v>0</v>
      </c>
      <c r="K169">
        <v>0</v>
      </c>
      <c r="L169">
        <v>0</v>
      </c>
      <c r="M169" s="2">
        <v>0</v>
      </c>
      <c r="N169">
        <v>1</v>
      </c>
      <c r="O169">
        <v>0</v>
      </c>
      <c r="P169" s="2">
        <v>0</v>
      </c>
      <c r="Q169">
        <v>0</v>
      </c>
      <c r="R169">
        <v>0</v>
      </c>
      <c r="S169" s="2">
        <v>0</v>
      </c>
    </row>
    <row r="170" spans="1:19">
      <c r="A170" s="1">
        <v>899346753</v>
      </c>
      <c r="B170" t="s">
        <v>2732</v>
      </c>
      <c r="C170" t="s">
        <v>2732</v>
      </c>
      <c r="D170" t="s">
        <v>2549</v>
      </c>
      <c r="E170" t="s">
        <v>2557</v>
      </c>
      <c r="F170" t="s">
        <v>2967</v>
      </c>
      <c r="G170" t="b">
        <v>0</v>
      </c>
      <c r="H170">
        <v>1</v>
      </c>
      <c r="I170" t="s">
        <v>22</v>
      </c>
      <c r="J170" s="2">
        <v>0</v>
      </c>
      <c r="K170">
        <v>0</v>
      </c>
      <c r="L170">
        <v>0</v>
      </c>
      <c r="M170" s="2">
        <v>0</v>
      </c>
      <c r="N170">
        <v>1</v>
      </c>
      <c r="O170">
        <v>0</v>
      </c>
      <c r="P170" s="2">
        <v>0</v>
      </c>
      <c r="Q170">
        <v>0</v>
      </c>
      <c r="R170">
        <v>0</v>
      </c>
      <c r="S170" s="2">
        <v>0</v>
      </c>
    </row>
    <row r="171" spans="1:19">
      <c r="A171" s="1">
        <v>927323784</v>
      </c>
      <c r="B171" t="s">
        <v>2733</v>
      </c>
      <c r="C171" t="s">
        <v>2733</v>
      </c>
      <c r="D171" t="s">
        <v>2548</v>
      </c>
      <c r="E171" t="s">
        <v>2556</v>
      </c>
      <c r="G171" t="b">
        <v>0</v>
      </c>
      <c r="H171">
        <v>1</v>
      </c>
      <c r="I171" t="s">
        <v>22</v>
      </c>
      <c r="J171" s="2">
        <v>0</v>
      </c>
      <c r="K171">
        <v>0</v>
      </c>
      <c r="L171">
        <v>0</v>
      </c>
      <c r="M171" s="2">
        <v>0</v>
      </c>
      <c r="N171">
        <v>1</v>
      </c>
      <c r="O171">
        <v>0</v>
      </c>
      <c r="P171" s="2">
        <v>0</v>
      </c>
      <c r="Q171">
        <v>0</v>
      </c>
      <c r="R171">
        <v>0</v>
      </c>
      <c r="S171" s="2">
        <v>0</v>
      </c>
    </row>
    <row r="172" spans="1:19">
      <c r="A172" s="1">
        <v>906781609</v>
      </c>
      <c r="B172" t="s">
        <v>2734</v>
      </c>
      <c r="C172" t="s">
        <v>2932</v>
      </c>
      <c r="D172" t="s">
        <v>2548</v>
      </c>
      <c r="E172" t="s">
        <v>2556</v>
      </c>
      <c r="F172" t="s">
        <v>2968</v>
      </c>
      <c r="G172" t="b">
        <v>0</v>
      </c>
      <c r="H172">
        <v>1</v>
      </c>
      <c r="I172" t="s">
        <v>22</v>
      </c>
      <c r="J172" s="2">
        <v>0</v>
      </c>
      <c r="K172">
        <v>0</v>
      </c>
      <c r="L172">
        <v>0</v>
      </c>
      <c r="M172" s="2">
        <v>0</v>
      </c>
      <c r="N172">
        <v>1</v>
      </c>
      <c r="O172">
        <v>0</v>
      </c>
      <c r="P172" s="2">
        <v>0</v>
      </c>
      <c r="Q172">
        <v>0</v>
      </c>
      <c r="R172">
        <v>0</v>
      </c>
      <c r="S172" s="2">
        <v>0</v>
      </c>
    </row>
    <row r="173" spans="1:19">
      <c r="A173" s="1">
        <v>895836420</v>
      </c>
      <c r="B173" t="s">
        <v>2735</v>
      </c>
      <c r="D173" t="s">
        <v>2548</v>
      </c>
      <c r="E173" t="s">
        <v>2556</v>
      </c>
      <c r="F173" t="s">
        <v>2966</v>
      </c>
      <c r="G173" t="b">
        <v>0</v>
      </c>
      <c r="H173">
        <v>2</v>
      </c>
      <c r="I173" t="s">
        <v>3363</v>
      </c>
      <c r="J173" s="2">
        <v>0</v>
      </c>
      <c r="K173">
        <v>0</v>
      </c>
      <c r="L173">
        <v>0</v>
      </c>
      <c r="M173" s="2">
        <v>0</v>
      </c>
      <c r="N173">
        <v>1</v>
      </c>
      <c r="O173">
        <v>0</v>
      </c>
      <c r="P173" s="2">
        <v>0</v>
      </c>
      <c r="Q173">
        <v>1</v>
      </c>
      <c r="R173">
        <v>0</v>
      </c>
      <c r="S173" s="2">
        <v>0</v>
      </c>
    </row>
    <row r="174" spans="1:19">
      <c r="A174" s="1">
        <v>924404957</v>
      </c>
      <c r="B174" t="s">
        <v>2736</v>
      </c>
      <c r="D174" t="s">
        <v>2548</v>
      </c>
      <c r="E174" t="s">
        <v>2556</v>
      </c>
      <c r="F174" t="s">
        <v>2968</v>
      </c>
      <c r="G174" t="b">
        <v>0</v>
      </c>
      <c r="H174">
        <v>3</v>
      </c>
      <c r="I174" t="s">
        <v>22</v>
      </c>
      <c r="J174" s="2">
        <v>0</v>
      </c>
      <c r="K174">
        <v>0</v>
      </c>
      <c r="L174">
        <v>0</v>
      </c>
      <c r="M174" s="2">
        <v>0</v>
      </c>
      <c r="N174">
        <v>3</v>
      </c>
      <c r="O174">
        <v>0</v>
      </c>
      <c r="P174" s="2">
        <v>0</v>
      </c>
      <c r="Q174">
        <v>0</v>
      </c>
      <c r="R174">
        <v>0</v>
      </c>
      <c r="S174" s="2">
        <v>0</v>
      </c>
    </row>
    <row r="175" spans="1:19">
      <c r="A175" s="1">
        <v>917947861</v>
      </c>
      <c r="B175" t="s">
        <v>2737</v>
      </c>
      <c r="D175" t="s">
        <v>2548</v>
      </c>
      <c r="E175" t="s">
        <v>2556</v>
      </c>
      <c r="F175" t="s">
        <v>2967</v>
      </c>
      <c r="G175" t="b">
        <v>0</v>
      </c>
      <c r="H175">
        <v>3</v>
      </c>
      <c r="I175" t="s">
        <v>22</v>
      </c>
      <c r="J175" s="2">
        <v>0</v>
      </c>
      <c r="K175">
        <v>0</v>
      </c>
      <c r="L175">
        <v>0</v>
      </c>
      <c r="M175" s="2">
        <v>0</v>
      </c>
      <c r="N175">
        <v>3</v>
      </c>
      <c r="O175">
        <v>0</v>
      </c>
      <c r="P175" s="2">
        <v>0</v>
      </c>
      <c r="Q175">
        <v>0</v>
      </c>
      <c r="R175">
        <v>0</v>
      </c>
      <c r="S175" s="2">
        <v>0</v>
      </c>
    </row>
    <row r="176" spans="1:19">
      <c r="A176" s="1">
        <v>893794861</v>
      </c>
      <c r="B176" t="s">
        <v>2738</v>
      </c>
      <c r="D176" t="s">
        <v>2548</v>
      </c>
      <c r="E176" t="s">
        <v>2556</v>
      </c>
      <c r="F176" t="s">
        <v>2967</v>
      </c>
      <c r="G176" t="b">
        <v>0</v>
      </c>
      <c r="H176">
        <v>1</v>
      </c>
      <c r="I176" t="s">
        <v>22</v>
      </c>
      <c r="J176" s="2">
        <v>0</v>
      </c>
      <c r="K176">
        <v>0</v>
      </c>
      <c r="L176">
        <v>0</v>
      </c>
      <c r="M176" s="2">
        <v>0</v>
      </c>
      <c r="N176">
        <v>1</v>
      </c>
      <c r="O176">
        <v>0</v>
      </c>
      <c r="P176" s="2">
        <v>0</v>
      </c>
      <c r="Q176">
        <v>0</v>
      </c>
      <c r="R176">
        <v>0</v>
      </c>
      <c r="S176" s="2">
        <v>0</v>
      </c>
    </row>
    <row r="177" spans="1:19">
      <c r="A177" s="1">
        <v>929100339</v>
      </c>
      <c r="B177" t="s">
        <v>2739</v>
      </c>
      <c r="C177" t="s">
        <v>2739</v>
      </c>
      <c r="D177" t="s">
        <v>2548</v>
      </c>
      <c r="E177" t="s">
        <v>2556</v>
      </c>
      <c r="F177" t="s">
        <v>2969</v>
      </c>
      <c r="G177" t="b">
        <v>0</v>
      </c>
      <c r="H177">
        <v>1</v>
      </c>
      <c r="I177" t="s">
        <v>22</v>
      </c>
      <c r="J177" s="2">
        <v>0</v>
      </c>
      <c r="K177">
        <v>0</v>
      </c>
      <c r="L177">
        <v>0</v>
      </c>
      <c r="M177" s="2">
        <v>0</v>
      </c>
      <c r="N177">
        <v>1</v>
      </c>
      <c r="O177">
        <v>0</v>
      </c>
      <c r="P177" s="2">
        <v>0</v>
      </c>
      <c r="Q177">
        <v>0</v>
      </c>
      <c r="R177">
        <v>0</v>
      </c>
      <c r="S177" s="2">
        <v>0</v>
      </c>
    </row>
    <row r="178" spans="1:19">
      <c r="A178" s="1">
        <v>983338374</v>
      </c>
      <c r="B178" t="s">
        <v>2740</v>
      </c>
      <c r="C178" t="s">
        <v>2933</v>
      </c>
      <c r="D178" t="s">
        <v>2548</v>
      </c>
      <c r="E178" t="s">
        <v>2556</v>
      </c>
      <c r="F178" t="s">
        <v>2969</v>
      </c>
      <c r="G178" t="b">
        <v>0</v>
      </c>
      <c r="H178">
        <v>2</v>
      </c>
      <c r="I178" t="s">
        <v>3363</v>
      </c>
      <c r="J178" s="2">
        <v>0</v>
      </c>
      <c r="K178">
        <v>0</v>
      </c>
      <c r="L178">
        <v>0</v>
      </c>
      <c r="M178" s="2">
        <v>0</v>
      </c>
      <c r="N178">
        <v>1</v>
      </c>
      <c r="O178">
        <v>0</v>
      </c>
      <c r="P178" s="2">
        <v>0</v>
      </c>
      <c r="Q178">
        <v>1</v>
      </c>
      <c r="R178">
        <v>0</v>
      </c>
      <c r="S178" s="2">
        <v>0</v>
      </c>
    </row>
    <row r="179" spans="1:19">
      <c r="A179" s="1">
        <v>931718951</v>
      </c>
      <c r="B179" t="s">
        <v>2741</v>
      </c>
      <c r="C179" t="s">
        <v>2741</v>
      </c>
      <c r="D179" t="s">
        <v>2548</v>
      </c>
      <c r="E179" t="s">
        <v>2556</v>
      </c>
      <c r="F179" t="s">
        <v>2967</v>
      </c>
      <c r="G179" t="b">
        <v>1</v>
      </c>
      <c r="H179">
        <v>1</v>
      </c>
      <c r="I179" t="s">
        <v>22</v>
      </c>
      <c r="J179" s="2">
        <v>944177.5</v>
      </c>
      <c r="K179">
        <v>0</v>
      </c>
      <c r="L179">
        <v>0</v>
      </c>
      <c r="M179" s="2">
        <v>0</v>
      </c>
      <c r="N179">
        <v>1</v>
      </c>
      <c r="O179">
        <v>1</v>
      </c>
      <c r="P179" s="2">
        <v>944177.5</v>
      </c>
      <c r="Q179">
        <v>0</v>
      </c>
      <c r="R179">
        <v>0</v>
      </c>
      <c r="S179" s="2">
        <v>0</v>
      </c>
    </row>
    <row r="180" spans="1:19">
      <c r="A180" s="1">
        <v>888896717</v>
      </c>
      <c r="B180" t="s">
        <v>2742</v>
      </c>
      <c r="D180" t="s">
        <v>2548</v>
      </c>
      <c r="E180" t="s">
        <v>2556</v>
      </c>
      <c r="F180" t="s">
        <v>2965</v>
      </c>
      <c r="G180" t="b">
        <v>0</v>
      </c>
      <c r="H180">
        <v>1</v>
      </c>
      <c r="I180" t="s">
        <v>22</v>
      </c>
      <c r="J180" s="2">
        <v>0</v>
      </c>
      <c r="K180">
        <v>0</v>
      </c>
      <c r="L180">
        <v>0</v>
      </c>
      <c r="M180" s="2">
        <v>0</v>
      </c>
      <c r="N180">
        <v>1</v>
      </c>
      <c r="O180">
        <v>0</v>
      </c>
      <c r="P180" s="2">
        <v>0</v>
      </c>
      <c r="Q180">
        <v>0</v>
      </c>
      <c r="R180">
        <v>0</v>
      </c>
      <c r="S180" s="2">
        <v>0</v>
      </c>
    </row>
    <row r="181" spans="1:19">
      <c r="A181" s="1">
        <v>918154762</v>
      </c>
      <c r="B181" t="s">
        <v>2743</v>
      </c>
      <c r="D181" t="s">
        <v>2548</v>
      </c>
      <c r="E181" t="s">
        <v>2556</v>
      </c>
      <c r="F181" t="s">
        <v>2967</v>
      </c>
      <c r="G181" t="b">
        <v>0</v>
      </c>
      <c r="H181">
        <v>1</v>
      </c>
      <c r="I181" t="s">
        <v>22</v>
      </c>
      <c r="J181" s="2">
        <v>0</v>
      </c>
      <c r="K181">
        <v>0</v>
      </c>
      <c r="L181">
        <v>0</v>
      </c>
      <c r="M181" s="2">
        <v>0</v>
      </c>
      <c r="N181">
        <v>1</v>
      </c>
      <c r="O181">
        <v>0</v>
      </c>
      <c r="P181" s="2">
        <v>0</v>
      </c>
      <c r="Q181">
        <v>0</v>
      </c>
      <c r="R181">
        <v>0</v>
      </c>
      <c r="S181" s="2">
        <v>0</v>
      </c>
    </row>
    <row r="182" spans="1:19">
      <c r="A182" s="1">
        <v>907988192</v>
      </c>
      <c r="B182" t="s">
        <v>2744</v>
      </c>
      <c r="C182" t="s">
        <v>2744</v>
      </c>
      <c r="D182" t="s">
        <v>2548</v>
      </c>
      <c r="E182" t="s">
        <v>2556</v>
      </c>
      <c r="F182" t="s">
        <v>2967</v>
      </c>
      <c r="G182" t="b">
        <v>0</v>
      </c>
      <c r="H182">
        <v>1</v>
      </c>
      <c r="I182" t="s">
        <v>22</v>
      </c>
      <c r="J182" s="2">
        <v>0</v>
      </c>
      <c r="K182">
        <v>0</v>
      </c>
      <c r="L182">
        <v>0</v>
      </c>
      <c r="M182" s="2">
        <v>0</v>
      </c>
      <c r="N182">
        <v>1</v>
      </c>
      <c r="O182">
        <v>0</v>
      </c>
      <c r="P182" s="2">
        <v>0</v>
      </c>
      <c r="Q182">
        <v>0</v>
      </c>
      <c r="R182">
        <v>0</v>
      </c>
      <c r="S182" s="2">
        <v>0</v>
      </c>
    </row>
    <row r="183" spans="1:19">
      <c r="A183" s="1">
        <v>897591538</v>
      </c>
      <c r="B183" t="s">
        <v>2745</v>
      </c>
      <c r="C183" t="s">
        <v>2745</v>
      </c>
      <c r="D183" t="s">
        <v>2548</v>
      </c>
      <c r="E183" t="s">
        <v>2556</v>
      </c>
      <c r="F183" t="s">
        <v>2967</v>
      </c>
      <c r="G183" t="b">
        <v>0</v>
      </c>
      <c r="H183">
        <v>1</v>
      </c>
      <c r="I183" t="s">
        <v>22</v>
      </c>
      <c r="J183" s="2">
        <v>0</v>
      </c>
      <c r="K183">
        <v>0</v>
      </c>
      <c r="L183">
        <v>0</v>
      </c>
      <c r="M183" s="2">
        <v>0</v>
      </c>
      <c r="N183">
        <v>1</v>
      </c>
      <c r="O183">
        <v>0</v>
      </c>
      <c r="P183" s="2">
        <v>0</v>
      </c>
      <c r="Q183">
        <v>0</v>
      </c>
      <c r="R183">
        <v>0</v>
      </c>
      <c r="S183" s="2">
        <v>0</v>
      </c>
    </row>
    <row r="184" spans="1:19">
      <c r="A184" s="1">
        <v>901976326</v>
      </c>
      <c r="B184" t="s">
        <v>2746</v>
      </c>
      <c r="C184" t="s">
        <v>2934</v>
      </c>
      <c r="D184" t="s">
        <v>2548</v>
      </c>
      <c r="E184" t="s">
        <v>2556</v>
      </c>
      <c r="F184" t="s">
        <v>2966</v>
      </c>
      <c r="G184" t="b">
        <v>0</v>
      </c>
      <c r="H184">
        <v>1</v>
      </c>
      <c r="I184" t="s">
        <v>22</v>
      </c>
      <c r="J184" s="2">
        <v>0</v>
      </c>
      <c r="K184">
        <v>0</v>
      </c>
      <c r="L184">
        <v>0</v>
      </c>
      <c r="M184" s="2">
        <v>0</v>
      </c>
      <c r="N184">
        <v>1</v>
      </c>
      <c r="O184">
        <v>0</v>
      </c>
      <c r="P184" s="2">
        <v>0</v>
      </c>
      <c r="Q184">
        <v>0</v>
      </c>
      <c r="R184">
        <v>0</v>
      </c>
      <c r="S184" s="2">
        <v>0</v>
      </c>
    </row>
    <row r="185" spans="1:19">
      <c r="A185" s="1">
        <v>919628968</v>
      </c>
      <c r="B185" t="s">
        <v>2747</v>
      </c>
      <c r="C185" t="s">
        <v>2935</v>
      </c>
      <c r="D185" t="s">
        <v>2548</v>
      </c>
      <c r="E185" t="s">
        <v>2556</v>
      </c>
      <c r="F185" t="s">
        <v>2969</v>
      </c>
      <c r="G185" t="b">
        <v>0</v>
      </c>
      <c r="H185">
        <v>1</v>
      </c>
      <c r="I185" t="s">
        <v>22</v>
      </c>
      <c r="J185" s="2">
        <v>0</v>
      </c>
      <c r="K185">
        <v>0</v>
      </c>
      <c r="L185">
        <v>0</v>
      </c>
      <c r="M185" s="2">
        <v>0</v>
      </c>
      <c r="N185">
        <v>1</v>
      </c>
      <c r="O185">
        <v>0</v>
      </c>
      <c r="P185" s="2">
        <v>0</v>
      </c>
      <c r="Q185">
        <v>0</v>
      </c>
      <c r="R185">
        <v>0</v>
      </c>
      <c r="S185" s="2">
        <v>0</v>
      </c>
    </row>
    <row r="186" spans="1:19">
      <c r="A186" s="1">
        <v>932863163</v>
      </c>
      <c r="B186" t="s">
        <v>2748</v>
      </c>
      <c r="D186" t="s">
        <v>2548</v>
      </c>
      <c r="E186" t="s">
        <v>2556</v>
      </c>
      <c r="F186" t="s">
        <v>2969</v>
      </c>
      <c r="G186" t="b">
        <v>0</v>
      </c>
      <c r="H186">
        <v>1</v>
      </c>
      <c r="I186" t="s">
        <v>22</v>
      </c>
      <c r="J186" s="2">
        <v>0</v>
      </c>
      <c r="K186">
        <v>0</v>
      </c>
      <c r="L186">
        <v>0</v>
      </c>
      <c r="M186" s="2">
        <v>0</v>
      </c>
      <c r="N186">
        <v>1</v>
      </c>
      <c r="O186">
        <v>0</v>
      </c>
      <c r="P186" s="2">
        <v>0</v>
      </c>
      <c r="Q186">
        <v>0</v>
      </c>
      <c r="R186">
        <v>0</v>
      </c>
      <c r="S186" s="2">
        <v>0</v>
      </c>
    </row>
    <row r="187" spans="1:19">
      <c r="A187" s="1">
        <v>901379194</v>
      </c>
      <c r="B187" t="s">
        <v>2749</v>
      </c>
      <c r="C187" t="s">
        <v>2749</v>
      </c>
      <c r="D187" t="s">
        <v>2548</v>
      </c>
      <c r="E187" t="s">
        <v>2556</v>
      </c>
      <c r="F187" t="s">
        <v>2969</v>
      </c>
      <c r="G187" t="b">
        <v>0</v>
      </c>
      <c r="H187">
        <v>1</v>
      </c>
      <c r="I187" t="s">
        <v>22</v>
      </c>
      <c r="J187" s="2">
        <v>0</v>
      </c>
      <c r="K187">
        <v>0</v>
      </c>
      <c r="L187">
        <v>0</v>
      </c>
      <c r="M187" s="2">
        <v>0</v>
      </c>
      <c r="N187">
        <v>1</v>
      </c>
      <c r="O187">
        <v>0</v>
      </c>
      <c r="P187" s="2">
        <v>0</v>
      </c>
      <c r="Q187">
        <v>0</v>
      </c>
      <c r="R187">
        <v>0</v>
      </c>
      <c r="S187" s="2">
        <v>0</v>
      </c>
    </row>
    <row r="188" spans="1:19">
      <c r="A188" s="1">
        <v>991429920</v>
      </c>
      <c r="B188" t="s">
        <v>2750</v>
      </c>
      <c r="D188" t="s">
        <v>2548</v>
      </c>
      <c r="E188" t="s">
        <v>2556</v>
      </c>
      <c r="F188" t="s">
        <v>2967</v>
      </c>
      <c r="H188">
        <v>1</v>
      </c>
      <c r="I188" t="s">
        <v>22</v>
      </c>
      <c r="J188" s="2">
        <v>0</v>
      </c>
      <c r="K188">
        <v>0</v>
      </c>
      <c r="L188">
        <v>0</v>
      </c>
      <c r="M188" s="2">
        <v>0</v>
      </c>
      <c r="N188">
        <v>1</v>
      </c>
      <c r="O188">
        <v>0</v>
      </c>
      <c r="P188" s="2">
        <v>0</v>
      </c>
      <c r="Q188">
        <v>0</v>
      </c>
      <c r="R188">
        <v>0</v>
      </c>
      <c r="S188" s="2">
        <v>0</v>
      </c>
    </row>
    <row r="189" spans="1:19">
      <c r="A189" s="1">
        <v>947660901</v>
      </c>
      <c r="B189" t="s">
        <v>2751</v>
      </c>
      <c r="C189" t="s">
        <v>2936</v>
      </c>
      <c r="D189" t="s">
        <v>2548</v>
      </c>
      <c r="E189" t="s">
        <v>2556</v>
      </c>
      <c r="F189" t="s">
        <v>2968</v>
      </c>
      <c r="G189" t="b">
        <v>0</v>
      </c>
      <c r="H189">
        <v>2</v>
      </c>
      <c r="I189" t="s">
        <v>22</v>
      </c>
      <c r="J189" s="2">
        <v>0</v>
      </c>
      <c r="K189">
        <v>0</v>
      </c>
      <c r="L189">
        <v>0</v>
      </c>
      <c r="M189" s="2">
        <v>0</v>
      </c>
      <c r="N189">
        <v>2</v>
      </c>
      <c r="O189">
        <v>0</v>
      </c>
      <c r="P189" s="2">
        <v>0</v>
      </c>
      <c r="Q189">
        <v>0</v>
      </c>
      <c r="R189">
        <v>0</v>
      </c>
      <c r="S189" s="2">
        <v>0</v>
      </c>
    </row>
    <row r="190" spans="1:19">
      <c r="A190" s="1">
        <v>898703643</v>
      </c>
      <c r="B190" t="s">
        <v>2752</v>
      </c>
      <c r="C190" t="s">
        <v>2937</v>
      </c>
      <c r="D190" t="s">
        <v>2548</v>
      </c>
      <c r="E190" t="s">
        <v>2556</v>
      </c>
      <c r="F190" t="s">
        <v>2968</v>
      </c>
      <c r="G190" t="b">
        <v>0</v>
      </c>
      <c r="H190">
        <v>2</v>
      </c>
      <c r="I190" t="s">
        <v>22</v>
      </c>
      <c r="J190" s="2">
        <v>0</v>
      </c>
      <c r="K190">
        <v>0</v>
      </c>
      <c r="L190">
        <v>0</v>
      </c>
      <c r="M190" s="2">
        <v>0</v>
      </c>
      <c r="N190">
        <v>2</v>
      </c>
      <c r="O190">
        <v>0</v>
      </c>
      <c r="P190" s="2">
        <v>0</v>
      </c>
      <c r="Q190">
        <v>0</v>
      </c>
      <c r="R190">
        <v>0</v>
      </c>
      <c r="S190" s="2">
        <v>0</v>
      </c>
    </row>
    <row r="191" spans="1:19">
      <c r="A191" s="1">
        <v>937307994</v>
      </c>
      <c r="B191" t="s">
        <v>2753</v>
      </c>
      <c r="C191" t="s">
        <v>2938</v>
      </c>
      <c r="D191" t="s">
        <v>2548</v>
      </c>
      <c r="E191" t="s">
        <v>2556</v>
      </c>
      <c r="F191" t="s">
        <v>2968</v>
      </c>
      <c r="G191" t="b">
        <v>0</v>
      </c>
      <c r="H191">
        <v>2</v>
      </c>
      <c r="I191" t="s">
        <v>3363</v>
      </c>
      <c r="J191" s="2">
        <v>13973.58</v>
      </c>
      <c r="K191">
        <v>0</v>
      </c>
      <c r="L191">
        <v>0</v>
      </c>
      <c r="M191" s="2">
        <v>0</v>
      </c>
      <c r="N191">
        <v>1</v>
      </c>
      <c r="O191">
        <v>1</v>
      </c>
      <c r="P191" s="2">
        <v>13973.58</v>
      </c>
      <c r="Q191">
        <v>1</v>
      </c>
      <c r="R191">
        <v>0</v>
      </c>
      <c r="S191" s="2">
        <v>0</v>
      </c>
    </row>
    <row r="192" spans="1:19">
      <c r="A192" s="1">
        <v>928609422</v>
      </c>
      <c r="B192" t="s">
        <v>2754</v>
      </c>
      <c r="C192" t="s">
        <v>2754</v>
      </c>
      <c r="D192" t="s">
        <v>2548</v>
      </c>
      <c r="E192" t="s">
        <v>2556</v>
      </c>
      <c r="F192" t="s">
        <v>2965</v>
      </c>
      <c r="G192" t="b">
        <v>0</v>
      </c>
      <c r="H192">
        <v>1</v>
      </c>
      <c r="I192" t="s">
        <v>22</v>
      </c>
      <c r="J192" s="2">
        <v>0</v>
      </c>
      <c r="K192">
        <v>0</v>
      </c>
      <c r="L192">
        <v>0</v>
      </c>
      <c r="M192" s="2">
        <v>0</v>
      </c>
      <c r="N192">
        <v>1</v>
      </c>
      <c r="O192">
        <v>0</v>
      </c>
      <c r="P192" s="2">
        <v>0</v>
      </c>
      <c r="Q192">
        <v>0</v>
      </c>
      <c r="R192">
        <v>0</v>
      </c>
      <c r="S192" s="2">
        <v>0</v>
      </c>
    </row>
    <row r="193" spans="1:19">
      <c r="A193" s="1">
        <v>888889730</v>
      </c>
      <c r="B193" t="s">
        <v>2755</v>
      </c>
      <c r="D193" t="s">
        <v>2548</v>
      </c>
      <c r="E193" t="s">
        <v>2556</v>
      </c>
      <c r="F193" t="s">
        <v>2967</v>
      </c>
      <c r="G193" t="b">
        <v>0</v>
      </c>
      <c r="H193">
        <v>1</v>
      </c>
      <c r="I193" t="s">
        <v>22</v>
      </c>
      <c r="J193" s="2">
        <v>0</v>
      </c>
      <c r="K193">
        <v>0</v>
      </c>
      <c r="L193">
        <v>0</v>
      </c>
      <c r="M193" s="2">
        <v>0</v>
      </c>
      <c r="N193">
        <v>1</v>
      </c>
      <c r="O193">
        <v>0</v>
      </c>
      <c r="P193" s="2">
        <v>0</v>
      </c>
      <c r="Q193">
        <v>0</v>
      </c>
      <c r="R193">
        <v>0</v>
      </c>
      <c r="S193" s="2">
        <v>0</v>
      </c>
    </row>
    <row r="194" spans="1:19">
      <c r="A194" s="1">
        <v>934946723</v>
      </c>
      <c r="B194" t="s">
        <v>2756</v>
      </c>
      <c r="C194" t="s">
        <v>2939</v>
      </c>
      <c r="D194" t="s">
        <v>2548</v>
      </c>
      <c r="E194" t="s">
        <v>2556</v>
      </c>
      <c r="F194" t="s">
        <v>2968</v>
      </c>
      <c r="G194" t="b">
        <v>0</v>
      </c>
      <c r="H194">
        <v>1</v>
      </c>
      <c r="I194" t="s">
        <v>22</v>
      </c>
      <c r="J194" s="2">
        <v>0</v>
      </c>
      <c r="K194">
        <v>0</v>
      </c>
      <c r="L194">
        <v>0</v>
      </c>
      <c r="M194" s="2">
        <v>0</v>
      </c>
      <c r="N194">
        <v>1</v>
      </c>
      <c r="O194">
        <v>0</v>
      </c>
      <c r="P194" s="2">
        <v>0</v>
      </c>
      <c r="Q194">
        <v>0</v>
      </c>
      <c r="R194">
        <v>0</v>
      </c>
      <c r="S194" s="2">
        <v>0</v>
      </c>
    </row>
    <row r="195" spans="1:19">
      <c r="A195" s="1">
        <v>984448442</v>
      </c>
      <c r="B195" t="s">
        <v>2757</v>
      </c>
      <c r="C195" t="s">
        <v>2940</v>
      </c>
      <c r="D195" t="s">
        <v>2549</v>
      </c>
      <c r="E195" t="s">
        <v>2557</v>
      </c>
      <c r="F195" t="s">
        <v>2966</v>
      </c>
      <c r="G195" t="b">
        <v>0</v>
      </c>
      <c r="H195">
        <v>1</v>
      </c>
      <c r="I195" t="s">
        <v>22</v>
      </c>
      <c r="J195" s="2">
        <v>0</v>
      </c>
      <c r="K195">
        <v>0</v>
      </c>
      <c r="L195">
        <v>0</v>
      </c>
      <c r="M195" s="2">
        <v>0</v>
      </c>
      <c r="N195">
        <v>1</v>
      </c>
      <c r="O195">
        <v>0</v>
      </c>
      <c r="P195" s="2">
        <v>0</v>
      </c>
      <c r="Q195">
        <v>0</v>
      </c>
      <c r="R195">
        <v>0</v>
      </c>
      <c r="S195" s="2">
        <v>0</v>
      </c>
    </row>
    <row r="196" spans="1:19">
      <c r="A196" s="1">
        <v>985658420</v>
      </c>
      <c r="B196" t="s">
        <v>2758</v>
      </c>
      <c r="D196" t="s">
        <v>2548</v>
      </c>
      <c r="E196" t="s">
        <v>2556</v>
      </c>
      <c r="F196" t="s">
        <v>2965</v>
      </c>
      <c r="G196" t="b">
        <v>0</v>
      </c>
      <c r="H196">
        <v>3</v>
      </c>
      <c r="I196" t="s">
        <v>3363</v>
      </c>
      <c r="J196" s="2">
        <v>0</v>
      </c>
      <c r="K196">
        <v>0</v>
      </c>
      <c r="L196">
        <v>0</v>
      </c>
      <c r="M196" s="2">
        <v>0</v>
      </c>
      <c r="N196">
        <v>2</v>
      </c>
      <c r="O196">
        <v>0</v>
      </c>
      <c r="P196" s="2">
        <v>0</v>
      </c>
      <c r="Q196">
        <v>1</v>
      </c>
      <c r="R196">
        <v>0</v>
      </c>
      <c r="S196" s="2">
        <v>0</v>
      </c>
    </row>
    <row r="197" spans="1:19">
      <c r="A197" s="1">
        <v>928277488</v>
      </c>
      <c r="B197" t="s">
        <v>2759</v>
      </c>
      <c r="C197" t="s">
        <v>2941</v>
      </c>
      <c r="D197" t="s">
        <v>2549</v>
      </c>
      <c r="E197" t="s">
        <v>2557</v>
      </c>
      <c r="F197" t="s">
        <v>2967</v>
      </c>
      <c r="G197" t="b">
        <v>1</v>
      </c>
      <c r="H197">
        <v>1</v>
      </c>
      <c r="I197" t="s">
        <v>22</v>
      </c>
      <c r="J197" s="2">
        <v>0</v>
      </c>
      <c r="K197">
        <v>0</v>
      </c>
      <c r="L197">
        <v>0</v>
      </c>
      <c r="M197" s="2">
        <v>0</v>
      </c>
      <c r="N197">
        <v>1</v>
      </c>
      <c r="O197">
        <v>0</v>
      </c>
      <c r="P197" s="2">
        <v>0</v>
      </c>
      <c r="Q197">
        <v>0</v>
      </c>
      <c r="R197">
        <v>0</v>
      </c>
      <c r="S197" s="2">
        <v>0</v>
      </c>
    </row>
    <row r="198" spans="1:19">
      <c r="A198" s="1">
        <v>951084225</v>
      </c>
      <c r="B198" t="s">
        <v>2760</v>
      </c>
      <c r="C198" t="s">
        <v>2942</v>
      </c>
      <c r="D198" t="s">
        <v>2548</v>
      </c>
      <c r="E198" t="s">
        <v>2556</v>
      </c>
      <c r="F198" t="s">
        <v>2966</v>
      </c>
      <c r="G198" t="b">
        <v>0</v>
      </c>
      <c r="H198">
        <v>1</v>
      </c>
      <c r="I198" t="s">
        <v>22</v>
      </c>
      <c r="J198" s="2">
        <v>0</v>
      </c>
      <c r="K198">
        <v>0</v>
      </c>
      <c r="L198">
        <v>0</v>
      </c>
      <c r="M198" s="2">
        <v>0</v>
      </c>
      <c r="N198">
        <v>1</v>
      </c>
      <c r="O198">
        <v>0</v>
      </c>
      <c r="P198" s="2">
        <v>0</v>
      </c>
      <c r="Q198">
        <v>0</v>
      </c>
      <c r="R198">
        <v>0</v>
      </c>
      <c r="S198" s="2">
        <v>0</v>
      </c>
    </row>
    <row r="199" spans="1:19">
      <c r="A199" s="1">
        <v>917340253</v>
      </c>
      <c r="B199" t="s">
        <v>2761</v>
      </c>
      <c r="C199" t="s">
        <v>2943</v>
      </c>
      <c r="D199" t="s">
        <v>2548</v>
      </c>
      <c r="E199" t="s">
        <v>2556</v>
      </c>
      <c r="F199" t="s">
        <v>2967</v>
      </c>
      <c r="G199" t="b">
        <v>0</v>
      </c>
      <c r="H199">
        <v>1</v>
      </c>
      <c r="I199" t="s">
        <v>22</v>
      </c>
      <c r="J199" s="2">
        <v>0</v>
      </c>
      <c r="K199">
        <v>0</v>
      </c>
      <c r="L199">
        <v>0</v>
      </c>
      <c r="M199" s="2">
        <v>0</v>
      </c>
      <c r="N199">
        <v>1</v>
      </c>
      <c r="O199">
        <v>0</v>
      </c>
      <c r="P199" s="2">
        <v>0</v>
      </c>
      <c r="Q199">
        <v>0</v>
      </c>
      <c r="R199">
        <v>0</v>
      </c>
      <c r="S199" s="2">
        <v>0</v>
      </c>
    </row>
    <row r="200" spans="1:19">
      <c r="A200" s="1">
        <v>915443903</v>
      </c>
      <c r="B200" t="s">
        <v>2762</v>
      </c>
      <c r="C200" t="s">
        <v>2944</v>
      </c>
      <c r="D200" t="s">
        <v>2548</v>
      </c>
      <c r="E200" t="s">
        <v>2556</v>
      </c>
      <c r="F200" t="s">
        <v>2967</v>
      </c>
      <c r="G200" t="b">
        <v>0</v>
      </c>
      <c r="H200">
        <v>1</v>
      </c>
      <c r="I200" t="s">
        <v>22</v>
      </c>
      <c r="J200" s="2">
        <v>0</v>
      </c>
      <c r="K200">
        <v>0</v>
      </c>
      <c r="L200">
        <v>0</v>
      </c>
      <c r="M200" s="2">
        <v>0</v>
      </c>
      <c r="N200">
        <v>1</v>
      </c>
      <c r="O200">
        <v>0</v>
      </c>
      <c r="P200" s="2">
        <v>0</v>
      </c>
      <c r="Q200">
        <v>0</v>
      </c>
      <c r="R200">
        <v>0</v>
      </c>
      <c r="S200" s="2">
        <v>0</v>
      </c>
    </row>
    <row r="201" spans="1:19">
      <c r="A201" s="1">
        <v>946871321</v>
      </c>
      <c r="B201" t="s">
        <v>2763</v>
      </c>
      <c r="C201" t="s">
        <v>2945</v>
      </c>
      <c r="D201" t="s">
        <v>2548</v>
      </c>
      <c r="E201" t="s">
        <v>2556</v>
      </c>
      <c r="F201" t="s">
        <v>2967</v>
      </c>
      <c r="G201" t="b">
        <v>0</v>
      </c>
      <c r="H201">
        <v>1</v>
      </c>
      <c r="I201" t="s">
        <v>22</v>
      </c>
      <c r="J201" s="2">
        <v>0</v>
      </c>
      <c r="K201">
        <v>0</v>
      </c>
      <c r="L201">
        <v>0</v>
      </c>
      <c r="M201" s="2">
        <v>0</v>
      </c>
      <c r="N201">
        <v>1</v>
      </c>
      <c r="O201">
        <v>0</v>
      </c>
      <c r="P201" s="2">
        <v>0</v>
      </c>
      <c r="Q201">
        <v>0</v>
      </c>
      <c r="R201">
        <v>0</v>
      </c>
      <c r="S201" s="2">
        <v>0</v>
      </c>
    </row>
    <row r="202" spans="1:19">
      <c r="A202" s="1">
        <v>919983794</v>
      </c>
      <c r="B202" t="s">
        <v>2764</v>
      </c>
      <c r="D202" t="s">
        <v>2548</v>
      </c>
      <c r="E202" t="s">
        <v>2556</v>
      </c>
      <c r="F202" t="s">
        <v>2969</v>
      </c>
      <c r="G202" t="b">
        <v>0</v>
      </c>
      <c r="H202">
        <v>1</v>
      </c>
      <c r="I202" t="s">
        <v>22</v>
      </c>
      <c r="J202" s="2">
        <v>0</v>
      </c>
      <c r="K202">
        <v>0</v>
      </c>
      <c r="L202">
        <v>0</v>
      </c>
      <c r="M202" s="2">
        <v>0</v>
      </c>
      <c r="N202">
        <v>1</v>
      </c>
      <c r="O202">
        <v>0</v>
      </c>
      <c r="P202" s="2">
        <v>0</v>
      </c>
      <c r="Q202">
        <v>0</v>
      </c>
      <c r="R202">
        <v>0</v>
      </c>
      <c r="S202" s="2">
        <v>0</v>
      </c>
    </row>
    <row r="203" spans="1:19">
      <c r="A203" s="1">
        <v>912845952</v>
      </c>
      <c r="B203" t="s">
        <v>2765</v>
      </c>
      <c r="C203" t="s">
        <v>2946</v>
      </c>
      <c r="D203" t="s">
        <v>2548</v>
      </c>
      <c r="E203" t="s">
        <v>2556</v>
      </c>
      <c r="F203" t="s">
        <v>2968</v>
      </c>
      <c r="G203" t="b">
        <v>0</v>
      </c>
      <c r="H203">
        <v>1</v>
      </c>
      <c r="I203" t="s">
        <v>22</v>
      </c>
      <c r="J203" s="2">
        <v>0</v>
      </c>
      <c r="K203">
        <v>0</v>
      </c>
      <c r="L203">
        <v>0</v>
      </c>
      <c r="M203" s="2">
        <v>0</v>
      </c>
      <c r="N203">
        <v>1</v>
      </c>
      <c r="O203">
        <v>0</v>
      </c>
      <c r="P203" s="2">
        <v>0</v>
      </c>
      <c r="Q203">
        <v>0</v>
      </c>
      <c r="R203">
        <v>0</v>
      </c>
      <c r="S203" s="2">
        <v>0</v>
      </c>
    </row>
    <row r="204" spans="1:19">
      <c r="A204" s="1">
        <v>900518319</v>
      </c>
      <c r="B204" t="s">
        <v>2766</v>
      </c>
      <c r="C204" t="s">
        <v>2947</v>
      </c>
      <c r="D204" t="s">
        <v>2548</v>
      </c>
      <c r="E204" t="s">
        <v>2556</v>
      </c>
      <c r="F204" t="s">
        <v>2968</v>
      </c>
      <c r="G204" t="b">
        <v>0</v>
      </c>
      <c r="H204">
        <v>1</v>
      </c>
      <c r="I204" t="s">
        <v>22</v>
      </c>
      <c r="J204" s="2">
        <v>104950</v>
      </c>
      <c r="K204">
        <v>0</v>
      </c>
      <c r="L204">
        <v>0</v>
      </c>
      <c r="M204" s="2">
        <v>0</v>
      </c>
      <c r="N204">
        <v>1</v>
      </c>
      <c r="O204">
        <v>1</v>
      </c>
      <c r="P204" s="2">
        <v>104950</v>
      </c>
      <c r="Q204">
        <v>0</v>
      </c>
      <c r="R204">
        <v>0</v>
      </c>
      <c r="S204" s="2">
        <v>0</v>
      </c>
    </row>
    <row r="205" spans="1:19">
      <c r="A205" s="1">
        <v>900608626</v>
      </c>
      <c r="B205" t="s">
        <v>2767</v>
      </c>
      <c r="D205" t="s">
        <v>2548</v>
      </c>
      <c r="E205" t="s">
        <v>2556</v>
      </c>
      <c r="F205" t="s">
        <v>2967</v>
      </c>
      <c r="G205" t="b">
        <v>0</v>
      </c>
      <c r="H205">
        <v>1</v>
      </c>
      <c r="I205" t="s">
        <v>22</v>
      </c>
      <c r="J205" s="2">
        <v>32760</v>
      </c>
      <c r="K205">
        <v>0</v>
      </c>
      <c r="L205">
        <v>0</v>
      </c>
      <c r="M205" s="2">
        <v>0</v>
      </c>
      <c r="N205">
        <v>1</v>
      </c>
      <c r="O205">
        <v>1</v>
      </c>
      <c r="P205" s="2">
        <v>32760</v>
      </c>
      <c r="Q205">
        <v>0</v>
      </c>
      <c r="R205">
        <v>0</v>
      </c>
      <c r="S205" s="2">
        <v>0</v>
      </c>
    </row>
    <row r="206" spans="1:19">
      <c r="A206" s="1">
        <v>919704919</v>
      </c>
      <c r="B206" t="s">
        <v>2768</v>
      </c>
      <c r="D206" t="s">
        <v>2548</v>
      </c>
      <c r="E206" t="s">
        <v>2556</v>
      </c>
      <c r="F206" t="s">
        <v>2965</v>
      </c>
      <c r="G206" t="b">
        <v>0</v>
      </c>
      <c r="H206">
        <v>3</v>
      </c>
      <c r="I206" t="s">
        <v>3363</v>
      </c>
      <c r="J206" s="2">
        <v>348878.15</v>
      </c>
      <c r="K206">
        <v>0</v>
      </c>
      <c r="L206">
        <v>0</v>
      </c>
      <c r="M206" s="2">
        <v>0</v>
      </c>
      <c r="N206">
        <v>2</v>
      </c>
      <c r="O206">
        <v>2</v>
      </c>
      <c r="P206" s="2">
        <v>250470.4</v>
      </c>
      <c r="Q206">
        <v>1</v>
      </c>
      <c r="R206">
        <v>1</v>
      </c>
      <c r="S206" s="2">
        <v>98407.75</v>
      </c>
    </row>
    <row r="207" spans="1:19">
      <c r="A207" s="1">
        <v>898157630</v>
      </c>
      <c r="B207" t="s">
        <v>2769</v>
      </c>
      <c r="D207" t="s">
        <v>2548</v>
      </c>
      <c r="E207" t="s">
        <v>2556</v>
      </c>
      <c r="F207" t="s">
        <v>2966</v>
      </c>
      <c r="G207" t="b">
        <v>0</v>
      </c>
      <c r="H207">
        <v>1</v>
      </c>
      <c r="I207" t="s">
        <v>22</v>
      </c>
      <c r="J207" s="2">
        <v>188372.78</v>
      </c>
      <c r="K207">
        <v>0</v>
      </c>
      <c r="L207">
        <v>0</v>
      </c>
      <c r="M207" s="2">
        <v>0</v>
      </c>
      <c r="N207">
        <v>1</v>
      </c>
      <c r="O207">
        <v>1</v>
      </c>
      <c r="P207" s="2">
        <v>188372.78</v>
      </c>
      <c r="Q207">
        <v>0</v>
      </c>
      <c r="R207">
        <v>0</v>
      </c>
      <c r="S207" s="2">
        <v>0</v>
      </c>
    </row>
    <row r="208" spans="1:19">
      <c r="A208" s="1">
        <v>908228946</v>
      </c>
      <c r="B208" t="s">
        <v>2770</v>
      </c>
      <c r="D208" t="s">
        <v>2548</v>
      </c>
      <c r="E208" t="s">
        <v>2556</v>
      </c>
      <c r="F208" t="s">
        <v>2968</v>
      </c>
      <c r="G208" t="b">
        <v>0</v>
      </c>
      <c r="H208">
        <v>1</v>
      </c>
      <c r="I208" t="s">
        <v>22</v>
      </c>
      <c r="J208" s="2">
        <v>1567142</v>
      </c>
      <c r="K208">
        <v>0</v>
      </c>
      <c r="L208">
        <v>0</v>
      </c>
      <c r="M208" s="2">
        <v>0</v>
      </c>
      <c r="N208">
        <v>1</v>
      </c>
      <c r="O208">
        <v>1</v>
      </c>
      <c r="P208" s="2">
        <v>1567142</v>
      </c>
      <c r="Q208">
        <v>0</v>
      </c>
      <c r="R208">
        <v>0</v>
      </c>
      <c r="S208" s="2">
        <v>0</v>
      </c>
    </row>
    <row r="209" spans="1:19">
      <c r="A209" s="1">
        <v>908829182</v>
      </c>
      <c r="B209" t="s">
        <v>2771</v>
      </c>
      <c r="C209" t="s">
        <v>2948</v>
      </c>
      <c r="D209" t="s">
        <v>2548</v>
      </c>
      <c r="E209" t="s">
        <v>2556</v>
      </c>
      <c r="F209" t="s">
        <v>2968</v>
      </c>
      <c r="G209" t="b">
        <v>0</v>
      </c>
      <c r="H209">
        <v>1</v>
      </c>
      <c r="I209" t="s">
        <v>22</v>
      </c>
      <c r="J209" s="2">
        <v>0</v>
      </c>
      <c r="K209">
        <v>0</v>
      </c>
      <c r="L209">
        <v>0</v>
      </c>
      <c r="M209" s="2">
        <v>0</v>
      </c>
      <c r="N209">
        <v>1</v>
      </c>
      <c r="O209">
        <v>0</v>
      </c>
      <c r="P209" s="2">
        <v>0</v>
      </c>
      <c r="Q209">
        <v>0</v>
      </c>
      <c r="R209">
        <v>0</v>
      </c>
      <c r="S209" s="2">
        <v>0</v>
      </c>
    </row>
    <row r="210" spans="1:19">
      <c r="A210" s="1">
        <v>896236060</v>
      </c>
      <c r="B210" t="s">
        <v>2772</v>
      </c>
      <c r="D210" t="s">
        <v>2548</v>
      </c>
      <c r="E210" t="s">
        <v>2556</v>
      </c>
      <c r="F210" t="s">
        <v>2969</v>
      </c>
      <c r="G210" t="b">
        <v>0</v>
      </c>
      <c r="H210">
        <v>1</v>
      </c>
      <c r="I210" t="s">
        <v>22</v>
      </c>
      <c r="J210" s="2">
        <v>0</v>
      </c>
      <c r="K210">
        <v>0</v>
      </c>
      <c r="L210">
        <v>0</v>
      </c>
      <c r="M210" s="2">
        <v>0</v>
      </c>
      <c r="N210">
        <v>1</v>
      </c>
      <c r="O210">
        <v>0</v>
      </c>
      <c r="P210" s="2">
        <v>0</v>
      </c>
      <c r="Q210">
        <v>0</v>
      </c>
      <c r="R210">
        <v>0</v>
      </c>
      <c r="S210" s="2">
        <v>0</v>
      </c>
    </row>
    <row r="211" spans="1:19">
      <c r="A211" s="1">
        <v>917241216</v>
      </c>
      <c r="B211" t="s">
        <v>2773</v>
      </c>
      <c r="C211" t="s">
        <v>2949</v>
      </c>
      <c r="D211" t="s">
        <v>2548</v>
      </c>
      <c r="E211" t="s">
        <v>2556</v>
      </c>
      <c r="F211" t="s">
        <v>2968</v>
      </c>
      <c r="G211" t="b">
        <v>0</v>
      </c>
      <c r="H211">
        <v>1</v>
      </c>
      <c r="I211" t="s">
        <v>22</v>
      </c>
      <c r="J211" s="2">
        <v>0</v>
      </c>
      <c r="K211">
        <v>0</v>
      </c>
      <c r="L211">
        <v>0</v>
      </c>
      <c r="M211" s="2">
        <v>0</v>
      </c>
      <c r="N211">
        <v>1</v>
      </c>
      <c r="O211">
        <v>0</v>
      </c>
      <c r="P211" s="2">
        <v>0</v>
      </c>
      <c r="Q211">
        <v>0</v>
      </c>
      <c r="R211">
        <v>0</v>
      </c>
      <c r="S211" s="2">
        <v>0</v>
      </c>
    </row>
    <row r="212" spans="1:19">
      <c r="A212" s="1">
        <v>911181432</v>
      </c>
      <c r="B212" t="s">
        <v>2774</v>
      </c>
      <c r="D212" t="s">
        <v>2548</v>
      </c>
      <c r="E212" t="s">
        <v>2556</v>
      </c>
      <c r="F212" t="s">
        <v>2966</v>
      </c>
      <c r="G212" t="b">
        <v>0</v>
      </c>
      <c r="H212">
        <v>3</v>
      </c>
      <c r="I212" t="s">
        <v>3363</v>
      </c>
      <c r="J212" s="2">
        <v>0</v>
      </c>
      <c r="K212">
        <v>0</v>
      </c>
      <c r="L212">
        <v>0</v>
      </c>
      <c r="M212" s="2">
        <v>0</v>
      </c>
      <c r="N212">
        <v>2</v>
      </c>
      <c r="O212">
        <v>0</v>
      </c>
      <c r="P212" s="2">
        <v>0</v>
      </c>
      <c r="Q212">
        <v>1</v>
      </c>
      <c r="R212">
        <v>0</v>
      </c>
      <c r="S212" s="2">
        <v>0</v>
      </c>
    </row>
    <row r="213" spans="1:19">
      <c r="A213" s="1">
        <v>951068026</v>
      </c>
      <c r="B213" t="s">
        <v>2775</v>
      </c>
      <c r="C213" t="s">
        <v>2950</v>
      </c>
      <c r="D213" t="s">
        <v>2548</v>
      </c>
      <c r="E213" t="s">
        <v>2556</v>
      </c>
      <c r="F213" t="s">
        <v>2966</v>
      </c>
      <c r="G213" t="b">
        <v>0</v>
      </c>
      <c r="H213">
        <v>1</v>
      </c>
      <c r="I213" t="s">
        <v>22</v>
      </c>
      <c r="J213" s="2">
        <v>0</v>
      </c>
      <c r="K213">
        <v>0</v>
      </c>
      <c r="L213">
        <v>0</v>
      </c>
      <c r="M213" s="2">
        <v>0</v>
      </c>
      <c r="N213">
        <v>1</v>
      </c>
      <c r="O213">
        <v>0</v>
      </c>
      <c r="P213" s="2">
        <v>0</v>
      </c>
      <c r="Q213">
        <v>0</v>
      </c>
      <c r="R213">
        <v>0</v>
      </c>
      <c r="S213" s="2">
        <v>0</v>
      </c>
    </row>
    <row r="214" spans="1:19">
      <c r="A214" s="1">
        <v>961046416</v>
      </c>
      <c r="B214" t="s">
        <v>2776</v>
      </c>
      <c r="D214" t="s">
        <v>2548</v>
      </c>
      <c r="E214" t="s">
        <v>2556</v>
      </c>
      <c r="F214" t="s">
        <v>2965</v>
      </c>
      <c r="G214" t="b">
        <v>0</v>
      </c>
      <c r="H214">
        <v>1</v>
      </c>
      <c r="I214" t="s">
        <v>22</v>
      </c>
      <c r="J214" s="2">
        <v>0</v>
      </c>
      <c r="K214">
        <v>0</v>
      </c>
      <c r="L214">
        <v>0</v>
      </c>
      <c r="M214" s="2">
        <v>0</v>
      </c>
      <c r="N214">
        <v>1</v>
      </c>
      <c r="O214">
        <v>0</v>
      </c>
      <c r="P214" s="2">
        <v>0</v>
      </c>
      <c r="Q214">
        <v>0</v>
      </c>
      <c r="R214">
        <v>0</v>
      </c>
      <c r="S214" s="2">
        <v>0</v>
      </c>
    </row>
    <row r="215" spans="1:19">
      <c r="A215" s="1">
        <v>892819332</v>
      </c>
      <c r="B215" t="s">
        <v>2777</v>
      </c>
      <c r="D215" t="s">
        <v>2548</v>
      </c>
      <c r="E215" t="s">
        <v>2556</v>
      </c>
      <c r="F215" t="s">
        <v>2967</v>
      </c>
      <c r="G215" t="b">
        <v>0</v>
      </c>
      <c r="H215">
        <v>2</v>
      </c>
      <c r="I215" t="s">
        <v>3363</v>
      </c>
      <c r="J215" s="2">
        <v>0</v>
      </c>
      <c r="K215">
        <v>0</v>
      </c>
      <c r="L215">
        <v>0</v>
      </c>
      <c r="M215" s="2">
        <v>0</v>
      </c>
      <c r="N215">
        <v>1</v>
      </c>
      <c r="O215">
        <v>0</v>
      </c>
      <c r="P215" s="2">
        <v>0</v>
      </c>
      <c r="Q215">
        <v>1</v>
      </c>
      <c r="R215">
        <v>0</v>
      </c>
      <c r="S215" s="2">
        <v>0</v>
      </c>
    </row>
    <row r="216" spans="1:19">
      <c r="A216" s="1">
        <v>923384614</v>
      </c>
      <c r="B216" t="s">
        <v>2778</v>
      </c>
      <c r="C216" t="s">
        <v>2951</v>
      </c>
      <c r="D216" t="s">
        <v>2548</v>
      </c>
      <c r="E216" t="s">
        <v>2556</v>
      </c>
      <c r="F216" t="s">
        <v>2969</v>
      </c>
      <c r="G216" t="b">
        <v>0</v>
      </c>
      <c r="H216">
        <v>2</v>
      </c>
      <c r="I216" t="s">
        <v>3363</v>
      </c>
      <c r="J216" s="2">
        <v>0</v>
      </c>
      <c r="K216">
        <v>0</v>
      </c>
      <c r="L216">
        <v>0</v>
      </c>
      <c r="M216" s="2">
        <v>0</v>
      </c>
      <c r="N216">
        <v>1</v>
      </c>
      <c r="O216">
        <v>0</v>
      </c>
      <c r="P216" s="2">
        <v>0</v>
      </c>
      <c r="Q216">
        <v>1</v>
      </c>
      <c r="R216">
        <v>0</v>
      </c>
      <c r="S216" s="2">
        <v>0</v>
      </c>
    </row>
    <row r="217" spans="1:19">
      <c r="A217" s="1">
        <v>880799674</v>
      </c>
      <c r="B217" t="s">
        <v>2779</v>
      </c>
      <c r="C217" t="s">
        <v>2952</v>
      </c>
      <c r="D217" t="s">
        <v>2548</v>
      </c>
      <c r="E217" t="s">
        <v>2556</v>
      </c>
      <c r="F217" t="s">
        <v>2969</v>
      </c>
      <c r="G217" t="b">
        <v>0</v>
      </c>
      <c r="H217">
        <v>1</v>
      </c>
      <c r="I217" t="s">
        <v>23</v>
      </c>
      <c r="J217" s="2">
        <v>0</v>
      </c>
      <c r="K217">
        <v>0</v>
      </c>
      <c r="L217">
        <v>0</v>
      </c>
      <c r="M217" s="2">
        <v>0</v>
      </c>
      <c r="N217">
        <v>0</v>
      </c>
      <c r="O217">
        <v>0</v>
      </c>
      <c r="P217" s="2">
        <v>0</v>
      </c>
      <c r="Q217">
        <v>1</v>
      </c>
      <c r="R217">
        <v>0</v>
      </c>
      <c r="S217" s="2">
        <v>0</v>
      </c>
    </row>
    <row r="218" spans="1:19">
      <c r="A218" s="1">
        <v>889741231</v>
      </c>
      <c r="B218" t="s">
        <v>2780</v>
      </c>
      <c r="C218" t="s">
        <v>2780</v>
      </c>
      <c r="D218" t="s">
        <v>2548</v>
      </c>
      <c r="E218" t="s">
        <v>2556</v>
      </c>
      <c r="F218" t="s">
        <v>2968</v>
      </c>
      <c r="G218" t="b">
        <v>0</v>
      </c>
      <c r="H218">
        <v>2</v>
      </c>
      <c r="I218" t="s">
        <v>23</v>
      </c>
      <c r="J218" s="2">
        <v>0</v>
      </c>
      <c r="K218">
        <v>0</v>
      </c>
      <c r="L218">
        <v>0</v>
      </c>
      <c r="M218" s="2">
        <v>0</v>
      </c>
      <c r="N218">
        <v>0</v>
      </c>
      <c r="O218">
        <v>0</v>
      </c>
      <c r="P218" s="2">
        <v>0</v>
      </c>
      <c r="Q218">
        <v>2</v>
      </c>
      <c r="R218">
        <v>0</v>
      </c>
      <c r="S218" s="2">
        <v>0</v>
      </c>
    </row>
    <row r="219" spans="1:19">
      <c r="A219" s="1">
        <v>882382229</v>
      </c>
      <c r="B219" t="s">
        <v>2781</v>
      </c>
      <c r="C219" t="s">
        <v>2781</v>
      </c>
      <c r="D219" t="s">
        <v>2548</v>
      </c>
      <c r="E219" t="s">
        <v>2556</v>
      </c>
      <c r="F219" t="s">
        <v>2967</v>
      </c>
      <c r="G219" t="b">
        <v>0</v>
      </c>
      <c r="H219">
        <v>1</v>
      </c>
      <c r="I219" t="s">
        <v>23</v>
      </c>
      <c r="J219" s="2">
        <v>0</v>
      </c>
      <c r="K219">
        <v>0</v>
      </c>
      <c r="L219">
        <v>0</v>
      </c>
      <c r="M219" s="2">
        <v>0</v>
      </c>
      <c r="N219">
        <v>0</v>
      </c>
      <c r="O219">
        <v>0</v>
      </c>
      <c r="P219" s="2">
        <v>0</v>
      </c>
      <c r="Q219">
        <v>1</v>
      </c>
      <c r="R219">
        <v>0</v>
      </c>
      <c r="S219" s="2">
        <v>0</v>
      </c>
    </row>
    <row r="220" spans="1:19">
      <c r="A220" s="1">
        <v>922122644</v>
      </c>
      <c r="B220" t="s">
        <v>2725</v>
      </c>
      <c r="C220" t="s">
        <v>2953</v>
      </c>
      <c r="D220" t="s">
        <v>2548</v>
      </c>
      <c r="E220" t="s">
        <v>2556</v>
      </c>
      <c r="F220" t="s">
        <v>2966</v>
      </c>
      <c r="G220" t="b">
        <v>0</v>
      </c>
      <c r="H220">
        <v>1</v>
      </c>
      <c r="I220" t="s">
        <v>23</v>
      </c>
      <c r="J220" s="2">
        <v>0</v>
      </c>
      <c r="K220">
        <v>0</v>
      </c>
      <c r="L220">
        <v>0</v>
      </c>
      <c r="M220" s="2">
        <v>0</v>
      </c>
      <c r="N220">
        <v>0</v>
      </c>
      <c r="O220">
        <v>0</v>
      </c>
      <c r="P220" s="2">
        <v>0</v>
      </c>
      <c r="Q220">
        <v>1</v>
      </c>
      <c r="R220">
        <v>0</v>
      </c>
      <c r="S220" s="2">
        <v>0</v>
      </c>
    </row>
    <row r="221" spans="1:19">
      <c r="A221" s="1">
        <v>889455469</v>
      </c>
      <c r="B221" t="s">
        <v>2782</v>
      </c>
      <c r="C221" t="s">
        <v>2782</v>
      </c>
      <c r="D221" t="s">
        <v>2548</v>
      </c>
      <c r="E221" t="s">
        <v>2556</v>
      </c>
      <c r="F221" t="s">
        <v>2968</v>
      </c>
      <c r="G221" t="b">
        <v>0</v>
      </c>
      <c r="H221">
        <v>1</v>
      </c>
      <c r="I221" t="s">
        <v>23</v>
      </c>
      <c r="J221" s="2">
        <v>0</v>
      </c>
      <c r="K221">
        <v>0</v>
      </c>
      <c r="L221">
        <v>0</v>
      </c>
      <c r="M221" s="2">
        <v>0</v>
      </c>
      <c r="N221">
        <v>0</v>
      </c>
      <c r="O221">
        <v>0</v>
      </c>
      <c r="P221" s="2">
        <v>0</v>
      </c>
      <c r="Q221">
        <v>1</v>
      </c>
      <c r="R221">
        <v>0</v>
      </c>
      <c r="S221" s="2">
        <v>0</v>
      </c>
    </row>
    <row r="222" spans="1:19">
      <c r="A222" s="1">
        <v>887969332</v>
      </c>
      <c r="B222" t="s">
        <v>2783</v>
      </c>
      <c r="C222" t="s">
        <v>2783</v>
      </c>
      <c r="D222" t="s">
        <v>2548</v>
      </c>
      <c r="E222" t="s">
        <v>2556</v>
      </c>
      <c r="F222" t="s">
        <v>2967</v>
      </c>
      <c r="G222" t="b">
        <v>0</v>
      </c>
      <c r="H222">
        <v>1</v>
      </c>
      <c r="I222" t="s">
        <v>23</v>
      </c>
      <c r="J222" s="2">
        <v>0</v>
      </c>
      <c r="K222">
        <v>0</v>
      </c>
      <c r="L222">
        <v>0</v>
      </c>
      <c r="M222" s="2">
        <v>0</v>
      </c>
      <c r="N222">
        <v>0</v>
      </c>
      <c r="O222">
        <v>0</v>
      </c>
      <c r="P222" s="2">
        <v>0</v>
      </c>
      <c r="Q222">
        <v>1</v>
      </c>
      <c r="R222">
        <v>0</v>
      </c>
      <c r="S222" s="2">
        <v>0</v>
      </c>
    </row>
    <row r="223" spans="1:19">
      <c r="A223" s="1">
        <v>899059730</v>
      </c>
      <c r="B223" t="s">
        <v>2784</v>
      </c>
      <c r="C223" t="s">
        <v>2954</v>
      </c>
      <c r="D223" t="s">
        <v>2548</v>
      </c>
      <c r="E223" t="s">
        <v>2556</v>
      </c>
      <c r="F223" t="s">
        <v>2968</v>
      </c>
      <c r="G223" t="b">
        <v>0</v>
      </c>
      <c r="H223">
        <v>1</v>
      </c>
      <c r="I223" t="s">
        <v>23</v>
      </c>
      <c r="J223" s="2">
        <v>99125</v>
      </c>
      <c r="K223">
        <v>0</v>
      </c>
      <c r="L223">
        <v>0</v>
      </c>
      <c r="M223" s="2">
        <v>0</v>
      </c>
      <c r="N223">
        <v>0</v>
      </c>
      <c r="O223">
        <v>0</v>
      </c>
      <c r="P223" s="2">
        <v>0</v>
      </c>
      <c r="Q223">
        <v>1</v>
      </c>
      <c r="R223">
        <v>1</v>
      </c>
      <c r="S223" s="2">
        <v>99125</v>
      </c>
    </row>
    <row r="224" spans="1:19">
      <c r="A224" s="1">
        <v>889747439</v>
      </c>
      <c r="B224" t="s">
        <v>2785</v>
      </c>
      <c r="D224" t="s">
        <v>2548</v>
      </c>
      <c r="E224" t="s">
        <v>2556</v>
      </c>
      <c r="F224" t="s">
        <v>2967</v>
      </c>
      <c r="G224" t="b">
        <v>0</v>
      </c>
      <c r="H224">
        <v>1</v>
      </c>
      <c r="I224" t="s">
        <v>23</v>
      </c>
      <c r="J224" s="2">
        <v>137500</v>
      </c>
      <c r="K224">
        <v>0</v>
      </c>
      <c r="L224">
        <v>0</v>
      </c>
      <c r="M224" s="2">
        <v>0</v>
      </c>
      <c r="N224">
        <v>0</v>
      </c>
      <c r="O224">
        <v>0</v>
      </c>
      <c r="P224" s="2">
        <v>0</v>
      </c>
      <c r="Q224">
        <v>1</v>
      </c>
      <c r="R224">
        <v>1</v>
      </c>
      <c r="S224" s="2">
        <v>137500</v>
      </c>
    </row>
    <row r="225" spans="1:19">
      <c r="A225" s="1">
        <v>882327909</v>
      </c>
      <c r="B225" t="s">
        <v>2786</v>
      </c>
      <c r="D225" t="s">
        <v>2554</v>
      </c>
      <c r="E225" t="s">
        <v>2562</v>
      </c>
      <c r="F225" t="s">
        <v>2967</v>
      </c>
      <c r="G225" t="b">
        <v>0</v>
      </c>
      <c r="H225">
        <v>1</v>
      </c>
      <c r="I225" t="s">
        <v>23</v>
      </c>
      <c r="J225" s="2">
        <v>4765775</v>
      </c>
      <c r="K225">
        <v>0</v>
      </c>
      <c r="L225">
        <v>0</v>
      </c>
      <c r="M225" s="2">
        <v>0</v>
      </c>
      <c r="N225">
        <v>0</v>
      </c>
      <c r="O225">
        <v>0</v>
      </c>
      <c r="P225" s="2">
        <v>0</v>
      </c>
      <c r="Q225">
        <v>1</v>
      </c>
      <c r="R225">
        <v>1</v>
      </c>
      <c r="S225" s="2">
        <v>4765775</v>
      </c>
    </row>
    <row r="226" spans="1:19">
      <c r="A226" s="1">
        <v>888621269</v>
      </c>
      <c r="B226" t="s">
        <v>2787</v>
      </c>
      <c r="C226" t="s">
        <v>2955</v>
      </c>
      <c r="D226" t="s">
        <v>2548</v>
      </c>
      <c r="E226" t="s">
        <v>2556</v>
      </c>
      <c r="F226" t="s">
        <v>2966</v>
      </c>
      <c r="G226" t="b">
        <v>1</v>
      </c>
      <c r="H226">
        <v>1</v>
      </c>
      <c r="I226" t="s">
        <v>23</v>
      </c>
      <c r="J226" s="2">
        <v>0</v>
      </c>
      <c r="K226">
        <v>0</v>
      </c>
      <c r="L226">
        <v>0</v>
      </c>
      <c r="M226" s="2">
        <v>0</v>
      </c>
      <c r="N226">
        <v>0</v>
      </c>
      <c r="O226">
        <v>0</v>
      </c>
      <c r="P226" s="2">
        <v>0</v>
      </c>
      <c r="Q226">
        <v>1</v>
      </c>
      <c r="R226">
        <v>0</v>
      </c>
      <c r="S226" s="2">
        <v>0</v>
      </c>
    </row>
    <row r="227" spans="1:19">
      <c r="A227" s="1">
        <v>884493143</v>
      </c>
      <c r="B227" t="s">
        <v>2788</v>
      </c>
      <c r="C227" t="s">
        <v>2956</v>
      </c>
      <c r="D227" t="s">
        <v>2548</v>
      </c>
      <c r="E227" t="s">
        <v>2556</v>
      </c>
      <c r="F227" t="s">
        <v>2967</v>
      </c>
      <c r="G227" t="b">
        <v>0</v>
      </c>
      <c r="H227">
        <v>1</v>
      </c>
      <c r="I227" t="s">
        <v>23</v>
      </c>
      <c r="J227" s="2">
        <v>0</v>
      </c>
      <c r="K227">
        <v>0</v>
      </c>
      <c r="L227">
        <v>0</v>
      </c>
      <c r="M227" s="2">
        <v>0</v>
      </c>
      <c r="N227">
        <v>0</v>
      </c>
      <c r="O227">
        <v>0</v>
      </c>
      <c r="P227" s="2">
        <v>0</v>
      </c>
      <c r="Q227">
        <v>1</v>
      </c>
      <c r="R227">
        <v>0</v>
      </c>
      <c r="S227" s="2">
        <v>0</v>
      </c>
    </row>
    <row r="228" spans="1:19">
      <c r="A228" s="1">
        <v>889338875</v>
      </c>
      <c r="B228" t="s">
        <v>2789</v>
      </c>
      <c r="C228" t="s">
        <v>2789</v>
      </c>
      <c r="D228" t="s">
        <v>2548</v>
      </c>
      <c r="E228" t="s">
        <v>2556</v>
      </c>
      <c r="F228" t="s">
        <v>2966</v>
      </c>
      <c r="G228" t="b">
        <v>0</v>
      </c>
      <c r="H228">
        <v>1</v>
      </c>
      <c r="I228" t="s">
        <v>23</v>
      </c>
      <c r="J228" s="2">
        <v>0</v>
      </c>
      <c r="K228">
        <v>0</v>
      </c>
      <c r="L228">
        <v>0</v>
      </c>
      <c r="M228" s="2">
        <v>0</v>
      </c>
      <c r="N228">
        <v>0</v>
      </c>
      <c r="O228">
        <v>0</v>
      </c>
      <c r="P228" s="2">
        <v>0</v>
      </c>
      <c r="Q228">
        <v>1</v>
      </c>
      <c r="R228">
        <v>0</v>
      </c>
      <c r="S228" s="2">
        <v>0</v>
      </c>
    </row>
    <row r="229" spans="1:19">
      <c r="A229" s="1">
        <v>915701050</v>
      </c>
      <c r="B229" t="s">
        <v>2790</v>
      </c>
      <c r="C229" t="s">
        <v>2790</v>
      </c>
      <c r="D229" t="s">
        <v>2548</v>
      </c>
      <c r="E229" t="s">
        <v>2556</v>
      </c>
      <c r="F229" t="s">
        <v>2969</v>
      </c>
      <c r="G229" t="b">
        <v>0</v>
      </c>
      <c r="H229">
        <v>1</v>
      </c>
      <c r="I229" t="s">
        <v>23</v>
      </c>
      <c r="J229" s="2">
        <v>0</v>
      </c>
      <c r="K229">
        <v>0</v>
      </c>
      <c r="L229">
        <v>0</v>
      </c>
      <c r="M229" s="2">
        <v>0</v>
      </c>
      <c r="N229">
        <v>0</v>
      </c>
      <c r="O229">
        <v>0</v>
      </c>
      <c r="P229" s="2">
        <v>0</v>
      </c>
      <c r="Q229">
        <v>1</v>
      </c>
      <c r="R229">
        <v>0</v>
      </c>
      <c r="S229" s="2">
        <v>0</v>
      </c>
    </row>
    <row r="230" spans="1:19">
      <c r="A230" s="1">
        <v>889656453</v>
      </c>
      <c r="B230" t="s">
        <v>2791</v>
      </c>
      <c r="C230" t="s">
        <v>2957</v>
      </c>
      <c r="D230" t="s">
        <v>2548</v>
      </c>
      <c r="E230" t="s">
        <v>2556</v>
      </c>
      <c r="F230" t="s">
        <v>2966</v>
      </c>
      <c r="G230" t="b">
        <v>0</v>
      </c>
      <c r="H230">
        <v>1</v>
      </c>
      <c r="I230" t="s">
        <v>23</v>
      </c>
      <c r="J230" s="2">
        <v>0</v>
      </c>
      <c r="K230">
        <v>0</v>
      </c>
      <c r="L230">
        <v>0</v>
      </c>
      <c r="M230" s="2">
        <v>0</v>
      </c>
      <c r="N230">
        <v>0</v>
      </c>
      <c r="O230">
        <v>0</v>
      </c>
      <c r="P230" s="2">
        <v>0</v>
      </c>
      <c r="Q230">
        <v>1</v>
      </c>
      <c r="R230">
        <v>0</v>
      </c>
      <c r="S230" s="2">
        <v>0</v>
      </c>
    </row>
    <row r="231" spans="1:19">
      <c r="A231" s="1">
        <v>898213114</v>
      </c>
      <c r="B231" t="s">
        <v>2792</v>
      </c>
      <c r="D231" t="s">
        <v>2548</v>
      </c>
      <c r="E231" t="s">
        <v>2556</v>
      </c>
      <c r="F231" t="s">
        <v>2969</v>
      </c>
      <c r="G231" t="b">
        <v>0</v>
      </c>
      <c r="H231">
        <v>1</v>
      </c>
      <c r="I231" t="s">
        <v>23</v>
      </c>
      <c r="J231" s="2">
        <v>0</v>
      </c>
      <c r="K231">
        <v>0</v>
      </c>
      <c r="L231">
        <v>0</v>
      </c>
      <c r="M231" s="2">
        <v>0</v>
      </c>
      <c r="N231">
        <v>0</v>
      </c>
      <c r="O231">
        <v>0</v>
      </c>
      <c r="P231" s="2">
        <v>0</v>
      </c>
      <c r="Q231">
        <v>1</v>
      </c>
      <c r="R231">
        <v>0</v>
      </c>
      <c r="S231" s="2">
        <v>0</v>
      </c>
    </row>
    <row r="232" spans="1:19">
      <c r="A232" s="1">
        <v>903874616</v>
      </c>
      <c r="B232" t="s">
        <v>2793</v>
      </c>
      <c r="D232" t="s">
        <v>2548</v>
      </c>
      <c r="E232" t="s">
        <v>2556</v>
      </c>
      <c r="F232" t="s">
        <v>2966</v>
      </c>
      <c r="G232" t="b">
        <v>1</v>
      </c>
      <c r="H232">
        <v>1</v>
      </c>
      <c r="I232" t="s">
        <v>23</v>
      </c>
      <c r="J232" s="2">
        <v>0</v>
      </c>
      <c r="K232">
        <v>0</v>
      </c>
      <c r="L232">
        <v>0</v>
      </c>
      <c r="M232" s="2">
        <v>0</v>
      </c>
      <c r="N232">
        <v>0</v>
      </c>
      <c r="O232">
        <v>0</v>
      </c>
      <c r="P232" s="2">
        <v>0</v>
      </c>
      <c r="Q232">
        <v>1</v>
      </c>
      <c r="R232">
        <v>0</v>
      </c>
      <c r="S232" s="2">
        <v>0</v>
      </c>
    </row>
    <row r="233" spans="1:19">
      <c r="A233" s="1">
        <v>922348072</v>
      </c>
      <c r="B233" t="s">
        <v>2794</v>
      </c>
      <c r="C233" t="s">
        <v>2958</v>
      </c>
      <c r="D233" t="s">
        <v>2548</v>
      </c>
      <c r="E233" t="s">
        <v>2556</v>
      </c>
      <c r="F233" t="s">
        <v>2967</v>
      </c>
      <c r="G233" t="b">
        <v>0</v>
      </c>
      <c r="H233">
        <v>1</v>
      </c>
      <c r="I233" t="s">
        <v>23</v>
      </c>
      <c r="J233" s="2">
        <v>0</v>
      </c>
      <c r="K233">
        <v>0</v>
      </c>
      <c r="L233">
        <v>0</v>
      </c>
      <c r="M233" s="2">
        <v>0</v>
      </c>
      <c r="N233">
        <v>0</v>
      </c>
      <c r="O233">
        <v>0</v>
      </c>
      <c r="P233" s="2">
        <v>0</v>
      </c>
      <c r="Q233">
        <v>1</v>
      </c>
      <c r="R233">
        <v>0</v>
      </c>
      <c r="S233" s="2">
        <v>0</v>
      </c>
    </row>
    <row r="234" spans="1:19">
      <c r="A234" s="1">
        <v>889083377</v>
      </c>
      <c r="B234" t="s">
        <v>2795</v>
      </c>
      <c r="C234" t="s">
        <v>2795</v>
      </c>
      <c r="D234" t="s">
        <v>2548</v>
      </c>
      <c r="E234" t="s">
        <v>2556</v>
      </c>
      <c r="F234" t="s">
        <v>2965</v>
      </c>
      <c r="G234" t="b">
        <v>1</v>
      </c>
      <c r="H234">
        <v>1</v>
      </c>
      <c r="I234" t="s">
        <v>23</v>
      </c>
      <c r="J234" s="2">
        <v>0</v>
      </c>
      <c r="K234">
        <v>0</v>
      </c>
      <c r="L234">
        <v>0</v>
      </c>
      <c r="M234" s="2">
        <v>0</v>
      </c>
      <c r="N234">
        <v>0</v>
      </c>
      <c r="O234">
        <v>0</v>
      </c>
      <c r="P234" s="2">
        <v>0</v>
      </c>
      <c r="Q234">
        <v>1</v>
      </c>
      <c r="R234">
        <v>0</v>
      </c>
      <c r="S234" s="2">
        <v>0</v>
      </c>
    </row>
    <row r="235" spans="1:19">
      <c r="A235" s="1">
        <v>883456310</v>
      </c>
      <c r="B235" t="s">
        <v>2796</v>
      </c>
      <c r="C235" t="s">
        <v>2959</v>
      </c>
      <c r="D235" t="s">
        <v>2548</v>
      </c>
      <c r="E235" t="s">
        <v>2556</v>
      </c>
      <c r="F235" t="s">
        <v>2969</v>
      </c>
      <c r="G235" t="b">
        <v>0</v>
      </c>
      <c r="H235">
        <v>1</v>
      </c>
      <c r="I235" t="s">
        <v>23</v>
      </c>
      <c r="J235" s="2">
        <v>0</v>
      </c>
      <c r="K235">
        <v>0</v>
      </c>
      <c r="L235">
        <v>0</v>
      </c>
      <c r="M235" s="2">
        <v>0</v>
      </c>
      <c r="N235">
        <v>0</v>
      </c>
      <c r="O235">
        <v>0</v>
      </c>
      <c r="P235" s="2">
        <v>0</v>
      </c>
      <c r="Q235">
        <v>1</v>
      </c>
      <c r="R235">
        <v>0</v>
      </c>
      <c r="S235" s="2">
        <v>0</v>
      </c>
    </row>
    <row r="236" spans="1:19">
      <c r="A236" s="1">
        <v>888561905</v>
      </c>
      <c r="B236" t="s">
        <v>2797</v>
      </c>
      <c r="D236" t="s">
        <v>2550</v>
      </c>
      <c r="E236" t="s">
        <v>2558</v>
      </c>
      <c r="F236" t="s">
        <v>2968</v>
      </c>
      <c r="G236" t="b">
        <v>0</v>
      </c>
      <c r="H236">
        <v>1</v>
      </c>
      <c r="I236" t="s">
        <v>23</v>
      </c>
      <c r="J236" s="2">
        <v>0</v>
      </c>
      <c r="K236">
        <v>0</v>
      </c>
      <c r="L236">
        <v>0</v>
      </c>
      <c r="M236" s="2">
        <v>0</v>
      </c>
      <c r="N236">
        <v>0</v>
      </c>
      <c r="O236">
        <v>0</v>
      </c>
      <c r="P236" s="2">
        <v>0</v>
      </c>
      <c r="Q236">
        <v>1</v>
      </c>
      <c r="R236">
        <v>0</v>
      </c>
      <c r="S236" s="2">
        <v>0</v>
      </c>
    </row>
    <row r="237" spans="1:19">
      <c r="A237" s="1">
        <v>884980665</v>
      </c>
      <c r="B237" t="s">
        <v>2798</v>
      </c>
      <c r="C237" t="s">
        <v>2798</v>
      </c>
      <c r="D237" t="s">
        <v>2548</v>
      </c>
      <c r="E237" t="s">
        <v>2556</v>
      </c>
      <c r="F237" t="s">
        <v>2965</v>
      </c>
      <c r="G237" t="b">
        <v>0</v>
      </c>
      <c r="H237">
        <v>1</v>
      </c>
      <c r="I237" t="s">
        <v>23</v>
      </c>
      <c r="J237" s="2">
        <v>0</v>
      </c>
      <c r="K237">
        <v>0</v>
      </c>
      <c r="L237">
        <v>0</v>
      </c>
      <c r="M237" s="2">
        <v>0</v>
      </c>
      <c r="N237">
        <v>0</v>
      </c>
      <c r="O237">
        <v>0</v>
      </c>
      <c r="P237" s="2">
        <v>0</v>
      </c>
      <c r="Q237">
        <v>1</v>
      </c>
      <c r="R237">
        <v>0</v>
      </c>
      <c r="S237" s="2">
        <v>0</v>
      </c>
    </row>
    <row r="238" spans="1:19">
      <c r="A238" s="1">
        <v>885199982</v>
      </c>
      <c r="B238" t="s">
        <v>2799</v>
      </c>
      <c r="C238" t="s">
        <v>2799</v>
      </c>
      <c r="D238" t="s">
        <v>2548</v>
      </c>
      <c r="E238" t="s">
        <v>2556</v>
      </c>
      <c r="F238" t="s">
        <v>2966</v>
      </c>
      <c r="G238" t="b">
        <v>0</v>
      </c>
      <c r="H238">
        <v>1</v>
      </c>
      <c r="I238" t="s">
        <v>23</v>
      </c>
      <c r="J238" s="2">
        <v>0</v>
      </c>
      <c r="K238">
        <v>0</v>
      </c>
      <c r="L238">
        <v>0</v>
      </c>
      <c r="M238" s="2">
        <v>0</v>
      </c>
      <c r="N238">
        <v>0</v>
      </c>
      <c r="O238">
        <v>0</v>
      </c>
      <c r="P238" s="2">
        <v>0</v>
      </c>
      <c r="Q238">
        <v>1</v>
      </c>
      <c r="R238">
        <v>0</v>
      </c>
      <c r="S238" s="2">
        <v>0</v>
      </c>
    </row>
    <row r="239" spans="1:19">
      <c r="A239" s="1">
        <v>986245755</v>
      </c>
      <c r="B239" t="s">
        <v>2800</v>
      </c>
      <c r="D239" t="s">
        <v>2548</v>
      </c>
      <c r="E239" t="s">
        <v>2556</v>
      </c>
      <c r="F239" t="s">
        <v>2965</v>
      </c>
      <c r="G239" t="b">
        <v>0</v>
      </c>
      <c r="H239">
        <v>1</v>
      </c>
      <c r="I239" t="s">
        <v>23</v>
      </c>
      <c r="J239" s="2">
        <v>0</v>
      </c>
      <c r="K239">
        <v>0</v>
      </c>
      <c r="L239">
        <v>0</v>
      </c>
      <c r="M239" s="2">
        <v>0</v>
      </c>
      <c r="N239">
        <v>0</v>
      </c>
      <c r="O239">
        <v>0</v>
      </c>
      <c r="P239" s="2">
        <v>0</v>
      </c>
      <c r="Q239">
        <v>1</v>
      </c>
      <c r="R239">
        <v>0</v>
      </c>
      <c r="S239" s="2">
        <v>0</v>
      </c>
    </row>
    <row r="240" spans="1:19">
      <c r="A240" s="1">
        <v>884379265</v>
      </c>
      <c r="B240" t="s">
        <v>2801</v>
      </c>
      <c r="C240" t="s">
        <v>2960</v>
      </c>
      <c r="D240" t="s">
        <v>2548</v>
      </c>
      <c r="E240" t="s">
        <v>2556</v>
      </c>
      <c r="F240" t="s">
        <v>2968</v>
      </c>
      <c r="G240" t="b">
        <v>1</v>
      </c>
      <c r="H240">
        <v>1</v>
      </c>
      <c r="I240" t="s">
        <v>23</v>
      </c>
      <c r="J240" s="2">
        <v>0</v>
      </c>
      <c r="K240">
        <v>0</v>
      </c>
      <c r="L240">
        <v>0</v>
      </c>
      <c r="M240" s="2">
        <v>0</v>
      </c>
      <c r="N240">
        <v>0</v>
      </c>
      <c r="O240">
        <v>0</v>
      </c>
      <c r="P240" s="2">
        <v>0</v>
      </c>
      <c r="Q240">
        <v>1</v>
      </c>
      <c r="R240">
        <v>0</v>
      </c>
      <c r="S240" s="2">
        <v>0</v>
      </c>
    </row>
    <row r="241" spans="1:19">
      <c r="A241" s="1">
        <v>889397657</v>
      </c>
      <c r="B241" t="s">
        <v>2802</v>
      </c>
      <c r="C241" t="s">
        <v>2961</v>
      </c>
      <c r="D241" t="s">
        <v>2549</v>
      </c>
      <c r="E241" t="s">
        <v>2557</v>
      </c>
      <c r="F241" t="s">
        <v>2967</v>
      </c>
      <c r="G241" t="b">
        <v>0</v>
      </c>
      <c r="H241">
        <v>1</v>
      </c>
      <c r="I241" t="s">
        <v>23</v>
      </c>
      <c r="J241" s="2">
        <v>150000</v>
      </c>
      <c r="K241">
        <v>0</v>
      </c>
      <c r="L241">
        <v>0</v>
      </c>
      <c r="M241" s="2">
        <v>0</v>
      </c>
      <c r="N241">
        <v>0</v>
      </c>
      <c r="O241">
        <v>0</v>
      </c>
      <c r="P241" s="2">
        <v>0</v>
      </c>
      <c r="Q241">
        <v>1</v>
      </c>
      <c r="R241">
        <v>1</v>
      </c>
      <c r="S241" s="2">
        <v>150000</v>
      </c>
    </row>
    <row r="242" spans="1:19">
      <c r="A242" s="1">
        <v>921275543</v>
      </c>
      <c r="B242" t="s">
        <v>2803</v>
      </c>
      <c r="D242" t="s">
        <v>2548</v>
      </c>
      <c r="E242" t="s">
        <v>2556</v>
      </c>
      <c r="F242" t="s">
        <v>2969</v>
      </c>
      <c r="G242" t="b">
        <v>0</v>
      </c>
      <c r="H242">
        <v>1</v>
      </c>
      <c r="I242" t="s">
        <v>23</v>
      </c>
      <c r="J242" s="2">
        <v>0</v>
      </c>
      <c r="K242">
        <v>0</v>
      </c>
      <c r="L242">
        <v>0</v>
      </c>
      <c r="M242" s="2">
        <v>0</v>
      </c>
      <c r="N242">
        <v>0</v>
      </c>
      <c r="O242">
        <v>0</v>
      </c>
      <c r="P242" s="2">
        <v>0</v>
      </c>
      <c r="Q242">
        <v>1</v>
      </c>
      <c r="R242">
        <v>0</v>
      </c>
      <c r="S242" s="2">
        <v>0</v>
      </c>
    </row>
    <row r="243" spans="1:19">
      <c r="A243" s="1">
        <v>921874033</v>
      </c>
      <c r="B243" t="s">
        <v>2804</v>
      </c>
      <c r="C243" t="s">
        <v>2804</v>
      </c>
      <c r="D243" t="s">
        <v>2548</v>
      </c>
      <c r="E243" t="s">
        <v>2556</v>
      </c>
      <c r="F243" t="s">
        <v>2969</v>
      </c>
      <c r="G243" t="b">
        <v>0</v>
      </c>
      <c r="H243">
        <v>1</v>
      </c>
      <c r="I243" t="s">
        <v>23</v>
      </c>
      <c r="J243" s="2">
        <v>0</v>
      </c>
      <c r="K243">
        <v>0</v>
      </c>
      <c r="L243">
        <v>0</v>
      </c>
      <c r="M243" s="2">
        <v>0</v>
      </c>
      <c r="N243">
        <v>0</v>
      </c>
      <c r="O243">
        <v>0</v>
      </c>
      <c r="P243" s="2">
        <v>0</v>
      </c>
      <c r="Q243">
        <v>1</v>
      </c>
      <c r="R243">
        <v>0</v>
      </c>
      <c r="S243" s="2">
        <v>0</v>
      </c>
    </row>
    <row r="244" spans="1:19">
      <c r="A244" s="1">
        <v>914526380</v>
      </c>
      <c r="B244" t="s">
        <v>2805</v>
      </c>
      <c r="C244" t="s">
        <v>2962</v>
      </c>
      <c r="D244" t="s">
        <v>2548</v>
      </c>
      <c r="E244" t="s">
        <v>2556</v>
      </c>
      <c r="F244" t="s">
        <v>2969</v>
      </c>
      <c r="G244" t="b">
        <v>0</v>
      </c>
      <c r="H244">
        <v>1</v>
      </c>
      <c r="I244" t="s">
        <v>23</v>
      </c>
      <c r="J244" s="2">
        <v>0</v>
      </c>
      <c r="K244">
        <v>0</v>
      </c>
      <c r="L244">
        <v>0</v>
      </c>
      <c r="M244" s="2">
        <v>0</v>
      </c>
      <c r="N244">
        <v>0</v>
      </c>
      <c r="O244">
        <v>0</v>
      </c>
      <c r="P244" s="2">
        <v>0</v>
      </c>
      <c r="Q244">
        <v>1</v>
      </c>
      <c r="R244">
        <v>0</v>
      </c>
      <c r="S244" s="2">
        <v>0</v>
      </c>
    </row>
    <row r="245" spans="1:19">
      <c r="A245" s="1">
        <v>883065109</v>
      </c>
      <c r="B245" t="s">
        <v>2806</v>
      </c>
      <c r="D245" t="s">
        <v>2549</v>
      </c>
      <c r="E245" t="s">
        <v>2557</v>
      </c>
      <c r="F245" t="s">
        <v>2968</v>
      </c>
      <c r="G245" t="b">
        <v>0</v>
      </c>
      <c r="H245">
        <v>1</v>
      </c>
      <c r="I245" t="s">
        <v>23</v>
      </c>
      <c r="J245" s="2">
        <v>286937.5</v>
      </c>
      <c r="K245">
        <v>0</v>
      </c>
      <c r="L245">
        <v>0</v>
      </c>
      <c r="M245" s="2">
        <v>0</v>
      </c>
      <c r="N245">
        <v>0</v>
      </c>
      <c r="O245">
        <v>0</v>
      </c>
      <c r="P245" s="2">
        <v>0</v>
      </c>
      <c r="Q245">
        <v>1</v>
      </c>
      <c r="R245">
        <v>1</v>
      </c>
      <c r="S245" s="2">
        <v>286937.5</v>
      </c>
    </row>
    <row r="246" spans="1:19">
      <c r="A246" s="1">
        <v>890020494</v>
      </c>
      <c r="B246" t="s">
        <v>2807</v>
      </c>
      <c r="C246" t="s">
        <v>2963</v>
      </c>
      <c r="D246" t="s">
        <v>2548</v>
      </c>
      <c r="E246" t="s">
        <v>2556</v>
      </c>
      <c r="F246" t="s">
        <v>2967</v>
      </c>
      <c r="G246" t="b">
        <v>0</v>
      </c>
      <c r="H246">
        <v>1</v>
      </c>
      <c r="I246" t="s">
        <v>23</v>
      </c>
      <c r="J246" s="2">
        <v>0</v>
      </c>
      <c r="K246">
        <v>0</v>
      </c>
      <c r="L246">
        <v>0</v>
      </c>
      <c r="M246" s="2">
        <v>0</v>
      </c>
      <c r="N246">
        <v>0</v>
      </c>
      <c r="O246">
        <v>0</v>
      </c>
      <c r="P246" s="2">
        <v>0</v>
      </c>
      <c r="Q246">
        <v>1</v>
      </c>
      <c r="R246">
        <v>0</v>
      </c>
      <c r="S246" s="2">
        <v>0</v>
      </c>
    </row>
    <row r="247" spans="1:19">
      <c r="A247" s="1">
        <v>907681187</v>
      </c>
      <c r="B247" t="s">
        <v>2808</v>
      </c>
      <c r="C247" t="s">
        <v>2964</v>
      </c>
      <c r="D247" t="s">
        <v>2548</v>
      </c>
      <c r="E247" t="s">
        <v>2556</v>
      </c>
      <c r="F247" t="s">
        <v>2966</v>
      </c>
      <c r="G247" t="b">
        <v>0</v>
      </c>
      <c r="H247">
        <v>1</v>
      </c>
      <c r="I247" t="s">
        <v>23</v>
      </c>
      <c r="J247" s="2">
        <v>58750</v>
      </c>
      <c r="K247">
        <v>0</v>
      </c>
      <c r="L247">
        <v>0</v>
      </c>
      <c r="M247" s="2">
        <v>0</v>
      </c>
      <c r="N247">
        <v>0</v>
      </c>
      <c r="O247">
        <v>0</v>
      </c>
      <c r="P247" s="2">
        <v>0</v>
      </c>
      <c r="Q247">
        <v>1</v>
      </c>
      <c r="R247">
        <v>1</v>
      </c>
      <c r="S247" s="2">
        <v>58750</v>
      </c>
    </row>
  </sheetData>
  <autoFilter ref="A1:S247"/>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12"/>
  <sheetViews>
    <sheetView workbookViewId="0"/>
  </sheetViews>
  <sheetFormatPr defaultRowHeight="15"/>
  <cols>
    <col min="2" max="2" width="10.7109375" style="1" customWidth="1"/>
    <col min="3" max="3" width="12.7109375" customWidth="1"/>
    <col min="4" max="4" width="25.7109375" customWidth="1"/>
    <col min="5" max="9" width="11.7109375" customWidth="1"/>
    <col min="10" max="10" width="12.7109375" style="2" customWidth="1"/>
    <col min="11" max="11" width="12.7109375" style="2" customWidth="1"/>
    <col min="12" max="13" width="11.7109375" customWidth="1"/>
  </cols>
  <sheetData>
    <row r="1" spans="1:13">
      <c r="A1" s="3" t="s">
        <v>0</v>
      </c>
      <c r="B1" s="3" t="s">
        <v>1</v>
      </c>
      <c r="C1" s="3" t="s">
        <v>2</v>
      </c>
      <c r="D1" s="3" t="s">
        <v>3</v>
      </c>
      <c r="E1" s="3" t="s">
        <v>4</v>
      </c>
      <c r="F1" s="3" t="s">
        <v>5</v>
      </c>
      <c r="G1" s="3" t="s">
        <v>6</v>
      </c>
      <c r="H1" s="3" t="s">
        <v>14</v>
      </c>
      <c r="I1" s="3" t="s">
        <v>15</v>
      </c>
      <c r="J1" s="3" t="s">
        <v>3364</v>
      </c>
      <c r="K1" s="3" t="s">
        <v>3365</v>
      </c>
      <c r="L1" s="3" t="s">
        <v>3366</v>
      </c>
      <c r="M1" s="3" t="s">
        <v>3367</v>
      </c>
    </row>
    <row r="2" spans="1:13">
      <c r="A2" t="s">
        <v>21</v>
      </c>
      <c r="B2" s="1">
        <f>HYPERLINK("https://cordis.europa.eu/project/id/247919", "247919")</f>
        <v>0</v>
      </c>
      <c r="C2" t="s">
        <v>24</v>
      </c>
      <c r="D2" t="s">
        <v>835</v>
      </c>
      <c r="F2" t="s">
        <v>2106</v>
      </c>
      <c r="G2" t="s">
        <v>2314</v>
      </c>
      <c r="H2" t="s">
        <v>2970</v>
      </c>
      <c r="I2" t="s">
        <v>3034</v>
      </c>
      <c r="J2" s="2">
        <v>165060</v>
      </c>
      <c r="K2" s="2">
        <v>2799921</v>
      </c>
      <c r="L2" t="s">
        <v>3368</v>
      </c>
      <c r="M2" t="s">
        <v>3381</v>
      </c>
    </row>
    <row r="3" spans="1:13">
      <c r="A3" t="s">
        <v>21</v>
      </c>
      <c r="B3" s="1">
        <f>HYPERLINK("https://cordis.europa.eu/project/id/210615", "210615")</f>
        <v>0</v>
      </c>
      <c r="C3" t="s">
        <v>25</v>
      </c>
      <c r="D3" t="s">
        <v>836</v>
      </c>
      <c r="F3" t="s">
        <v>2107</v>
      </c>
      <c r="G3" t="s">
        <v>2315</v>
      </c>
      <c r="H3" t="s">
        <v>2971</v>
      </c>
      <c r="I3" t="s">
        <v>3035</v>
      </c>
      <c r="J3" s="2">
        <v>0</v>
      </c>
      <c r="K3" s="2">
        <v>849877</v>
      </c>
      <c r="L3" t="s">
        <v>3368</v>
      </c>
      <c r="M3" t="s">
        <v>3382</v>
      </c>
    </row>
    <row r="4" spans="1:13">
      <c r="A4" t="s">
        <v>21</v>
      </c>
      <c r="B4" s="1">
        <f>HYPERLINK("https://cordis.europa.eu/project/id/314314", "314314")</f>
        <v>0</v>
      </c>
      <c r="C4" t="s">
        <v>26</v>
      </c>
      <c r="D4" t="s">
        <v>837</v>
      </c>
      <c r="F4" t="s">
        <v>2108</v>
      </c>
      <c r="G4" t="s">
        <v>2316</v>
      </c>
      <c r="H4" t="s">
        <v>2972</v>
      </c>
      <c r="I4" t="s">
        <v>3036</v>
      </c>
      <c r="J4" s="2">
        <v>0</v>
      </c>
      <c r="K4" s="2">
        <v>14124636</v>
      </c>
      <c r="L4" t="s">
        <v>3368</v>
      </c>
      <c r="M4" t="s">
        <v>3383</v>
      </c>
    </row>
    <row r="5" spans="1:13">
      <c r="A5" t="s">
        <v>21</v>
      </c>
      <c r="B5" s="1">
        <f>HYPERLINK("https://cordis.europa.eu/project/id/602150", "602150")</f>
        <v>0</v>
      </c>
      <c r="C5" t="s">
        <v>27</v>
      </c>
      <c r="D5" t="s">
        <v>838</v>
      </c>
      <c r="F5" t="s">
        <v>2109</v>
      </c>
      <c r="G5" t="s">
        <v>1679</v>
      </c>
      <c r="H5" t="s">
        <v>2972</v>
      </c>
      <c r="I5" t="s">
        <v>3037</v>
      </c>
      <c r="J5" s="2">
        <v>25000</v>
      </c>
      <c r="K5" s="2">
        <v>29998903</v>
      </c>
      <c r="L5" t="s">
        <v>3369</v>
      </c>
      <c r="M5" t="s">
        <v>3384</v>
      </c>
    </row>
    <row r="6" spans="1:13">
      <c r="A6" t="s">
        <v>21</v>
      </c>
      <c r="B6" s="1">
        <f>HYPERLINK("https://cordis.europa.eu/project/id/261411", "261411")</f>
        <v>0</v>
      </c>
      <c r="C6" t="s">
        <v>28</v>
      </c>
      <c r="D6" t="s">
        <v>839</v>
      </c>
      <c r="F6" t="s">
        <v>2110</v>
      </c>
      <c r="G6" t="s">
        <v>2317</v>
      </c>
      <c r="H6" t="s">
        <v>2973</v>
      </c>
      <c r="I6" t="s">
        <v>3038</v>
      </c>
      <c r="J6" s="2">
        <v>0</v>
      </c>
      <c r="K6" s="2">
        <v>3000000</v>
      </c>
      <c r="L6" t="s">
        <v>3370</v>
      </c>
      <c r="M6" t="s">
        <v>3385</v>
      </c>
    </row>
    <row r="7" spans="1:13">
      <c r="A7" t="s">
        <v>21</v>
      </c>
      <c r="B7" s="1">
        <f>HYPERLINK("https://cordis.europa.eu/project/id/218493", "218493")</f>
        <v>0</v>
      </c>
      <c r="C7" t="s">
        <v>29</v>
      </c>
      <c r="D7" t="s">
        <v>840</v>
      </c>
      <c r="F7" t="s">
        <v>2111</v>
      </c>
      <c r="G7" t="s">
        <v>2318</v>
      </c>
      <c r="H7" t="s">
        <v>2973</v>
      </c>
      <c r="I7" t="s">
        <v>3039</v>
      </c>
      <c r="J7" s="2">
        <v>0</v>
      </c>
      <c r="K7" s="2">
        <v>2100000</v>
      </c>
      <c r="L7" t="s">
        <v>3368</v>
      </c>
      <c r="M7" t="s">
        <v>3386</v>
      </c>
    </row>
    <row r="8" spans="1:13">
      <c r="A8" t="s">
        <v>21</v>
      </c>
      <c r="B8" s="1">
        <f>HYPERLINK("https://cordis.europa.eu/project/id/263942", "263942")</f>
        <v>0</v>
      </c>
      <c r="C8" t="s">
        <v>30</v>
      </c>
      <c r="D8" t="s">
        <v>841</v>
      </c>
      <c r="F8" t="s">
        <v>2112</v>
      </c>
      <c r="G8" t="s">
        <v>2319</v>
      </c>
      <c r="H8" t="s">
        <v>2973</v>
      </c>
      <c r="I8" t="s">
        <v>3040</v>
      </c>
      <c r="J8" s="2">
        <v>0</v>
      </c>
      <c r="K8" s="2">
        <v>1800000</v>
      </c>
      <c r="L8" t="s">
        <v>3368</v>
      </c>
      <c r="M8" t="s">
        <v>3387</v>
      </c>
    </row>
    <row r="9" spans="1:13">
      <c r="A9" t="s">
        <v>21</v>
      </c>
      <c r="B9" s="1">
        <f>HYPERLINK("https://cordis.europa.eu/project/id/617930", "617930")</f>
        <v>0</v>
      </c>
      <c r="C9" t="s">
        <v>31</v>
      </c>
      <c r="D9" t="s">
        <v>842</v>
      </c>
      <c r="F9" t="s">
        <v>2113</v>
      </c>
      <c r="G9" t="s">
        <v>2320</v>
      </c>
      <c r="H9" t="s">
        <v>2974</v>
      </c>
      <c r="I9" t="s">
        <v>3041</v>
      </c>
      <c r="J9" s="2">
        <v>86661.48</v>
      </c>
      <c r="K9" s="2">
        <v>1999980</v>
      </c>
      <c r="L9" t="s">
        <v>3368</v>
      </c>
      <c r="M9" t="s">
        <v>3388</v>
      </c>
    </row>
    <row r="10" spans="1:13">
      <c r="A10" t="s">
        <v>21</v>
      </c>
      <c r="B10" s="1">
        <f>HYPERLINK("https://cordis.europa.eu/project/id/312702", "312702")</f>
        <v>0</v>
      </c>
      <c r="C10" t="s">
        <v>32</v>
      </c>
      <c r="D10" t="s">
        <v>843</v>
      </c>
      <c r="F10" t="s">
        <v>2109</v>
      </c>
      <c r="G10" t="s">
        <v>2321</v>
      </c>
      <c r="H10" t="s">
        <v>2975</v>
      </c>
      <c r="I10" t="s">
        <v>3042</v>
      </c>
      <c r="J10" s="2">
        <v>351240</v>
      </c>
      <c r="K10" s="2">
        <v>1452220</v>
      </c>
      <c r="L10" t="s">
        <v>3368</v>
      </c>
      <c r="M10" t="s">
        <v>3389</v>
      </c>
    </row>
    <row r="11" spans="1:13">
      <c r="A11" t="s">
        <v>21</v>
      </c>
      <c r="B11" s="1">
        <f>HYPERLINK("https://cordis.europa.eu/project/id/607476", "607476")</f>
        <v>0</v>
      </c>
      <c r="C11" t="s">
        <v>33</v>
      </c>
      <c r="D11" t="s">
        <v>844</v>
      </c>
      <c r="F11" t="s">
        <v>2114</v>
      </c>
      <c r="G11" t="s">
        <v>2183</v>
      </c>
      <c r="H11" t="s">
        <v>2973</v>
      </c>
      <c r="I11" t="s">
        <v>3043</v>
      </c>
      <c r="J11" s="2">
        <v>0</v>
      </c>
      <c r="K11" s="2">
        <v>2151918.97</v>
      </c>
      <c r="L11" t="s">
        <v>3371</v>
      </c>
      <c r="M11" t="s">
        <v>3390</v>
      </c>
    </row>
    <row r="12" spans="1:13">
      <c r="A12" t="s">
        <v>21</v>
      </c>
      <c r="B12" s="1">
        <f>HYPERLINK("https://cordis.europa.eu/project/id/339239", "339239")</f>
        <v>0</v>
      </c>
      <c r="C12" t="s">
        <v>34</v>
      </c>
      <c r="D12" t="s">
        <v>845</v>
      </c>
      <c r="F12" t="s">
        <v>2115</v>
      </c>
      <c r="G12" t="s">
        <v>2322</v>
      </c>
      <c r="H12" t="s">
        <v>2976</v>
      </c>
      <c r="I12" t="s">
        <v>3044</v>
      </c>
      <c r="J12" s="2">
        <v>240043.2</v>
      </c>
      <c r="K12" s="2">
        <v>1922338.4</v>
      </c>
      <c r="L12" t="s">
        <v>3368</v>
      </c>
      <c r="M12" t="s">
        <v>3391</v>
      </c>
    </row>
    <row r="13" spans="1:13">
      <c r="A13" t="s">
        <v>21</v>
      </c>
      <c r="B13" s="1">
        <f>HYPERLINK("https://cordis.europa.eu/project/id/230669", "230669")</f>
        <v>0</v>
      </c>
      <c r="C13" t="s">
        <v>35</v>
      </c>
      <c r="D13" t="s">
        <v>846</v>
      </c>
      <c r="F13" t="s">
        <v>2116</v>
      </c>
      <c r="G13" t="s">
        <v>2319</v>
      </c>
      <c r="H13" t="s">
        <v>2977</v>
      </c>
      <c r="I13" t="s">
        <v>3045</v>
      </c>
      <c r="J13" s="2">
        <v>0</v>
      </c>
      <c r="K13" s="2">
        <v>867197</v>
      </c>
      <c r="L13" t="s">
        <v>3368</v>
      </c>
      <c r="M13" t="s">
        <v>3392</v>
      </c>
    </row>
    <row r="14" spans="1:13">
      <c r="A14" t="s">
        <v>21</v>
      </c>
      <c r="B14" s="1">
        <f>HYPERLINK("https://cordis.europa.eu/project/id/244463", "244463")</f>
        <v>0</v>
      </c>
      <c r="C14" t="s">
        <v>36</v>
      </c>
      <c r="D14" t="s">
        <v>847</v>
      </c>
      <c r="F14" t="s">
        <v>2117</v>
      </c>
      <c r="G14" t="s">
        <v>2323</v>
      </c>
      <c r="H14" t="s">
        <v>2978</v>
      </c>
      <c r="I14" t="s">
        <v>3046</v>
      </c>
      <c r="J14" s="2">
        <v>118770</v>
      </c>
      <c r="K14" s="2">
        <v>498513</v>
      </c>
      <c r="L14" t="s">
        <v>3369</v>
      </c>
      <c r="M14" t="s">
        <v>3393</v>
      </c>
    </row>
    <row r="15" spans="1:13">
      <c r="A15" t="s">
        <v>21</v>
      </c>
      <c r="B15" s="1">
        <f>HYPERLINK("https://cordis.europa.eu/project/id/265919", "265919")</f>
        <v>0</v>
      </c>
      <c r="C15" t="s">
        <v>37</v>
      </c>
      <c r="D15" t="s">
        <v>848</v>
      </c>
      <c r="F15" t="s">
        <v>2118</v>
      </c>
      <c r="G15" t="s">
        <v>2324</v>
      </c>
      <c r="H15" t="s">
        <v>2979</v>
      </c>
      <c r="I15" t="s">
        <v>3047</v>
      </c>
      <c r="J15" s="2">
        <v>11449</v>
      </c>
      <c r="K15" s="2">
        <v>999130</v>
      </c>
      <c r="L15" t="s">
        <v>3369</v>
      </c>
      <c r="M15" t="s">
        <v>3394</v>
      </c>
    </row>
    <row r="16" spans="1:13">
      <c r="A16" t="s">
        <v>21</v>
      </c>
      <c r="B16" s="1">
        <f>HYPERLINK("https://cordis.europa.eu/project/id/249691", "249691")</f>
        <v>0</v>
      </c>
      <c r="C16" t="s">
        <v>38</v>
      </c>
      <c r="D16" t="s">
        <v>849</v>
      </c>
      <c r="F16" t="s">
        <v>2119</v>
      </c>
      <c r="G16" t="s">
        <v>2325</v>
      </c>
      <c r="H16" t="s">
        <v>2973</v>
      </c>
      <c r="I16" t="s">
        <v>3048</v>
      </c>
      <c r="J16" s="2">
        <v>0</v>
      </c>
      <c r="K16" s="2">
        <v>1000000</v>
      </c>
      <c r="L16" t="s">
        <v>3368</v>
      </c>
      <c r="M16" t="s">
        <v>3395</v>
      </c>
    </row>
    <row r="17" spans="1:13">
      <c r="A17" t="s">
        <v>21</v>
      </c>
      <c r="B17" s="1">
        <f>HYPERLINK("https://cordis.europa.eu/project/id/613167", "613167")</f>
        <v>0</v>
      </c>
      <c r="C17" t="s">
        <v>39</v>
      </c>
      <c r="D17" t="s">
        <v>850</v>
      </c>
      <c r="F17" t="s">
        <v>2109</v>
      </c>
      <c r="G17" t="s">
        <v>2326</v>
      </c>
      <c r="H17" t="s">
        <v>2978</v>
      </c>
      <c r="I17" t="s">
        <v>3049</v>
      </c>
      <c r="J17" s="2">
        <v>166416</v>
      </c>
      <c r="K17" s="2">
        <v>1495409.5</v>
      </c>
      <c r="L17" t="s">
        <v>3368</v>
      </c>
      <c r="M17" t="s">
        <v>3396</v>
      </c>
    </row>
    <row r="18" spans="1:13">
      <c r="A18" t="s">
        <v>21</v>
      </c>
      <c r="B18" s="1">
        <f>HYPERLINK("https://cordis.europa.eu/project/id/244422", "244422")</f>
        <v>0</v>
      </c>
      <c r="C18" t="s">
        <v>40</v>
      </c>
      <c r="D18" t="s">
        <v>851</v>
      </c>
      <c r="F18" t="s">
        <v>2120</v>
      </c>
      <c r="G18" t="s">
        <v>2327</v>
      </c>
      <c r="H18" t="s">
        <v>2978</v>
      </c>
      <c r="I18" t="s">
        <v>3046</v>
      </c>
      <c r="J18" s="2">
        <v>246903.64</v>
      </c>
      <c r="K18" s="2">
        <v>499714.0000000001</v>
      </c>
      <c r="L18" t="s">
        <v>3368</v>
      </c>
      <c r="M18" t="s">
        <v>3397</v>
      </c>
    </row>
    <row r="19" spans="1:13">
      <c r="A19" t="s">
        <v>21</v>
      </c>
      <c r="B19" s="1">
        <f>HYPERLINK("https://cordis.europa.eu/project/id/244426", "244426")</f>
        <v>0</v>
      </c>
      <c r="C19" t="s">
        <v>41</v>
      </c>
      <c r="D19" t="s">
        <v>852</v>
      </c>
      <c r="F19" t="s">
        <v>2121</v>
      </c>
      <c r="G19" t="s">
        <v>2328</v>
      </c>
      <c r="H19" t="s">
        <v>2978</v>
      </c>
      <c r="I19" t="s">
        <v>3050</v>
      </c>
      <c r="J19" s="2">
        <v>339789.54</v>
      </c>
      <c r="K19" s="2">
        <v>495314.04</v>
      </c>
      <c r="L19" t="s">
        <v>3368</v>
      </c>
      <c r="M19" t="s">
        <v>3398</v>
      </c>
    </row>
    <row r="20" spans="1:13">
      <c r="A20" t="s">
        <v>21</v>
      </c>
      <c r="B20" s="1">
        <f>HYPERLINK("https://cordis.europa.eu/project/id/244514", "244514")</f>
        <v>0</v>
      </c>
      <c r="C20" t="s">
        <v>42</v>
      </c>
      <c r="D20" t="s">
        <v>853</v>
      </c>
      <c r="F20" t="s">
        <v>2122</v>
      </c>
      <c r="G20" t="s">
        <v>2329</v>
      </c>
      <c r="H20" t="s">
        <v>2979</v>
      </c>
      <c r="I20" t="s">
        <v>3051</v>
      </c>
      <c r="J20" s="2">
        <v>296764.5</v>
      </c>
      <c r="K20" s="2">
        <v>1399476</v>
      </c>
      <c r="L20" t="s">
        <v>3372</v>
      </c>
      <c r="M20" t="s">
        <v>3399</v>
      </c>
    </row>
    <row r="21" spans="1:13">
      <c r="A21" t="s">
        <v>21</v>
      </c>
      <c r="B21" s="1">
        <f>HYPERLINK("https://cordis.europa.eu/project/id/291864", "291864")</f>
        <v>0</v>
      </c>
      <c r="C21" t="s">
        <v>43</v>
      </c>
      <c r="D21" t="s">
        <v>854</v>
      </c>
      <c r="F21" t="s">
        <v>2123</v>
      </c>
      <c r="G21" t="s">
        <v>2330</v>
      </c>
      <c r="H21" t="s">
        <v>2979</v>
      </c>
      <c r="I21" t="s">
        <v>3052</v>
      </c>
      <c r="J21" s="2">
        <v>16050</v>
      </c>
      <c r="K21" s="2">
        <v>1989658</v>
      </c>
      <c r="L21" t="s">
        <v>3371</v>
      </c>
      <c r="M21" t="s">
        <v>3400</v>
      </c>
    </row>
    <row r="22" spans="1:13">
      <c r="A22" t="s">
        <v>21</v>
      </c>
      <c r="B22" s="1">
        <f>HYPERLINK("https://cordis.europa.eu/project/id/248032", "248032")</f>
        <v>0</v>
      </c>
      <c r="C22" t="s">
        <v>44</v>
      </c>
      <c r="D22" t="s">
        <v>855</v>
      </c>
      <c r="F22" t="s">
        <v>2117</v>
      </c>
      <c r="G22" t="s">
        <v>2331</v>
      </c>
      <c r="H22" t="s">
        <v>2970</v>
      </c>
      <c r="I22" t="s">
        <v>3034</v>
      </c>
      <c r="J22" s="2">
        <v>72800</v>
      </c>
      <c r="K22" s="2">
        <v>1025320</v>
      </c>
      <c r="L22" t="s">
        <v>3369</v>
      </c>
      <c r="M22" t="s">
        <v>3401</v>
      </c>
    </row>
    <row r="23" spans="1:13">
      <c r="A23" t="s">
        <v>21</v>
      </c>
      <c r="B23" s="1">
        <f>HYPERLINK("https://cordis.europa.eu/project/id/256848", "256848")</f>
        <v>0</v>
      </c>
      <c r="C23" t="s">
        <v>45</v>
      </c>
      <c r="D23" t="s">
        <v>856</v>
      </c>
      <c r="F23" t="s">
        <v>2124</v>
      </c>
      <c r="G23" t="s">
        <v>2332</v>
      </c>
      <c r="H23" t="s">
        <v>2980</v>
      </c>
      <c r="I23" t="s">
        <v>3053</v>
      </c>
      <c r="J23" s="2">
        <v>0</v>
      </c>
      <c r="K23" s="2">
        <v>25878334</v>
      </c>
      <c r="L23" t="s">
        <v>3370</v>
      </c>
      <c r="M23" t="s">
        <v>3402</v>
      </c>
    </row>
    <row r="24" spans="1:13">
      <c r="A24" t="s">
        <v>21</v>
      </c>
      <c r="B24" s="1">
        <f>HYPERLINK("https://cordis.europa.eu/project/id/306125", "306125")</f>
        <v>0</v>
      </c>
      <c r="C24" t="s">
        <v>46</v>
      </c>
      <c r="D24" t="s">
        <v>857</v>
      </c>
      <c r="F24" t="s">
        <v>2125</v>
      </c>
      <c r="G24" t="s">
        <v>2333</v>
      </c>
      <c r="H24" t="s">
        <v>2973</v>
      </c>
      <c r="I24" t="s">
        <v>3054</v>
      </c>
      <c r="J24" s="2">
        <v>164794</v>
      </c>
      <c r="K24" s="2">
        <v>2998355</v>
      </c>
      <c r="L24" t="s">
        <v>3368</v>
      </c>
      <c r="M24" t="s">
        <v>3403</v>
      </c>
    </row>
    <row r="25" spans="1:13">
      <c r="A25" t="s">
        <v>21</v>
      </c>
      <c r="B25" s="1">
        <f>HYPERLINK("https://cordis.europa.eu/project/id/284520", "284520")</f>
        <v>0</v>
      </c>
      <c r="C25" t="s">
        <v>47</v>
      </c>
      <c r="D25" t="s">
        <v>858</v>
      </c>
      <c r="F25" t="s">
        <v>2126</v>
      </c>
      <c r="G25" t="s">
        <v>2334</v>
      </c>
      <c r="H25" t="s">
        <v>2973</v>
      </c>
      <c r="I25" t="s">
        <v>3055</v>
      </c>
      <c r="J25" s="2">
        <v>256879.43</v>
      </c>
      <c r="K25" s="2">
        <v>1995042.9</v>
      </c>
      <c r="L25" t="s">
        <v>3368</v>
      </c>
      <c r="M25" t="s">
        <v>3404</v>
      </c>
    </row>
    <row r="26" spans="1:13">
      <c r="A26" t="s">
        <v>21</v>
      </c>
      <c r="B26" s="1">
        <f>HYPERLINK("https://cordis.europa.eu/project/id/226482", "226482")</f>
        <v>0</v>
      </c>
      <c r="C26" t="s">
        <v>48</v>
      </c>
      <c r="D26" t="s">
        <v>859</v>
      </c>
      <c r="F26" t="s">
        <v>2127</v>
      </c>
      <c r="G26" t="s">
        <v>2335</v>
      </c>
      <c r="H26" t="s">
        <v>2973</v>
      </c>
      <c r="I26" t="s">
        <v>3056</v>
      </c>
      <c r="J26" s="2">
        <v>0</v>
      </c>
      <c r="K26" s="2">
        <v>2991433</v>
      </c>
      <c r="L26" t="s">
        <v>3369</v>
      </c>
      <c r="M26" t="s">
        <v>3405</v>
      </c>
    </row>
    <row r="27" spans="1:13">
      <c r="A27" t="s">
        <v>21</v>
      </c>
      <c r="B27" s="1">
        <f>HYPERLINK("https://cordis.europa.eu/project/id/295889", "295889")</f>
        <v>0</v>
      </c>
      <c r="C27" t="s">
        <v>49</v>
      </c>
      <c r="D27" t="s">
        <v>860</v>
      </c>
      <c r="F27" t="s">
        <v>2126</v>
      </c>
      <c r="G27" t="s">
        <v>2336</v>
      </c>
      <c r="H27" t="s">
        <v>2979</v>
      </c>
      <c r="I27" t="s">
        <v>3057</v>
      </c>
      <c r="J27" s="2">
        <v>0</v>
      </c>
      <c r="K27" s="2">
        <v>950080</v>
      </c>
      <c r="L27" t="s">
        <v>3368</v>
      </c>
      <c r="M27" t="s">
        <v>3406</v>
      </c>
    </row>
    <row r="28" spans="1:13">
      <c r="A28" t="s">
        <v>21</v>
      </c>
      <c r="B28" s="1">
        <f>HYPERLINK("https://cordis.europa.eu/project/id/265608", "265608")</f>
        <v>0</v>
      </c>
      <c r="C28" t="s">
        <v>50</v>
      </c>
      <c r="D28" t="s">
        <v>861</v>
      </c>
      <c r="F28" t="s">
        <v>2118</v>
      </c>
      <c r="G28" t="s">
        <v>2337</v>
      </c>
      <c r="H28" t="s">
        <v>2979</v>
      </c>
      <c r="I28" t="s">
        <v>3047</v>
      </c>
      <c r="J28" s="2">
        <v>68800</v>
      </c>
      <c r="K28" s="2">
        <v>999969</v>
      </c>
      <c r="L28" t="s">
        <v>3371</v>
      </c>
      <c r="M28" t="s">
        <v>3407</v>
      </c>
    </row>
    <row r="29" spans="1:13">
      <c r="A29" t="s">
        <v>21</v>
      </c>
      <c r="B29" s="1">
        <f>HYPERLINK("https://cordis.europa.eu/project/id/609490", "609490")</f>
        <v>0</v>
      </c>
      <c r="C29" t="s">
        <v>51</v>
      </c>
      <c r="D29" t="s">
        <v>862</v>
      </c>
      <c r="F29" t="s">
        <v>2128</v>
      </c>
      <c r="G29" t="s">
        <v>2194</v>
      </c>
      <c r="H29" t="s">
        <v>2979</v>
      </c>
      <c r="I29" t="s">
        <v>3058</v>
      </c>
      <c r="J29" s="2">
        <v>635901</v>
      </c>
      <c r="K29" s="2">
        <v>2999718</v>
      </c>
      <c r="L29" t="s">
        <v>3373</v>
      </c>
      <c r="M29" t="s">
        <v>3408</v>
      </c>
    </row>
    <row r="30" spans="1:13">
      <c r="A30" t="s">
        <v>21</v>
      </c>
      <c r="B30" s="1">
        <f>HYPERLINK("https://cordis.europa.eu/project/id/608517", "608517")</f>
        <v>0</v>
      </c>
      <c r="C30" t="s">
        <v>52</v>
      </c>
      <c r="D30" t="s">
        <v>863</v>
      </c>
      <c r="F30" t="s">
        <v>2129</v>
      </c>
      <c r="G30" t="s">
        <v>2338</v>
      </c>
      <c r="H30" t="s">
        <v>2970</v>
      </c>
      <c r="I30" t="s">
        <v>3059</v>
      </c>
      <c r="J30" s="2">
        <v>0</v>
      </c>
      <c r="K30" s="2">
        <v>2976239</v>
      </c>
      <c r="L30" t="s">
        <v>3368</v>
      </c>
      <c r="M30" t="s">
        <v>3409</v>
      </c>
    </row>
    <row r="31" spans="1:13">
      <c r="A31" t="s">
        <v>21</v>
      </c>
      <c r="B31" s="1">
        <f>HYPERLINK("https://cordis.europa.eu/project/id/261483", "261483")</f>
        <v>0</v>
      </c>
      <c r="C31" t="s">
        <v>53</v>
      </c>
      <c r="D31" t="s">
        <v>864</v>
      </c>
      <c r="F31" t="s">
        <v>2130</v>
      </c>
      <c r="G31" t="s">
        <v>1705</v>
      </c>
      <c r="H31" t="s">
        <v>2973</v>
      </c>
      <c r="I31" t="s">
        <v>3038</v>
      </c>
      <c r="J31" s="2">
        <v>20500</v>
      </c>
      <c r="K31" s="2">
        <v>5262963</v>
      </c>
      <c r="L31" t="s">
        <v>3368</v>
      </c>
      <c r="M31" t="s">
        <v>3410</v>
      </c>
    </row>
    <row r="32" spans="1:13">
      <c r="A32" t="s">
        <v>21</v>
      </c>
      <c r="B32" s="1">
        <f>HYPERLINK("https://cordis.europa.eu/project/id/612870", "612870")</f>
        <v>0</v>
      </c>
      <c r="C32" t="s">
        <v>54</v>
      </c>
      <c r="D32" t="s">
        <v>865</v>
      </c>
      <c r="F32" t="s">
        <v>2131</v>
      </c>
      <c r="G32" t="s">
        <v>2339</v>
      </c>
      <c r="H32" t="s">
        <v>2972</v>
      </c>
      <c r="I32" t="s">
        <v>3060</v>
      </c>
      <c r="J32" s="2">
        <v>0</v>
      </c>
      <c r="K32" s="2">
        <v>4872649.2</v>
      </c>
      <c r="L32" t="s">
        <v>3368</v>
      </c>
      <c r="M32" t="s">
        <v>3411</v>
      </c>
    </row>
    <row r="33" spans="1:13">
      <c r="A33" t="s">
        <v>21</v>
      </c>
      <c r="B33" s="1">
        <f>HYPERLINK("https://cordis.europa.eu/project/id/212459", "212459")</f>
        <v>0</v>
      </c>
      <c r="C33" t="s">
        <v>55</v>
      </c>
      <c r="D33" t="s">
        <v>866</v>
      </c>
      <c r="F33" t="s">
        <v>2132</v>
      </c>
      <c r="G33" t="s">
        <v>2340</v>
      </c>
      <c r="H33" t="s">
        <v>2973</v>
      </c>
      <c r="I33" t="s">
        <v>3061</v>
      </c>
      <c r="J33" s="2">
        <v>0</v>
      </c>
      <c r="K33" s="2">
        <v>2764317</v>
      </c>
      <c r="L33" t="s">
        <v>3369</v>
      </c>
      <c r="M33" t="s">
        <v>3412</v>
      </c>
    </row>
    <row r="34" spans="1:13">
      <c r="A34" t="s">
        <v>21</v>
      </c>
      <c r="B34" s="1">
        <f>HYPERLINK("https://cordis.europa.eu/project/id/612347", "612347")</f>
        <v>0</v>
      </c>
      <c r="C34" t="s">
        <v>56</v>
      </c>
      <c r="D34" t="s">
        <v>867</v>
      </c>
      <c r="F34" t="s">
        <v>2133</v>
      </c>
      <c r="G34" t="s">
        <v>2321</v>
      </c>
      <c r="H34" t="s">
        <v>2977</v>
      </c>
      <c r="I34" t="s">
        <v>3062</v>
      </c>
      <c r="J34" s="2">
        <v>60591.75</v>
      </c>
      <c r="K34" s="2">
        <v>2208897.95</v>
      </c>
      <c r="L34" t="s">
        <v>3368</v>
      </c>
      <c r="M34" t="s">
        <v>3413</v>
      </c>
    </row>
    <row r="35" spans="1:13">
      <c r="A35" t="s">
        <v>21</v>
      </c>
      <c r="B35" s="1">
        <f>HYPERLINK("https://cordis.europa.eu/project/id/228652", "228652")</f>
        <v>0</v>
      </c>
      <c r="C35" t="s">
        <v>57</v>
      </c>
      <c r="D35" t="s">
        <v>868</v>
      </c>
      <c r="F35" t="s">
        <v>2120</v>
      </c>
      <c r="G35" t="s">
        <v>2327</v>
      </c>
      <c r="H35" t="s">
        <v>2973</v>
      </c>
      <c r="I35" t="s">
        <v>3063</v>
      </c>
      <c r="J35" s="2">
        <v>0</v>
      </c>
      <c r="K35" s="2">
        <v>3599734</v>
      </c>
      <c r="L35" t="s">
        <v>3368</v>
      </c>
      <c r="M35" t="s">
        <v>3414</v>
      </c>
    </row>
    <row r="36" spans="1:13">
      <c r="A36" t="s">
        <v>21</v>
      </c>
      <c r="B36" s="1">
        <f>HYPERLINK("https://cordis.europa.eu/project/id/225327", "225327")</f>
        <v>0</v>
      </c>
      <c r="C36" t="s">
        <v>58</v>
      </c>
      <c r="D36" t="s">
        <v>869</v>
      </c>
      <c r="F36" t="s">
        <v>2134</v>
      </c>
      <c r="G36" t="s">
        <v>2341</v>
      </c>
      <c r="H36" t="s">
        <v>2973</v>
      </c>
      <c r="I36" t="s">
        <v>3035</v>
      </c>
      <c r="J36" s="2">
        <v>85837.52</v>
      </c>
      <c r="K36" s="2">
        <v>1000000</v>
      </c>
      <c r="L36" t="s">
        <v>3368</v>
      </c>
      <c r="M36" t="s">
        <v>3415</v>
      </c>
    </row>
    <row r="37" spans="1:13">
      <c r="A37" t="s">
        <v>21</v>
      </c>
      <c r="B37" s="1">
        <f>HYPERLINK("https://cordis.europa.eu/project/id/220583", "220583")</f>
        <v>0</v>
      </c>
      <c r="C37" t="s">
        <v>59</v>
      </c>
      <c r="D37" t="s">
        <v>870</v>
      </c>
      <c r="F37" t="s">
        <v>2134</v>
      </c>
      <c r="G37" t="s">
        <v>2342</v>
      </c>
      <c r="H37" t="s">
        <v>2981</v>
      </c>
      <c r="I37" t="s">
        <v>3064</v>
      </c>
      <c r="J37" s="2">
        <v>0</v>
      </c>
      <c r="K37" s="2">
        <v>228570.93</v>
      </c>
      <c r="L37" t="s">
        <v>3368</v>
      </c>
      <c r="M37" t="s">
        <v>3416</v>
      </c>
    </row>
    <row r="38" spans="1:13">
      <c r="A38" t="s">
        <v>21</v>
      </c>
      <c r="B38" s="1">
        <f>HYPERLINK("https://cordis.europa.eu/project/id/244151", "244151")</f>
        <v>0</v>
      </c>
      <c r="C38" t="s">
        <v>60</v>
      </c>
      <c r="D38" t="s">
        <v>871</v>
      </c>
      <c r="F38" t="s">
        <v>2117</v>
      </c>
      <c r="G38" t="s">
        <v>2343</v>
      </c>
      <c r="H38" t="s">
        <v>2982</v>
      </c>
      <c r="I38" t="s">
        <v>3065</v>
      </c>
      <c r="J38" s="2">
        <v>0</v>
      </c>
      <c r="K38" s="2">
        <v>3148945.2</v>
      </c>
      <c r="L38" t="s">
        <v>3370</v>
      </c>
      <c r="M38" t="s">
        <v>3417</v>
      </c>
    </row>
    <row r="39" spans="1:13">
      <c r="A39" t="s">
        <v>21</v>
      </c>
      <c r="B39" s="1">
        <f>HYPERLINK("https://cordis.europa.eu/project/id/226655", "226655")</f>
        <v>0</v>
      </c>
      <c r="C39" t="s">
        <v>61</v>
      </c>
      <c r="D39" t="s">
        <v>872</v>
      </c>
      <c r="F39" t="s">
        <v>2135</v>
      </c>
      <c r="G39" t="s">
        <v>2337</v>
      </c>
      <c r="H39" t="s">
        <v>2970</v>
      </c>
      <c r="I39" t="s">
        <v>3066</v>
      </c>
      <c r="J39" s="2">
        <v>269000</v>
      </c>
      <c r="K39" s="2">
        <v>2400000</v>
      </c>
      <c r="L39" t="s">
        <v>3368</v>
      </c>
      <c r="M39" t="s">
        <v>3418</v>
      </c>
    </row>
    <row r="40" spans="1:13">
      <c r="A40" t="s">
        <v>21</v>
      </c>
      <c r="B40" s="1">
        <f>HYPERLINK("https://cordis.europa.eu/project/id/256625", "256625")</f>
        <v>0</v>
      </c>
      <c r="C40" t="s">
        <v>62</v>
      </c>
      <c r="D40" t="s">
        <v>873</v>
      </c>
      <c r="F40" t="s">
        <v>2130</v>
      </c>
      <c r="G40" t="s">
        <v>2336</v>
      </c>
      <c r="H40" t="s">
        <v>2970</v>
      </c>
      <c r="I40" t="s">
        <v>3067</v>
      </c>
      <c r="J40" s="2">
        <v>0</v>
      </c>
      <c r="K40" s="2">
        <v>3966574</v>
      </c>
      <c r="L40" t="s">
        <v>3368</v>
      </c>
      <c r="M40" t="s">
        <v>3419</v>
      </c>
    </row>
    <row r="41" spans="1:13">
      <c r="A41" t="s">
        <v>21</v>
      </c>
      <c r="B41" s="1">
        <f>HYPERLINK("https://cordis.europa.eu/project/id/312885", "312885")</f>
        <v>0</v>
      </c>
      <c r="C41" t="s">
        <v>63</v>
      </c>
      <c r="D41" t="s">
        <v>874</v>
      </c>
      <c r="F41" t="s">
        <v>2136</v>
      </c>
      <c r="G41" t="s">
        <v>2330</v>
      </c>
      <c r="H41" t="s">
        <v>2979</v>
      </c>
      <c r="I41" t="s">
        <v>3068</v>
      </c>
      <c r="J41" s="2">
        <v>21614</v>
      </c>
      <c r="K41" s="2">
        <v>1130605</v>
      </c>
      <c r="L41" t="s">
        <v>3368</v>
      </c>
      <c r="M41" t="s">
        <v>3420</v>
      </c>
    </row>
    <row r="42" spans="1:13">
      <c r="A42" t="s">
        <v>21</v>
      </c>
      <c r="B42" s="1">
        <f>HYPERLINK("https://cordis.europa.eu/project/id/223344", "223344")</f>
        <v>0</v>
      </c>
      <c r="C42" t="s">
        <v>64</v>
      </c>
      <c r="D42" t="s">
        <v>875</v>
      </c>
      <c r="F42" t="s">
        <v>2137</v>
      </c>
      <c r="G42" t="s">
        <v>2314</v>
      </c>
      <c r="H42" t="s">
        <v>2983</v>
      </c>
      <c r="I42" t="s">
        <v>3069</v>
      </c>
      <c r="J42" s="2">
        <v>40474.8</v>
      </c>
      <c r="K42" s="2">
        <v>3000000</v>
      </c>
      <c r="L42" t="s">
        <v>3368</v>
      </c>
      <c r="M42" t="s">
        <v>3421</v>
      </c>
    </row>
    <row r="43" spans="1:13">
      <c r="A43" t="s">
        <v>21</v>
      </c>
      <c r="B43" s="1">
        <f>HYPERLINK("https://cordis.europa.eu/project/id/285708", "285708")</f>
        <v>0</v>
      </c>
      <c r="C43" t="s">
        <v>65</v>
      </c>
      <c r="D43" t="s">
        <v>876</v>
      </c>
      <c r="F43" t="s">
        <v>2138</v>
      </c>
      <c r="G43" t="s">
        <v>2333</v>
      </c>
      <c r="H43" t="s">
        <v>2973</v>
      </c>
      <c r="I43" t="s">
        <v>3070</v>
      </c>
      <c r="J43" s="2">
        <v>48700</v>
      </c>
      <c r="K43" s="2">
        <v>2849865</v>
      </c>
      <c r="L43" t="s">
        <v>3374</v>
      </c>
      <c r="M43" t="s">
        <v>3422</v>
      </c>
    </row>
    <row r="44" spans="1:13">
      <c r="A44" t="s">
        <v>21</v>
      </c>
      <c r="B44" s="1">
        <f>HYPERLINK("https://cordis.europa.eu/project/id/617060", "617060")</f>
        <v>0</v>
      </c>
      <c r="C44" t="s">
        <v>66</v>
      </c>
      <c r="D44" t="s">
        <v>877</v>
      </c>
      <c r="F44" t="s">
        <v>2139</v>
      </c>
      <c r="G44" t="s">
        <v>1884</v>
      </c>
      <c r="H44" t="s">
        <v>2974</v>
      </c>
      <c r="I44" t="s">
        <v>3041</v>
      </c>
      <c r="J44" s="2">
        <v>288733.2</v>
      </c>
      <c r="K44" s="2">
        <v>1830510</v>
      </c>
      <c r="L44" t="s">
        <v>3369</v>
      </c>
      <c r="M44" t="s">
        <v>3423</v>
      </c>
    </row>
    <row r="45" spans="1:13">
      <c r="A45" t="s">
        <v>21</v>
      </c>
      <c r="B45" s="1">
        <f>HYPERLINK("https://cordis.europa.eu/project/id/265138", "265138")</f>
        <v>0</v>
      </c>
      <c r="C45" t="s">
        <v>67</v>
      </c>
      <c r="D45" t="s">
        <v>878</v>
      </c>
      <c r="F45" t="s">
        <v>2112</v>
      </c>
      <c r="G45" t="s">
        <v>2336</v>
      </c>
      <c r="H45" t="s">
        <v>2973</v>
      </c>
      <c r="I45" t="s">
        <v>3071</v>
      </c>
      <c r="J45" s="2">
        <v>0</v>
      </c>
      <c r="K45" s="2">
        <v>3395870.6</v>
      </c>
      <c r="L45" t="s">
        <v>3368</v>
      </c>
      <c r="M45" t="s">
        <v>3424</v>
      </c>
    </row>
    <row r="46" spans="1:13">
      <c r="A46" t="s">
        <v>21</v>
      </c>
      <c r="B46" s="1">
        <f>HYPERLINK("https://cordis.europa.eu/project/id/261376", "261376")</f>
        <v>0</v>
      </c>
      <c r="C46" t="s">
        <v>68</v>
      </c>
      <c r="D46" t="s">
        <v>879</v>
      </c>
      <c r="F46" t="s">
        <v>2118</v>
      </c>
      <c r="G46" t="s">
        <v>2324</v>
      </c>
      <c r="H46" t="s">
        <v>2979</v>
      </c>
      <c r="I46" t="s">
        <v>3038</v>
      </c>
      <c r="J46" s="2">
        <v>30002</v>
      </c>
      <c r="K46" s="2">
        <v>1998886.06</v>
      </c>
      <c r="L46" t="s">
        <v>3368</v>
      </c>
      <c r="M46" t="s">
        <v>3425</v>
      </c>
    </row>
    <row r="47" spans="1:13">
      <c r="A47" t="s">
        <v>21</v>
      </c>
      <c r="B47" s="1">
        <f>HYPERLINK("https://cordis.europa.eu/project/id/211400", "211400")</f>
        <v>0</v>
      </c>
      <c r="C47" t="s">
        <v>69</v>
      </c>
      <c r="D47" t="s">
        <v>880</v>
      </c>
      <c r="F47" t="s">
        <v>2132</v>
      </c>
      <c r="G47" t="s">
        <v>2344</v>
      </c>
      <c r="H47" t="s">
        <v>2972</v>
      </c>
      <c r="I47" t="s">
        <v>3061</v>
      </c>
      <c r="J47" s="2">
        <v>0</v>
      </c>
      <c r="K47" s="2">
        <v>5791183</v>
      </c>
      <c r="L47" t="s">
        <v>3368</v>
      </c>
      <c r="M47" t="s">
        <v>3426</v>
      </c>
    </row>
    <row r="48" spans="1:13">
      <c r="A48" t="s">
        <v>21</v>
      </c>
      <c r="B48" s="1">
        <f>HYPERLINK("https://cordis.europa.eu/project/id/212879", "212879")</f>
        <v>0</v>
      </c>
      <c r="C48" t="s">
        <v>70</v>
      </c>
      <c r="D48" t="s">
        <v>881</v>
      </c>
      <c r="F48" t="s">
        <v>2140</v>
      </c>
      <c r="G48" t="s">
        <v>2345</v>
      </c>
      <c r="H48" t="s">
        <v>2979</v>
      </c>
      <c r="I48" t="s">
        <v>3072</v>
      </c>
      <c r="J48" s="2">
        <v>11265.71</v>
      </c>
      <c r="K48" s="2">
        <v>1799971.74</v>
      </c>
      <c r="L48" t="s">
        <v>3368</v>
      </c>
      <c r="M48" t="s">
        <v>3427</v>
      </c>
    </row>
    <row r="49" spans="1:13">
      <c r="A49" t="s">
        <v>21</v>
      </c>
      <c r="B49" s="1">
        <f>HYPERLINK("https://cordis.europa.eu/project/id/225301", "225301")</f>
        <v>0</v>
      </c>
      <c r="C49" t="s">
        <v>71</v>
      </c>
      <c r="D49" t="s">
        <v>882</v>
      </c>
      <c r="F49" t="s">
        <v>2141</v>
      </c>
      <c r="G49" t="s">
        <v>2346</v>
      </c>
      <c r="H49" t="s">
        <v>2973</v>
      </c>
      <c r="I49" t="s">
        <v>3035</v>
      </c>
      <c r="J49" s="2">
        <v>0</v>
      </c>
      <c r="K49" s="2">
        <v>1496829</v>
      </c>
      <c r="L49" t="s">
        <v>3368</v>
      </c>
      <c r="M49" t="s">
        <v>3428</v>
      </c>
    </row>
    <row r="50" spans="1:13">
      <c r="A50" t="s">
        <v>21</v>
      </c>
      <c r="B50" s="1">
        <f>HYPERLINK("https://cordis.europa.eu/project/id/217624", "217624")</f>
        <v>0</v>
      </c>
      <c r="C50" t="s">
        <v>72</v>
      </c>
      <c r="D50" t="s">
        <v>883</v>
      </c>
      <c r="F50" t="s">
        <v>2132</v>
      </c>
      <c r="G50" t="s">
        <v>2327</v>
      </c>
      <c r="H50" t="s">
        <v>2973</v>
      </c>
      <c r="I50" t="s">
        <v>3035</v>
      </c>
      <c r="J50" s="2">
        <v>0</v>
      </c>
      <c r="K50" s="2">
        <v>1490171</v>
      </c>
      <c r="L50" t="s">
        <v>3368</v>
      </c>
      <c r="M50" t="s">
        <v>3429</v>
      </c>
    </row>
    <row r="51" spans="1:13">
      <c r="A51" t="s">
        <v>21</v>
      </c>
      <c r="B51" s="1">
        <f>HYPERLINK("https://cordis.europa.eu/project/id/256768", "256768")</f>
        <v>0</v>
      </c>
      <c r="C51" t="s">
        <v>73</v>
      </c>
      <c r="D51" t="s">
        <v>884</v>
      </c>
      <c r="F51" t="s">
        <v>2130</v>
      </c>
      <c r="G51" t="s">
        <v>2347</v>
      </c>
      <c r="H51" t="s">
        <v>2980</v>
      </c>
      <c r="I51" t="s">
        <v>3053</v>
      </c>
      <c r="J51" s="2">
        <v>0</v>
      </c>
      <c r="K51" s="2">
        <v>2140333.81</v>
      </c>
      <c r="L51" t="s">
        <v>3368</v>
      </c>
      <c r="M51" t="s">
        <v>3430</v>
      </c>
    </row>
    <row r="52" spans="1:13">
      <c r="A52" t="s">
        <v>21</v>
      </c>
      <c r="B52" s="1">
        <f>HYPERLINK("https://cordis.europa.eu/project/id/266660", "266660")</f>
        <v>0</v>
      </c>
      <c r="C52" t="s">
        <v>74</v>
      </c>
      <c r="D52" t="s">
        <v>885</v>
      </c>
      <c r="F52" t="s">
        <v>2110</v>
      </c>
      <c r="G52" t="s">
        <v>2348</v>
      </c>
      <c r="H52" t="s">
        <v>2973</v>
      </c>
      <c r="I52" t="s">
        <v>3073</v>
      </c>
      <c r="J52" s="2">
        <v>4800</v>
      </c>
      <c r="K52" s="2">
        <v>1150012</v>
      </c>
      <c r="L52" t="s">
        <v>3368</v>
      </c>
      <c r="M52" t="s">
        <v>3431</v>
      </c>
    </row>
    <row r="53" spans="1:13">
      <c r="A53" t="s">
        <v>21</v>
      </c>
      <c r="B53" s="1">
        <f>HYPERLINK("https://cordis.europa.eu/project/id/609507", "609507")</f>
        <v>0</v>
      </c>
      <c r="C53" t="s">
        <v>75</v>
      </c>
      <c r="D53" t="s">
        <v>886</v>
      </c>
      <c r="F53" t="s">
        <v>2109</v>
      </c>
      <c r="G53" t="s">
        <v>2326</v>
      </c>
      <c r="H53" t="s">
        <v>2978</v>
      </c>
      <c r="I53" t="s">
        <v>3074</v>
      </c>
      <c r="J53" s="2">
        <v>554983.1800000001</v>
      </c>
      <c r="K53" s="2">
        <v>1349999</v>
      </c>
      <c r="L53" t="s">
        <v>3368</v>
      </c>
      <c r="M53" t="s">
        <v>3432</v>
      </c>
    </row>
    <row r="54" spans="1:13">
      <c r="A54" t="s">
        <v>21</v>
      </c>
      <c r="B54" s="1">
        <f>HYPERLINK("https://cordis.europa.eu/project/id/618124", "618124")</f>
        <v>0</v>
      </c>
      <c r="C54" t="s">
        <v>76</v>
      </c>
      <c r="D54" t="s">
        <v>887</v>
      </c>
      <c r="F54" t="s">
        <v>2142</v>
      </c>
      <c r="G54" t="s">
        <v>2349</v>
      </c>
      <c r="H54" t="s">
        <v>2979</v>
      </c>
      <c r="I54" t="s">
        <v>3075</v>
      </c>
      <c r="J54" s="2">
        <v>0</v>
      </c>
      <c r="K54" s="2">
        <v>1545219.42</v>
      </c>
      <c r="L54" t="s">
        <v>3368</v>
      </c>
      <c r="M54" t="s">
        <v>3433</v>
      </c>
    </row>
    <row r="55" spans="1:13">
      <c r="A55" t="s">
        <v>21</v>
      </c>
      <c r="B55" s="1">
        <f>HYPERLINK("https://cordis.europa.eu/project/id/278807", "278807")</f>
        <v>0</v>
      </c>
      <c r="C55" t="s">
        <v>77</v>
      </c>
      <c r="D55" t="s">
        <v>888</v>
      </c>
      <c r="F55" t="s">
        <v>2123</v>
      </c>
      <c r="G55" t="s">
        <v>1820</v>
      </c>
      <c r="H55" t="s">
        <v>2973</v>
      </c>
      <c r="I55" t="s">
        <v>3076</v>
      </c>
      <c r="J55" s="2">
        <v>641268</v>
      </c>
      <c r="K55" s="2">
        <v>5994367.1</v>
      </c>
      <c r="L55" t="s">
        <v>3368</v>
      </c>
      <c r="M55" t="s">
        <v>3434</v>
      </c>
    </row>
    <row r="56" spans="1:13">
      <c r="A56" t="s">
        <v>21</v>
      </c>
      <c r="B56" s="1">
        <f>HYPERLINK("https://cordis.europa.eu/project/id/606528", "606528")</f>
        <v>0</v>
      </c>
      <c r="C56" t="s">
        <v>78</v>
      </c>
      <c r="D56" t="s">
        <v>889</v>
      </c>
      <c r="F56" t="s">
        <v>2109</v>
      </c>
      <c r="G56" t="s">
        <v>2326</v>
      </c>
      <c r="H56" t="s">
        <v>2984</v>
      </c>
      <c r="I56" t="s">
        <v>3077</v>
      </c>
      <c r="J56" s="2">
        <v>0</v>
      </c>
      <c r="K56" s="2">
        <v>2190998</v>
      </c>
      <c r="L56" t="s">
        <v>3368</v>
      </c>
      <c r="M56" t="s">
        <v>3435</v>
      </c>
    </row>
    <row r="57" spans="1:13">
      <c r="A57" t="s">
        <v>21</v>
      </c>
      <c r="B57" s="1">
        <f>HYPERLINK("https://cordis.europa.eu/project/id/223487", "223487")</f>
        <v>0</v>
      </c>
      <c r="C57" t="s">
        <v>79</v>
      </c>
      <c r="D57" t="s">
        <v>890</v>
      </c>
      <c r="F57" t="s">
        <v>2143</v>
      </c>
      <c r="G57" t="s">
        <v>2345</v>
      </c>
      <c r="H57" t="s">
        <v>2979</v>
      </c>
      <c r="I57" t="s">
        <v>3069</v>
      </c>
      <c r="J57" s="2">
        <v>85600</v>
      </c>
      <c r="K57" s="2">
        <v>1100000</v>
      </c>
      <c r="L57" t="s">
        <v>3368</v>
      </c>
      <c r="M57" t="s">
        <v>3436</v>
      </c>
    </row>
    <row r="58" spans="1:13">
      <c r="A58" t="s">
        <v>21</v>
      </c>
      <c r="B58" s="1">
        <f>HYPERLINK("https://cordis.europa.eu/project/id/320298", "320298")</f>
        <v>0</v>
      </c>
      <c r="C58" t="s">
        <v>80</v>
      </c>
      <c r="D58" t="s">
        <v>891</v>
      </c>
      <c r="F58" t="s">
        <v>2144</v>
      </c>
      <c r="G58" t="s">
        <v>1820</v>
      </c>
      <c r="H58" t="s">
        <v>2978</v>
      </c>
      <c r="I58" t="s">
        <v>3078</v>
      </c>
      <c r="J58" s="2">
        <v>370541</v>
      </c>
      <c r="K58" s="2">
        <v>1499997</v>
      </c>
      <c r="L58" t="s">
        <v>3375</v>
      </c>
      <c r="M58" t="s">
        <v>3437</v>
      </c>
    </row>
    <row r="59" spans="1:13">
      <c r="A59" t="s">
        <v>21</v>
      </c>
      <c r="B59" s="1">
        <f>HYPERLINK("https://cordis.europa.eu/project/id/258837", "258837")</f>
        <v>0</v>
      </c>
      <c r="C59" t="s">
        <v>81</v>
      </c>
      <c r="D59" t="s">
        <v>892</v>
      </c>
      <c r="F59" t="s">
        <v>2118</v>
      </c>
      <c r="G59" t="s">
        <v>2333</v>
      </c>
      <c r="H59" t="s">
        <v>2973</v>
      </c>
      <c r="I59" t="s">
        <v>3079</v>
      </c>
      <c r="J59" s="2">
        <v>82650</v>
      </c>
      <c r="K59" s="2">
        <v>2999550</v>
      </c>
      <c r="L59" t="s">
        <v>3368</v>
      </c>
      <c r="M59" t="s">
        <v>3438</v>
      </c>
    </row>
    <row r="60" spans="1:13">
      <c r="A60" t="s">
        <v>21</v>
      </c>
      <c r="B60" s="1">
        <f>HYPERLINK("https://cordis.europa.eu/project/id/246690", "246690")</f>
        <v>0</v>
      </c>
      <c r="C60" t="s">
        <v>82</v>
      </c>
      <c r="D60" t="s">
        <v>893</v>
      </c>
      <c r="F60" t="s">
        <v>2145</v>
      </c>
      <c r="G60" t="s">
        <v>2346</v>
      </c>
      <c r="H60" t="s">
        <v>2985</v>
      </c>
      <c r="I60" t="s">
        <v>3080</v>
      </c>
      <c r="J60" s="2">
        <v>16988</v>
      </c>
      <c r="K60" s="2">
        <v>439982</v>
      </c>
      <c r="L60" t="s">
        <v>3368</v>
      </c>
      <c r="M60" t="s">
        <v>3439</v>
      </c>
    </row>
    <row r="61" spans="1:13">
      <c r="A61" t="s">
        <v>21</v>
      </c>
      <c r="B61" s="1">
        <f>HYPERLINK("https://cordis.europa.eu/project/id/243914", "243914")</f>
        <v>0</v>
      </c>
      <c r="C61" t="s">
        <v>83</v>
      </c>
      <c r="D61" t="s">
        <v>894</v>
      </c>
      <c r="F61" t="s">
        <v>2117</v>
      </c>
      <c r="G61" t="s">
        <v>2331</v>
      </c>
      <c r="H61" t="s">
        <v>2970</v>
      </c>
      <c r="I61" t="s">
        <v>3081</v>
      </c>
      <c r="J61" s="2">
        <v>173296</v>
      </c>
      <c r="K61" s="2">
        <v>1998408</v>
      </c>
      <c r="L61" t="s">
        <v>3368</v>
      </c>
      <c r="M61" t="s">
        <v>3440</v>
      </c>
    </row>
    <row r="62" spans="1:13">
      <c r="A62" t="s">
        <v>21</v>
      </c>
      <c r="B62" s="1">
        <f>HYPERLINK("https://cordis.europa.eu/project/id/305279", "305279")</f>
        <v>0</v>
      </c>
      <c r="C62" t="s">
        <v>84</v>
      </c>
      <c r="D62" t="s">
        <v>895</v>
      </c>
      <c r="F62" t="s">
        <v>2146</v>
      </c>
      <c r="G62" t="s">
        <v>2350</v>
      </c>
      <c r="H62" t="s">
        <v>2973</v>
      </c>
      <c r="I62" t="s">
        <v>3054</v>
      </c>
      <c r="J62" s="2">
        <v>306828</v>
      </c>
      <c r="K62" s="2">
        <v>5998496</v>
      </c>
      <c r="L62" t="s">
        <v>3369</v>
      </c>
      <c r="M62" t="s">
        <v>3441</v>
      </c>
    </row>
    <row r="63" spans="1:13">
      <c r="A63" t="s">
        <v>21</v>
      </c>
      <c r="B63" s="1">
        <f>HYPERLINK("https://cordis.europa.eu/project/id/615905", "615905")</f>
        <v>0</v>
      </c>
      <c r="C63" t="s">
        <v>85</v>
      </c>
      <c r="D63" t="s">
        <v>896</v>
      </c>
      <c r="F63" t="s">
        <v>2147</v>
      </c>
      <c r="G63" t="s">
        <v>2351</v>
      </c>
      <c r="H63" t="s">
        <v>2974</v>
      </c>
      <c r="I63" t="s">
        <v>3041</v>
      </c>
      <c r="J63" s="2">
        <v>252000</v>
      </c>
      <c r="K63" s="2">
        <v>1998800</v>
      </c>
      <c r="L63" t="s">
        <v>3368</v>
      </c>
      <c r="M63" t="s">
        <v>3442</v>
      </c>
    </row>
    <row r="64" spans="1:13">
      <c r="A64" t="s">
        <v>21</v>
      </c>
      <c r="B64" s="1">
        <f>HYPERLINK("https://cordis.europa.eu/project/id/222623", "222623")</f>
        <v>0</v>
      </c>
      <c r="C64" t="s">
        <v>86</v>
      </c>
      <c r="D64" t="s">
        <v>897</v>
      </c>
      <c r="F64" t="s">
        <v>2137</v>
      </c>
      <c r="G64" t="s">
        <v>2352</v>
      </c>
      <c r="H64" t="s">
        <v>2972</v>
      </c>
      <c r="I64" t="s">
        <v>3082</v>
      </c>
      <c r="J64" s="2">
        <v>0</v>
      </c>
      <c r="K64" s="2">
        <v>5999995</v>
      </c>
      <c r="L64" t="s">
        <v>3371</v>
      </c>
      <c r="M64" t="s">
        <v>3443</v>
      </c>
    </row>
    <row r="65" spans="1:13">
      <c r="A65" t="s">
        <v>21</v>
      </c>
      <c r="B65" s="1">
        <f>HYPERLINK("https://cordis.europa.eu/project/id/265862", "265862")</f>
        <v>0</v>
      </c>
      <c r="C65" t="s">
        <v>87</v>
      </c>
      <c r="D65" t="s">
        <v>898</v>
      </c>
      <c r="F65" t="s">
        <v>2148</v>
      </c>
      <c r="G65" t="s">
        <v>2353</v>
      </c>
      <c r="H65" t="s">
        <v>2986</v>
      </c>
      <c r="I65" t="s">
        <v>3047</v>
      </c>
      <c r="J65" s="2">
        <v>304047.2</v>
      </c>
      <c r="K65" s="2">
        <v>8944185</v>
      </c>
      <c r="L65" t="s">
        <v>3368</v>
      </c>
      <c r="M65" t="s">
        <v>3444</v>
      </c>
    </row>
    <row r="66" spans="1:13">
      <c r="A66" t="s">
        <v>21</v>
      </c>
      <c r="B66" s="1">
        <f>HYPERLINK("https://cordis.europa.eu/project/id/603049", "603049")</f>
        <v>0</v>
      </c>
      <c r="C66" t="s">
        <v>88</v>
      </c>
      <c r="D66" t="s">
        <v>899</v>
      </c>
      <c r="F66" t="s">
        <v>2149</v>
      </c>
      <c r="G66" t="s">
        <v>2354</v>
      </c>
      <c r="H66" t="s">
        <v>2973</v>
      </c>
      <c r="I66" t="s">
        <v>3037</v>
      </c>
      <c r="J66" s="2">
        <v>0</v>
      </c>
      <c r="K66" s="2">
        <v>5996971</v>
      </c>
      <c r="L66" t="s">
        <v>3368</v>
      </c>
      <c r="M66" t="s">
        <v>3445</v>
      </c>
    </row>
    <row r="67" spans="1:13">
      <c r="A67" t="s">
        <v>21</v>
      </c>
      <c r="B67" s="1">
        <f>HYPERLINK("https://cordis.europa.eu/project/id/291840", "291840")</f>
        <v>0</v>
      </c>
      <c r="C67" t="s">
        <v>89</v>
      </c>
      <c r="D67" t="s">
        <v>900</v>
      </c>
      <c r="F67" t="s">
        <v>2126</v>
      </c>
      <c r="G67" t="s">
        <v>2355</v>
      </c>
      <c r="H67" t="s">
        <v>2979</v>
      </c>
      <c r="I67" t="s">
        <v>3052</v>
      </c>
      <c r="J67" s="2">
        <v>121338</v>
      </c>
      <c r="K67" s="2">
        <v>2000000</v>
      </c>
      <c r="L67" t="s">
        <v>3368</v>
      </c>
      <c r="M67" t="s">
        <v>3446</v>
      </c>
    </row>
    <row r="68" spans="1:13">
      <c r="A68" t="s">
        <v>21</v>
      </c>
      <c r="B68" s="1">
        <f>HYPERLINK("https://cordis.europa.eu/project/id/339993", "339993")</f>
        <v>0</v>
      </c>
      <c r="C68" t="s">
        <v>90</v>
      </c>
      <c r="D68" t="s">
        <v>901</v>
      </c>
      <c r="F68" t="s">
        <v>2115</v>
      </c>
      <c r="G68" t="s">
        <v>2322</v>
      </c>
      <c r="H68" t="s">
        <v>2976</v>
      </c>
      <c r="I68" t="s">
        <v>3044</v>
      </c>
      <c r="J68" s="2">
        <v>173928</v>
      </c>
      <c r="K68" s="2">
        <v>2164833</v>
      </c>
      <c r="L68" t="s">
        <v>3369</v>
      </c>
      <c r="M68" t="s">
        <v>3447</v>
      </c>
    </row>
    <row r="69" spans="1:13">
      <c r="A69" t="s">
        <v>21</v>
      </c>
      <c r="B69" s="1">
        <f>HYPERLINK("https://cordis.europa.eu/project/id/251515", "251515")</f>
        <v>0</v>
      </c>
      <c r="C69" t="s">
        <v>91</v>
      </c>
      <c r="D69" t="s">
        <v>902</v>
      </c>
      <c r="F69" t="s">
        <v>2121</v>
      </c>
      <c r="G69" t="s">
        <v>2356</v>
      </c>
      <c r="H69" t="s">
        <v>2977</v>
      </c>
      <c r="I69" t="s">
        <v>3083</v>
      </c>
      <c r="J69" s="2">
        <v>0</v>
      </c>
      <c r="K69" s="2">
        <v>484954</v>
      </c>
      <c r="L69" t="s">
        <v>3368</v>
      </c>
      <c r="M69" t="s">
        <v>3448</v>
      </c>
    </row>
    <row r="70" spans="1:13">
      <c r="A70" t="s">
        <v>21</v>
      </c>
      <c r="B70" s="1">
        <f>HYPERLINK("https://cordis.europa.eu/project/id/222107", "222107")</f>
        <v>0</v>
      </c>
      <c r="C70" t="s">
        <v>92</v>
      </c>
      <c r="D70" t="s">
        <v>903</v>
      </c>
      <c r="F70" t="s">
        <v>2150</v>
      </c>
      <c r="G70" t="s">
        <v>2357</v>
      </c>
      <c r="H70" t="s">
        <v>2970</v>
      </c>
      <c r="I70" t="s">
        <v>3084</v>
      </c>
      <c r="J70" s="2">
        <v>0</v>
      </c>
      <c r="K70" s="2">
        <v>1174382</v>
      </c>
      <c r="L70" t="s">
        <v>3368</v>
      </c>
      <c r="M70" t="s">
        <v>3449</v>
      </c>
    </row>
    <row r="71" spans="1:13">
      <c r="A71" t="s">
        <v>21</v>
      </c>
      <c r="B71" s="1">
        <f>HYPERLINK("https://cordis.europa.eu/project/id/320620", "320620")</f>
        <v>0</v>
      </c>
      <c r="C71" t="s">
        <v>93</v>
      </c>
      <c r="D71" t="s">
        <v>904</v>
      </c>
      <c r="F71" t="s">
        <v>2125</v>
      </c>
      <c r="G71" t="s">
        <v>2354</v>
      </c>
      <c r="H71" t="s">
        <v>2976</v>
      </c>
      <c r="I71" t="s">
        <v>3085</v>
      </c>
      <c r="J71" s="2">
        <v>52756</v>
      </c>
      <c r="K71" s="2">
        <v>2499291</v>
      </c>
      <c r="L71" t="s">
        <v>3368</v>
      </c>
      <c r="M71" t="s">
        <v>3450</v>
      </c>
    </row>
    <row r="72" spans="1:13">
      <c r="A72" t="s">
        <v>21</v>
      </c>
      <c r="B72" s="1">
        <f>HYPERLINK("https://cordis.europa.eu/project/id/257993", "257993")</f>
        <v>0</v>
      </c>
      <c r="C72" t="s">
        <v>94</v>
      </c>
      <c r="D72" t="s">
        <v>905</v>
      </c>
      <c r="F72" t="s">
        <v>2112</v>
      </c>
      <c r="G72" t="s">
        <v>2319</v>
      </c>
      <c r="H72" t="s">
        <v>2970</v>
      </c>
      <c r="I72" t="s">
        <v>3086</v>
      </c>
      <c r="J72" s="2">
        <v>0</v>
      </c>
      <c r="K72" s="2">
        <v>2987047</v>
      </c>
      <c r="L72" t="s">
        <v>3368</v>
      </c>
      <c r="M72" t="s">
        <v>3451</v>
      </c>
    </row>
    <row r="73" spans="1:13">
      <c r="A73" t="s">
        <v>21</v>
      </c>
      <c r="B73" s="1">
        <f>HYPERLINK("https://cordis.europa.eu/project/id/202112", "202112")</f>
        <v>0</v>
      </c>
      <c r="C73" t="s">
        <v>95</v>
      </c>
      <c r="D73" t="s">
        <v>906</v>
      </c>
      <c r="F73" t="s">
        <v>2132</v>
      </c>
      <c r="G73" t="s">
        <v>2315</v>
      </c>
      <c r="H73" t="s">
        <v>2979</v>
      </c>
      <c r="I73" t="s">
        <v>3087</v>
      </c>
      <c r="J73" s="2">
        <v>43000</v>
      </c>
      <c r="K73" s="2">
        <v>2224007</v>
      </c>
      <c r="L73" t="s">
        <v>3369</v>
      </c>
      <c r="M73" t="s">
        <v>3452</v>
      </c>
    </row>
    <row r="74" spans="1:13">
      <c r="A74" t="s">
        <v>21</v>
      </c>
      <c r="B74" s="1">
        <f>HYPERLINK("https://cordis.europa.eu/project/id/289316", "289316")</f>
        <v>0</v>
      </c>
      <c r="C74" t="s">
        <v>96</v>
      </c>
      <c r="D74" t="s">
        <v>907</v>
      </c>
      <c r="F74" t="s">
        <v>2126</v>
      </c>
      <c r="G74" t="s">
        <v>2334</v>
      </c>
      <c r="H74" t="s">
        <v>2978</v>
      </c>
      <c r="I74" t="s">
        <v>3088</v>
      </c>
      <c r="J74" s="2">
        <v>0</v>
      </c>
      <c r="K74" s="2">
        <v>999998</v>
      </c>
      <c r="L74" t="s">
        <v>3368</v>
      </c>
      <c r="M74" t="s">
        <v>3453</v>
      </c>
    </row>
    <row r="75" spans="1:13">
      <c r="A75" t="s">
        <v>21</v>
      </c>
      <c r="B75" s="1">
        <f>HYPERLINK("https://cordis.europa.eu/project/id/245136", "245136")</f>
        <v>0</v>
      </c>
      <c r="C75" t="s">
        <v>97</v>
      </c>
      <c r="D75" t="s">
        <v>908</v>
      </c>
      <c r="F75" t="s">
        <v>2145</v>
      </c>
      <c r="G75" t="s">
        <v>2348</v>
      </c>
      <c r="H75" t="s">
        <v>2973</v>
      </c>
      <c r="I75" t="s">
        <v>3089</v>
      </c>
      <c r="J75" s="2">
        <v>0</v>
      </c>
      <c r="K75" s="2">
        <v>2993300</v>
      </c>
      <c r="L75" t="s">
        <v>3368</v>
      </c>
      <c r="M75" t="s">
        <v>3454</v>
      </c>
    </row>
    <row r="76" spans="1:13">
      <c r="A76" t="s">
        <v>21</v>
      </c>
      <c r="B76" s="1">
        <f>HYPERLINK("https://cordis.europa.eu/project/id/200431", "200431")</f>
        <v>0</v>
      </c>
      <c r="C76" t="s">
        <v>98</v>
      </c>
      <c r="D76" t="s">
        <v>909</v>
      </c>
      <c r="F76" t="s">
        <v>2151</v>
      </c>
      <c r="G76" t="s">
        <v>2327</v>
      </c>
      <c r="H76" t="s">
        <v>2972</v>
      </c>
      <c r="I76" t="s">
        <v>3090</v>
      </c>
      <c r="J76" s="2">
        <v>398000</v>
      </c>
      <c r="K76" s="2">
        <v>7555176</v>
      </c>
      <c r="L76" t="s">
        <v>3368</v>
      </c>
      <c r="M76" t="s">
        <v>3455</v>
      </c>
    </row>
    <row r="77" spans="1:13">
      <c r="A77" t="s">
        <v>21</v>
      </c>
      <c r="B77" s="1">
        <f>HYPERLINK("https://cordis.europa.eu/project/id/604204", "604204")</f>
        <v>0</v>
      </c>
      <c r="C77" t="s">
        <v>99</v>
      </c>
      <c r="D77" t="s">
        <v>910</v>
      </c>
      <c r="F77" t="s">
        <v>2131</v>
      </c>
      <c r="G77" t="s">
        <v>2358</v>
      </c>
      <c r="H77" t="s">
        <v>2987</v>
      </c>
      <c r="I77" t="s">
        <v>3091</v>
      </c>
      <c r="J77" s="2">
        <v>312000</v>
      </c>
      <c r="K77" s="2">
        <v>5189381.72</v>
      </c>
      <c r="L77" t="s">
        <v>3368</v>
      </c>
      <c r="M77" t="s">
        <v>3456</v>
      </c>
    </row>
    <row r="78" spans="1:13">
      <c r="A78" t="s">
        <v>21</v>
      </c>
      <c r="B78" s="1">
        <f>HYPERLINK("https://cordis.europa.eu/project/id/313220", "313220")</f>
        <v>0</v>
      </c>
      <c r="C78" t="s">
        <v>100</v>
      </c>
      <c r="D78" t="s">
        <v>100</v>
      </c>
      <c r="F78" t="s">
        <v>2136</v>
      </c>
      <c r="G78" t="s">
        <v>1714</v>
      </c>
      <c r="H78" t="s">
        <v>2973</v>
      </c>
      <c r="I78" t="s">
        <v>3068</v>
      </c>
      <c r="J78" s="2">
        <v>0</v>
      </c>
      <c r="K78" s="2">
        <v>2631592</v>
      </c>
      <c r="L78" t="s">
        <v>3368</v>
      </c>
      <c r="M78" t="s">
        <v>3457</v>
      </c>
    </row>
    <row r="79" spans="1:13">
      <c r="A79" t="s">
        <v>21</v>
      </c>
      <c r="B79" s="1">
        <f>HYPERLINK("https://cordis.europa.eu/project/id/284663", "284663")</f>
        <v>0</v>
      </c>
      <c r="C79" t="s">
        <v>101</v>
      </c>
      <c r="D79" t="s">
        <v>911</v>
      </c>
      <c r="F79" t="s">
        <v>2152</v>
      </c>
      <c r="G79" t="s">
        <v>2359</v>
      </c>
      <c r="H79" t="s">
        <v>2978</v>
      </c>
      <c r="I79" t="s">
        <v>3092</v>
      </c>
      <c r="J79" s="2">
        <v>0</v>
      </c>
      <c r="K79" s="2">
        <v>299620</v>
      </c>
      <c r="L79" t="s">
        <v>3368</v>
      </c>
      <c r="M79" t="s">
        <v>3458</v>
      </c>
    </row>
    <row r="80" spans="1:13">
      <c r="A80" t="s">
        <v>21</v>
      </c>
      <c r="B80" s="1">
        <f>HYPERLINK("https://cordis.europa.eu/project/id/604981", "604981")</f>
        <v>0</v>
      </c>
      <c r="C80" t="s">
        <v>102</v>
      </c>
      <c r="D80" t="s">
        <v>912</v>
      </c>
      <c r="F80" t="s">
        <v>2149</v>
      </c>
      <c r="G80" t="s">
        <v>2326</v>
      </c>
      <c r="H80" t="s">
        <v>2972</v>
      </c>
      <c r="I80" t="s">
        <v>3093</v>
      </c>
      <c r="J80" s="2">
        <v>0</v>
      </c>
      <c r="K80" s="2">
        <v>15166972</v>
      </c>
      <c r="L80" t="s">
        <v>3368</v>
      </c>
      <c r="M80" t="s">
        <v>3459</v>
      </c>
    </row>
    <row r="81" spans="1:13">
      <c r="A81" t="s">
        <v>21</v>
      </c>
      <c r="B81" s="1">
        <f>HYPERLINK("https://cordis.europa.eu/project/id/605151", "605151")</f>
        <v>0</v>
      </c>
      <c r="C81" t="s">
        <v>103</v>
      </c>
      <c r="D81" t="s">
        <v>913</v>
      </c>
      <c r="F81" t="s">
        <v>2109</v>
      </c>
      <c r="G81" t="s">
        <v>1714</v>
      </c>
      <c r="H81" t="s">
        <v>2973</v>
      </c>
      <c r="I81" t="s">
        <v>3093</v>
      </c>
      <c r="J81" s="2">
        <v>0</v>
      </c>
      <c r="K81" s="2">
        <v>1683898</v>
      </c>
      <c r="L81" t="s">
        <v>3368</v>
      </c>
      <c r="M81" t="s">
        <v>3460</v>
      </c>
    </row>
    <row r="82" spans="1:13">
      <c r="A82" t="s">
        <v>21</v>
      </c>
      <c r="B82" s="1">
        <f>HYPERLINK("https://cordis.europa.eu/project/id/314468", "314468")</f>
        <v>0</v>
      </c>
      <c r="C82" t="s">
        <v>104</v>
      </c>
      <c r="D82" t="s">
        <v>914</v>
      </c>
      <c r="F82" t="s">
        <v>2153</v>
      </c>
      <c r="G82" t="s">
        <v>2360</v>
      </c>
      <c r="H82" t="s">
        <v>2973</v>
      </c>
      <c r="I82" t="s">
        <v>3094</v>
      </c>
      <c r="J82" s="2">
        <v>114525</v>
      </c>
      <c r="K82" s="2">
        <v>2899663</v>
      </c>
      <c r="L82" t="s">
        <v>3368</v>
      </c>
      <c r="M82" t="s">
        <v>3461</v>
      </c>
    </row>
    <row r="83" spans="1:13">
      <c r="A83" t="s">
        <v>21</v>
      </c>
      <c r="B83" s="1">
        <f>HYPERLINK("https://cordis.europa.eu/project/id/277936", "277936")</f>
        <v>0</v>
      </c>
      <c r="C83" t="s">
        <v>105</v>
      </c>
      <c r="D83" t="s">
        <v>915</v>
      </c>
      <c r="F83" t="s">
        <v>2123</v>
      </c>
      <c r="G83" t="s">
        <v>2361</v>
      </c>
      <c r="H83" t="s">
        <v>2973</v>
      </c>
      <c r="I83" t="s">
        <v>3076</v>
      </c>
      <c r="J83" s="2">
        <v>20549.12</v>
      </c>
      <c r="K83" s="2">
        <v>5998406</v>
      </c>
      <c r="L83" t="s">
        <v>3368</v>
      </c>
      <c r="M83" t="s">
        <v>3462</v>
      </c>
    </row>
    <row r="84" spans="1:13">
      <c r="A84" t="s">
        <v>21</v>
      </c>
      <c r="B84" s="1">
        <f>HYPERLINK("https://cordis.europa.eu/project/id/222881", "222881")</f>
        <v>0</v>
      </c>
      <c r="C84" t="s">
        <v>106</v>
      </c>
      <c r="D84" t="s">
        <v>916</v>
      </c>
      <c r="F84" t="s">
        <v>2154</v>
      </c>
      <c r="G84" t="s">
        <v>2347</v>
      </c>
      <c r="H84" t="s">
        <v>2983</v>
      </c>
      <c r="I84" t="s">
        <v>3069</v>
      </c>
      <c r="J84" s="2">
        <v>57374</v>
      </c>
      <c r="K84" s="2">
        <v>2988536</v>
      </c>
      <c r="L84" t="s">
        <v>3368</v>
      </c>
      <c r="M84" t="s">
        <v>3463</v>
      </c>
    </row>
    <row r="85" spans="1:13">
      <c r="A85" t="s">
        <v>21</v>
      </c>
      <c r="B85" s="1">
        <f>HYPERLINK("https://cordis.europa.eu/project/id/283562", "283562")</f>
        <v>0</v>
      </c>
      <c r="C85" t="s">
        <v>107</v>
      </c>
      <c r="D85" t="s">
        <v>917</v>
      </c>
      <c r="F85" t="s">
        <v>2155</v>
      </c>
      <c r="G85" t="s">
        <v>2317</v>
      </c>
      <c r="H85" t="s">
        <v>2988</v>
      </c>
      <c r="I85" t="s">
        <v>3095</v>
      </c>
      <c r="J85" s="2">
        <v>75000</v>
      </c>
      <c r="K85" s="2">
        <v>3600000</v>
      </c>
      <c r="L85" t="s">
        <v>3368</v>
      </c>
      <c r="M85" t="s">
        <v>3464</v>
      </c>
    </row>
    <row r="86" spans="1:13">
      <c r="A86" t="s">
        <v>21</v>
      </c>
      <c r="B86" s="1">
        <f>HYPERLINK("https://cordis.europa.eu/project/id/201588", "201588")</f>
        <v>0</v>
      </c>
      <c r="C86" t="s">
        <v>108</v>
      </c>
      <c r="D86" t="s">
        <v>918</v>
      </c>
      <c r="F86" t="s">
        <v>2132</v>
      </c>
      <c r="G86" t="s">
        <v>2327</v>
      </c>
      <c r="H86" t="s">
        <v>2973</v>
      </c>
      <c r="I86" t="s">
        <v>3087</v>
      </c>
      <c r="J86" s="2">
        <v>282000</v>
      </c>
      <c r="K86" s="2">
        <v>2999145</v>
      </c>
      <c r="L86" t="s">
        <v>3376</v>
      </c>
      <c r="M86" t="s">
        <v>3465</v>
      </c>
    </row>
    <row r="87" spans="1:13">
      <c r="A87" t="s">
        <v>21</v>
      </c>
      <c r="B87" s="1">
        <f>HYPERLINK("https://cordis.europa.eu/project/id/223646", "223646")</f>
        <v>0</v>
      </c>
      <c r="C87" t="s">
        <v>109</v>
      </c>
      <c r="D87" t="s">
        <v>919</v>
      </c>
      <c r="F87" t="s">
        <v>2134</v>
      </c>
      <c r="G87" t="s">
        <v>2359</v>
      </c>
      <c r="H87" t="s">
        <v>2973</v>
      </c>
      <c r="I87" t="s">
        <v>3069</v>
      </c>
      <c r="J87" s="2">
        <v>0</v>
      </c>
      <c r="K87" s="2">
        <v>2999914</v>
      </c>
      <c r="L87" t="s">
        <v>3368</v>
      </c>
      <c r="M87" t="s">
        <v>3466</v>
      </c>
    </row>
    <row r="88" spans="1:13">
      <c r="A88" t="s">
        <v>21</v>
      </c>
      <c r="B88" s="1">
        <f>HYPERLINK("https://cordis.europa.eu/project/id/305564", "305564")</f>
        <v>0</v>
      </c>
      <c r="C88" t="s">
        <v>110</v>
      </c>
      <c r="D88" t="s">
        <v>920</v>
      </c>
      <c r="F88" t="s">
        <v>2144</v>
      </c>
      <c r="G88" t="s">
        <v>2362</v>
      </c>
      <c r="H88" t="s">
        <v>2972</v>
      </c>
      <c r="I88" t="s">
        <v>3054</v>
      </c>
      <c r="J88" s="2">
        <v>18000</v>
      </c>
      <c r="K88" s="2">
        <v>11999998</v>
      </c>
      <c r="L88" t="s">
        <v>3369</v>
      </c>
      <c r="M88" t="s">
        <v>3467</v>
      </c>
    </row>
    <row r="89" spans="1:13">
      <c r="A89" t="s">
        <v>21</v>
      </c>
      <c r="B89" s="1">
        <f>HYPERLINK("https://cordis.europa.eu/project/id/211638", "211638")</f>
        <v>0</v>
      </c>
      <c r="C89" t="s">
        <v>111</v>
      </c>
      <c r="D89" t="s">
        <v>921</v>
      </c>
      <c r="F89" t="s">
        <v>2150</v>
      </c>
      <c r="G89" t="s">
        <v>2363</v>
      </c>
      <c r="H89" t="s">
        <v>2973</v>
      </c>
      <c r="I89" t="s">
        <v>3061</v>
      </c>
      <c r="J89" s="2">
        <v>25000</v>
      </c>
      <c r="K89" s="2">
        <v>2280098</v>
      </c>
      <c r="L89" t="s">
        <v>3369</v>
      </c>
      <c r="M89" t="s">
        <v>3468</v>
      </c>
    </row>
    <row r="90" spans="1:13">
      <c r="A90" t="s">
        <v>21</v>
      </c>
      <c r="B90" s="1">
        <f>HYPERLINK("https://cordis.europa.eu/project/id/288048", "288048")</f>
        <v>0</v>
      </c>
      <c r="C90" t="s">
        <v>112</v>
      </c>
      <c r="D90" t="s">
        <v>922</v>
      </c>
      <c r="F90" t="s">
        <v>2156</v>
      </c>
      <c r="G90" t="s">
        <v>2364</v>
      </c>
      <c r="H90" t="s">
        <v>2970</v>
      </c>
      <c r="I90" t="s">
        <v>3096</v>
      </c>
      <c r="J90" s="2">
        <v>104265</v>
      </c>
      <c r="K90" s="2">
        <v>9651000</v>
      </c>
      <c r="L90" t="s">
        <v>3368</v>
      </c>
      <c r="M90" t="s">
        <v>3469</v>
      </c>
    </row>
    <row r="91" spans="1:13">
      <c r="A91" t="s">
        <v>21</v>
      </c>
      <c r="B91" s="1">
        <f>HYPERLINK("https://cordis.europa.eu/project/id/294557", "294557")</f>
        <v>0</v>
      </c>
      <c r="C91" t="s">
        <v>113</v>
      </c>
      <c r="D91" t="s">
        <v>923</v>
      </c>
      <c r="F91" t="s">
        <v>2157</v>
      </c>
      <c r="G91" t="s">
        <v>2365</v>
      </c>
      <c r="H91" t="s">
        <v>2976</v>
      </c>
      <c r="I91" t="s">
        <v>3097</v>
      </c>
      <c r="J91" s="2">
        <v>12000</v>
      </c>
      <c r="K91" s="2">
        <v>1997927</v>
      </c>
      <c r="L91" t="s">
        <v>3368</v>
      </c>
      <c r="M91" t="s">
        <v>3470</v>
      </c>
    </row>
    <row r="92" spans="1:13">
      <c r="A92" t="s">
        <v>21</v>
      </c>
      <c r="B92" s="1">
        <f>HYPERLINK("https://cordis.europa.eu/project/id/223592", "223592")</f>
        <v>0</v>
      </c>
      <c r="C92" t="s">
        <v>114</v>
      </c>
      <c r="D92" t="s">
        <v>924</v>
      </c>
      <c r="F92" t="s">
        <v>2134</v>
      </c>
      <c r="G92" t="s">
        <v>2319</v>
      </c>
      <c r="H92" t="s">
        <v>2979</v>
      </c>
      <c r="I92" t="s">
        <v>3069</v>
      </c>
      <c r="J92" s="2">
        <v>120419</v>
      </c>
      <c r="K92" s="2">
        <v>2683509</v>
      </c>
      <c r="L92" t="s">
        <v>3368</v>
      </c>
      <c r="M92" t="s">
        <v>3471</v>
      </c>
    </row>
    <row r="93" spans="1:13">
      <c r="A93" t="s">
        <v>21</v>
      </c>
      <c r="B93" s="1">
        <f>HYPERLINK("https://cordis.europa.eu/project/id/261060", "261060")</f>
        <v>0</v>
      </c>
      <c r="C93" t="s">
        <v>115</v>
      </c>
      <c r="D93" t="s">
        <v>925</v>
      </c>
      <c r="F93" t="s">
        <v>2130</v>
      </c>
      <c r="G93" t="s">
        <v>2358</v>
      </c>
      <c r="H93" t="s">
        <v>2989</v>
      </c>
      <c r="I93" t="s">
        <v>3038</v>
      </c>
      <c r="J93" s="2">
        <v>578100.01</v>
      </c>
      <c r="K93" s="2">
        <v>9999999.789999999</v>
      </c>
      <c r="L93" t="s">
        <v>3368</v>
      </c>
      <c r="M93" t="s">
        <v>3472</v>
      </c>
    </row>
    <row r="94" spans="1:13">
      <c r="A94" t="s">
        <v>21</v>
      </c>
      <c r="B94" s="1">
        <f>HYPERLINK("https://cordis.europa.eu/project/id/312818", "312818")</f>
        <v>0</v>
      </c>
      <c r="C94" t="s">
        <v>116</v>
      </c>
      <c r="D94" t="s">
        <v>926</v>
      </c>
      <c r="F94" t="s">
        <v>2158</v>
      </c>
      <c r="G94" t="s">
        <v>2355</v>
      </c>
      <c r="H94" t="s">
        <v>2973</v>
      </c>
      <c r="I94" t="s">
        <v>3098</v>
      </c>
      <c r="J94" s="2">
        <v>302399.2</v>
      </c>
      <c r="K94" s="2">
        <v>1996585.85</v>
      </c>
      <c r="L94" t="s">
        <v>3368</v>
      </c>
      <c r="M94" t="s">
        <v>3473</v>
      </c>
    </row>
    <row r="95" spans="1:13">
      <c r="A95" t="s">
        <v>21</v>
      </c>
      <c r="B95" s="1">
        <f>HYPERLINK("https://cordis.europa.eu/project/id/600925", "600925")</f>
        <v>0</v>
      </c>
      <c r="C95" t="s">
        <v>117</v>
      </c>
      <c r="D95" t="s">
        <v>927</v>
      </c>
      <c r="F95" t="s">
        <v>2158</v>
      </c>
      <c r="G95" t="s">
        <v>2358</v>
      </c>
      <c r="H95" t="s">
        <v>2970</v>
      </c>
      <c r="I95" t="s">
        <v>3099</v>
      </c>
      <c r="J95" s="2">
        <v>0</v>
      </c>
      <c r="K95" s="2">
        <v>6180000</v>
      </c>
      <c r="L95" t="s">
        <v>3368</v>
      </c>
      <c r="M95" t="s">
        <v>3474</v>
      </c>
    </row>
    <row r="96" spans="1:13">
      <c r="A96" t="s">
        <v>21</v>
      </c>
      <c r="B96" s="1">
        <f>HYPERLINK("https://cordis.europa.eu/project/id/319055", "319055")</f>
        <v>0</v>
      </c>
      <c r="C96" t="s">
        <v>118</v>
      </c>
      <c r="D96" t="s">
        <v>928</v>
      </c>
      <c r="F96" t="s">
        <v>2153</v>
      </c>
      <c r="G96" t="s">
        <v>2366</v>
      </c>
      <c r="H96" t="s">
        <v>2978</v>
      </c>
      <c r="I96" t="s">
        <v>3100</v>
      </c>
      <c r="J96" s="2">
        <v>0</v>
      </c>
      <c r="K96" s="2">
        <v>498000</v>
      </c>
      <c r="L96" t="s">
        <v>3368</v>
      </c>
      <c r="M96" t="s">
        <v>3475</v>
      </c>
    </row>
    <row r="97" spans="1:13">
      <c r="A97" t="s">
        <v>21</v>
      </c>
      <c r="B97" s="1">
        <f>HYPERLINK("https://cordis.europa.eu/project/id/288702", "288702")</f>
        <v>0</v>
      </c>
      <c r="C97" t="s">
        <v>119</v>
      </c>
      <c r="D97" t="s">
        <v>929</v>
      </c>
      <c r="F97" t="s">
        <v>2159</v>
      </c>
      <c r="G97" t="s">
        <v>2334</v>
      </c>
      <c r="H97" t="s">
        <v>2985</v>
      </c>
      <c r="I97" t="s">
        <v>3096</v>
      </c>
      <c r="J97" s="2">
        <v>0</v>
      </c>
      <c r="K97" s="2">
        <v>940000</v>
      </c>
      <c r="L97" t="s">
        <v>3368</v>
      </c>
      <c r="M97" t="s">
        <v>3476</v>
      </c>
    </row>
    <row r="98" spans="1:13">
      <c r="A98" t="s">
        <v>21</v>
      </c>
      <c r="B98" s="1">
        <f>HYPERLINK("https://cordis.europa.eu/project/id/244096", "244096")</f>
        <v>0</v>
      </c>
      <c r="C98" t="s">
        <v>120</v>
      </c>
      <c r="D98" t="s">
        <v>930</v>
      </c>
      <c r="F98" t="s">
        <v>2117</v>
      </c>
      <c r="G98" t="s">
        <v>2367</v>
      </c>
      <c r="H98" t="s">
        <v>2978</v>
      </c>
      <c r="I98" t="s">
        <v>3065</v>
      </c>
      <c r="J98" s="2">
        <v>0</v>
      </c>
      <c r="K98" s="2">
        <v>991206</v>
      </c>
      <c r="L98" t="s">
        <v>3368</v>
      </c>
      <c r="M98" t="s">
        <v>3477</v>
      </c>
    </row>
    <row r="99" spans="1:13">
      <c r="A99" t="s">
        <v>21</v>
      </c>
      <c r="B99" s="1">
        <f>HYPERLINK("https://cordis.europa.eu/project/id/263218", "263218")</f>
        <v>0</v>
      </c>
      <c r="C99" t="s">
        <v>121</v>
      </c>
      <c r="D99" t="s">
        <v>931</v>
      </c>
      <c r="F99" t="s">
        <v>2118</v>
      </c>
      <c r="G99" t="s">
        <v>2368</v>
      </c>
      <c r="H99" t="s">
        <v>2970</v>
      </c>
      <c r="I99" t="s">
        <v>3101</v>
      </c>
      <c r="J99" s="2">
        <v>352357</v>
      </c>
      <c r="K99" s="2">
        <v>1972049.75</v>
      </c>
      <c r="L99" t="s">
        <v>3369</v>
      </c>
      <c r="M99" t="s">
        <v>3478</v>
      </c>
    </row>
    <row r="100" spans="1:13">
      <c r="A100" t="s">
        <v>21</v>
      </c>
      <c r="B100" s="1">
        <f>HYPERLINK("https://cordis.europa.eu/project/id/263147", "263147")</f>
        <v>0</v>
      </c>
      <c r="C100" t="s">
        <v>122</v>
      </c>
      <c r="D100" t="s">
        <v>932</v>
      </c>
      <c r="F100" t="s">
        <v>2160</v>
      </c>
      <c r="G100" t="s">
        <v>2369</v>
      </c>
      <c r="H100" t="s">
        <v>2972</v>
      </c>
      <c r="I100" t="s">
        <v>3102</v>
      </c>
      <c r="J100" s="2">
        <v>0</v>
      </c>
      <c r="K100" s="2">
        <v>9592994.719999999</v>
      </c>
      <c r="L100" t="s">
        <v>3368</v>
      </c>
      <c r="M100" t="s">
        <v>3479</v>
      </c>
    </row>
    <row r="101" spans="1:13">
      <c r="A101" t="s">
        <v>21</v>
      </c>
      <c r="B101" s="1">
        <f>HYPERLINK("https://cordis.europa.eu/project/id/226824", "226824")</f>
        <v>0</v>
      </c>
      <c r="C101" t="s">
        <v>123</v>
      </c>
      <c r="D101" t="s">
        <v>933</v>
      </c>
      <c r="F101" t="s">
        <v>2161</v>
      </c>
      <c r="G101" t="s">
        <v>2370</v>
      </c>
      <c r="H101" t="s">
        <v>2979</v>
      </c>
      <c r="I101" t="s">
        <v>3103</v>
      </c>
      <c r="J101" s="2">
        <v>57994</v>
      </c>
      <c r="K101" s="2">
        <v>998897.86</v>
      </c>
      <c r="L101" t="s">
        <v>3368</v>
      </c>
      <c r="M101" t="s">
        <v>3480</v>
      </c>
    </row>
    <row r="102" spans="1:13">
      <c r="A102" t="s">
        <v>21</v>
      </c>
      <c r="B102" s="1">
        <f>HYPERLINK("https://cordis.europa.eu/project/id/312450", "312450")</f>
        <v>0</v>
      </c>
      <c r="C102" t="s">
        <v>124</v>
      </c>
      <c r="D102" t="s">
        <v>934</v>
      </c>
      <c r="F102" t="s">
        <v>2125</v>
      </c>
      <c r="G102" t="s">
        <v>1701</v>
      </c>
      <c r="H102" t="s">
        <v>2989</v>
      </c>
      <c r="I102" t="s">
        <v>3068</v>
      </c>
      <c r="J102" s="2">
        <v>14000</v>
      </c>
      <c r="K102" s="2">
        <v>6569842.5</v>
      </c>
      <c r="L102" t="s">
        <v>3368</v>
      </c>
      <c r="M102" t="s">
        <v>3481</v>
      </c>
    </row>
    <row r="103" spans="1:13">
      <c r="A103" t="s">
        <v>21</v>
      </c>
      <c r="B103" s="1">
        <f>HYPERLINK("https://cordis.europa.eu/project/id/266018", "266018")</f>
        <v>0</v>
      </c>
      <c r="C103" t="s">
        <v>125</v>
      </c>
      <c r="D103" t="s">
        <v>935</v>
      </c>
      <c r="F103" t="s">
        <v>2162</v>
      </c>
      <c r="G103" t="s">
        <v>2333</v>
      </c>
      <c r="H103" t="s">
        <v>2986</v>
      </c>
      <c r="I103" t="s">
        <v>3047</v>
      </c>
      <c r="J103" s="2">
        <v>0</v>
      </c>
      <c r="K103" s="2">
        <v>8999535</v>
      </c>
      <c r="L103" t="s">
        <v>3369</v>
      </c>
      <c r="M103" t="s">
        <v>3482</v>
      </c>
    </row>
    <row r="104" spans="1:13">
      <c r="A104" t="s">
        <v>21</v>
      </c>
      <c r="B104" s="1">
        <f>HYPERLINK("https://cordis.europa.eu/project/id/310177", "310177")</f>
        <v>0</v>
      </c>
      <c r="C104" t="s">
        <v>126</v>
      </c>
      <c r="D104" t="s">
        <v>936</v>
      </c>
      <c r="F104" t="s">
        <v>2144</v>
      </c>
      <c r="G104" t="s">
        <v>1820</v>
      </c>
      <c r="H104" t="s">
        <v>2983</v>
      </c>
      <c r="I104" t="s">
        <v>3104</v>
      </c>
      <c r="J104" s="2">
        <v>0</v>
      </c>
      <c r="K104" s="2">
        <v>3299469</v>
      </c>
      <c r="L104" t="s">
        <v>3368</v>
      </c>
      <c r="M104" t="s">
        <v>3483</v>
      </c>
    </row>
    <row r="105" spans="1:13">
      <c r="A105" t="s">
        <v>21</v>
      </c>
      <c r="B105" s="1">
        <f>HYPERLINK("https://cordis.europa.eu/project/id/265156", "265156")</f>
        <v>0</v>
      </c>
      <c r="C105" t="s">
        <v>127</v>
      </c>
      <c r="D105" t="s">
        <v>937</v>
      </c>
      <c r="F105" t="s">
        <v>2152</v>
      </c>
      <c r="G105" t="s">
        <v>2352</v>
      </c>
      <c r="H105" t="s">
        <v>2973</v>
      </c>
      <c r="I105" t="s">
        <v>3071</v>
      </c>
      <c r="J105" s="2">
        <v>0</v>
      </c>
      <c r="K105" s="2">
        <v>3364600</v>
      </c>
      <c r="L105" t="s">
        <v>3368</v>
      </c>
      <c r="M105" t="s">
        <v>3484</v>
      </c>
    </row>
    <row r="106" spans="1:13">
      <c r="A106" t="s">
        <v>21</v>
      </c>
      <c r="B106" s="1">
        <f>HYPERLINK("https://cordis.europa.eu/project/id/284501", "284501")</f>
        <v>0</v>
      </c>
      <c r="C106" t="s">
        <v>128</v>
      </c>
      <c r="D106" t="s">
        <v>938</v>
      </c>
      <c r="F106" t="s">
        <v>2159</v>
      </c>
      <c r="G106" t="s">
        <v>2371</v>
      </c>
      <c r="H106" t="s">
        <v>2979</v>
      </c>
      <c r="I106" t="s">
        <v>3105</v>
      </c>
      <c r="J106" s="2">
        <v>0</v>
      </c>
      <c r="K106" s="2">
        <v>779997</v>
      </c>
      <c r="L106" t="s">
        <v>3368</v>
      </c>
      <c r="M106" t="s">
        <v>3485</v>
      </c>
    </row>
    <row r="107" spans="1:13">
      <c r="A107" t="s">
        <v>21</v>
      </c>
      <c r="B107" s="1">
        <f>HYPERLINK("https://cordis.europa.eu/project/id/312993", "312993")</f>
        <v>0</v>
      </c>
      <c r="C107" t="s">
        <v>129</v>
      </c>
      <c r="D107" t="s">
        <v>939</v>
      </c>
      <c r="F107" t="s">
        <v>2158</v>
      </c>
      <c r="G107" t="s">
        <v>2372</v>
      </c>
      <c r="H107" t="s">
        <v>2973</v>
      </c>
      <c r="I107" t="s">
        <v>3098</v>
      </c>
      <c r="J107" s="2">
        <v>34755</v>
      </c>
      <c r="K107" s="2">
        <v>1420867</v>
      </c>
      <c r="L107" t="s">
        <v>3368</v>
      </c>
      <c r="M107" t="s">
        <v>3486</v>
      </c>
    </row>
    <row r="108" spans="1:13">
      <c r="A108" t="s">
        <v>21</v>
      </c>
      <c r="B108" s="1">
        <f>HYPERLINK("https://cordis.europa.eu/project/id/601806", "601806")</f>
        <v>0</v>
      </c>
      <c r="C108" t="s">
        <v>130</v>
      </c>
      <c r="D108" t="s">
        <v>940</v>
      </c>
      <c r="F108" t="s">
        <v>2109</v>
      </c>
      <c r="G108" t="s">
        <v>2326</v>
      </c>
      <c r="H108" t="s">
        <v>2978</v>
      </c>
      <c r="I108" t="s">
        <v>3037</v>
      </c>
      <c r="J108" s="2">
        <v>42350</v>
      </c>
      <c r="K108" s="2">
        <v>500000</v>
      </c>
      <c r="L108" t="s">
        <v>3368</v>
      </c>
      <c r="M108" t="s">
        <v>3487</v>
      </c>
    </row>
    <row r="109" spans="1:13">
      <c r="A109" t="s">
        <v>21</v>
      </c>
      <c r="B109" s="1">
        <f>HYPERLINK("https://cordis.europa.eu/project/id/260777", "260777")</f>
        <v>0</v>
      </c>
      <c r="C109" t="s">
        <v>131</v>
      </c>
      <c r="D109" t="s">
        <v>941</v>
      </c>
      <c r="F109" t="s">
        <v>2112</v>
      </c>
      <c r="G109" t="s">
        <v>2373</v>
      </c>
      <c r="H109" t="s">
        <v>2973</v>
      </c>
      <c r="I109" t="s">
        <v>3038</v>
      </c>
      <c r="J109" s="2">
        <v>426962.25</v>
      </c>
      <c r="K109" s="2">
        <v>5355322.25</v>
      </c>
      <c r="L109" t="s">
        <v>3368</v>
      </c>
      <c r="M109" t="s">
        <v>3488</v>
      </c>
    </row>
    <row r="110" spans="1:13">
      <c r="A110" t="s">
        <v>21</v>
      </c>
      <c r="B110" s="1">
        <f>HYPERLINK("https://cordis.europa.eu/project/id/284801", "284801")</f>
        <v>0</v>
      </c>
      <c r="C110" t="s">
        <v>132</v>
      </c>
      <c r="D110" t="s">
        <v>942</v>
      </c>
      <c r="F110" t="s">
        <v>2138</v>
      </c>
      <c r="G110" t="s">
        <v>2374</v>
      </c>
      <c r="H110" t="s">
        <v>2970</v>
      </c>
      <c r="I110" t="s">
        <v>3106</v>
      </c>
      <c r="J110" s="2">
        <v>153900</v>
      </c>
      <c r="K110" s="2">
        <v>2235100</v>
      </c>
      <c r="L110" t="s">
        <v>3368</v>
      </c>
      <c r="M110" t="s">
        <v>3489</v>
      </c>
    </row>
    <row r="111" spans="1:13">
      <c r="A111" t="s">
        <v>21</v>
      </c>
      <c r="B111" s="1">
        <f>HYPERLINK("https://cordis.europa.eu/project/id/227202", "227202")</f>
        <v>0</v>
      </c>
      <c r="C111" t="s">
        <v>133</v>
      </c>
      <c r="D111" t="s">
        <v>943</v>
      </c>
      <c r="F111" t="s">
        <v>2111</v>
      </c>
      <c r="G111" t="s">
        <v>2357</v>
      </c>
      <c r="H111" t="s">
        <v>2973</v>
      </c>
      <c r="I111" t="s">
        <v>3056</v>
      </c>
      <c r="J111" s="2">
        <v>249283</v>
      </c>
      <c r="K111" s="2">
        <v>2372534</v>
      </c>
      <c r="L111" t="s">
        <v>3371</v>
      </c>
      <c r="M111" t="s">
        <v>3490</v>
      </c>
    </row>
    <row r="112" spans="1:13">
      <c r="A112" t="s">
        <v>21</v>
      </c>
      <c r="B112" s="1">
        <f>HYPERLINK("https://cordis.europa.eu/project/id/265582", "265582")</f>
        <v>0</v>
      </c>
      <c r="C112" t="s">
        <v>134</v>
      </c>
      <c r="D112" t="s">
        <v>944</v>
      </c>
      <c r="F112" t="s">
        <v>2162</v>
      </c>
      <c r="G112" t="s">
        <v>2374</v>
      </c>
      <c r="H112" t="s">
        <v>2972</v>
      </c>
      <c r="I112" t="s">
        <v>3047</v>
      </c>
      <c r="J112" s="2">
        <v>0</v>
      </c>
      <c r="K112" s="2">
        <v>5999295.999999999</v>
      </c>
      <c r="L112" t="s">
        <v>3369</v>
      </c>
      <c r="M112" t="s">
        <v>3491</v>
      </c>
    </row>
    <row r="113" spans="1:13">
      <c r="A113" t="s">
        <v>21</v>
      </c>
      <c r="B113" s="1">
        <f>HYPERLINK("https://cordis.europa.eu/project/id/225722", "225722")</f>
        <v>0</v>
      </c>
      <c r="C113" t="s">
        <v>135</v>
      </c>
      <c r="D113" t="s">
        <v>945</v>
      </c>
      <c r="F113" t="s">
        <v>2163</v>
      </c>
      <c r="G113" t="s">
        <v>2375</v>
      </c>
      <c r="H113" t="s">
        <v>2973</v>
      </c>
      <c r="I113" t="s">
        <v>3035</v>
      </c>
      <c r="J113" s="2">
        <v>0</v>
      </c>
      <c r="K113" s="2">
        <v>1459150</v>
      </c>
      <c r="L113" t="s">
        <v>3368</v>
      </c>
      <c r="M113" t="s">
        <v>3492</v>
      </c>
    </row>
    <row r="114" spans="1:13">
      <c r="A114" t="s">
        <v>21</v>
      </c>
      <c r="B114" s="1">
        <f>HYPERLINK("https://cordis.europa.eu/project/id/217033", "217033")</f>
        <v>0</v>
      </c>
      <c r="C114" t="s">
        <v>136</v>
      </c>
      <c r="D114" t="s">
        <v>946</v>
      </c>
      <c r="F114" t="s">
        <v>2164</v>
      </c>
      <c r="G114" t="s">
        <v>2376</v>
      </c>
      <c r="H114" t="s">
        <v>2970</v>
      </c>
      <c r="I114" t="s">
        <v>3107</v>
      </c>
      <c r="J114" s="2">
        <v>0</v>
      </c>
      <c r="K114" s="2">
        <v>4046843</v>
      </c>
      <c r="L114" t="s">
        <v>3368</v>
      </c>
      <c r="M114" t="s">
        <v>3493</v>
      </c>
    </row>
    <row r="115" spans="1:13">
      <c r="A115" t="s">
        <v>21</v>
      </c>
      <c r="B115" s="1">
        <f>HYPERLINK("https://cordis.europa.eu/project/id/248894", "248894")</f>
        <v>0</v>
      </c>
      <c r="C115" t="s">
        <v>137</v>
      </c>
      <c r="D115" t="s">
        <v>947</v>
      </c>
      <c r="F115" t="s">
        <v>2119</v>
      </c>
      <c r="G115" t="s">
        <v>2328</v>
      </c>
      <c r="H115" t="s">
        <v>2970</v>
      </c>
      <c r="I115" t="s">
        <v>3034</v>
      </c>
      <c r="J115" s="2">
        <v>0</v>
      </c>
      <c r="K115" s="2">
        <v>5257776</v>
      </c>
      <c r="L115" t="s">
        <v>3368</v>
      </c>
      <c r="M115" t="s">
        <v>3494</v>
      </c>
    </row>
    <row r="116" spans="1:13">
      <c r="A116" t="s">
        <v>21</v>
      </c>
      <c r="B116" s="1">
        <f>HYPERLINK("https://cordis.europa.eu/project/id/212243", "212243")</f>
        <v>0</v>
      </c>
      <c r="C116" t="s">
        <v>138</v>
      </c>
      <c r="D116" t="s">
        <v>948</v>
      </c>
      <c r="F116" t="s">
        <v>2107</v>
      </c>
      <c r="G116" t="s">
        <v>2363</v>
      </c>
      <c r="H116" t="s">
        <v>2990</v>
      </c>
      <c r="I116" t="s">
        <v>3072</v>
      </c>
      <c r="J116" s="2">
        <v>0</v>
      </c>
      <c r="K116" s="2">
        <v>5499998.92</v>
      </c>
      <c r="L116" t="s">
        <v>3368</v>
      </c>
      <c r="M116" t="s">
        <v>3495</v>
      </c>
    </row>
    <row r="117" spans="1:13">
      <c r="A117" t="s">
        <v>21</v>
      </c>
      <c r="B117" s="1">
        <f>HYPERLINK("https://cordis.europa.eu/project/id/604397", "604397")</f>
        <v>0</v>
      </c>
      <c r="C117" t="s">
        <v>139</v>
      </c>
      <c r="D117" t="s">
        <v>949</v>
      </c>
      <c r="F117" t="s">
        <v>2129</v>
      </c>
      <c r="G117" t="s">
        <v>1814</v>
      </c>
      <c r="H117" t="s">
        <v>2973</v>
      </c>
      <c r="I117" t="s">
        <v>3108</v>
      </c>
      <c r="J117" s="2">
        <v>0</v>
      </c>
      <c r="K117" s="2">
        <v>3683000</v>
      </c>
      <c r="L117" t="s">
        <v>3368</v>
      </c>
      <c r="M117" t="s">
        <v>3496</v>
      </c>
    </row>
    <row r="118" spans="1:13">
      <c r="A118" t="s">
        <v>21</v>
      </c>
      <c r="B118" s="1">
        <f>HYPERLINK("https://cordis.europa.eu/project/id/312168", "312168")</f>
        <v>0</v>
      </c>
      <c r="C118" t="s">
        <v>140</v>
      </c>
      <c r="D118" t="s">
        <v>950</v>
      </c>
      <c r="F118" t="s">
        <v>2165</v>
      </c>
      <c r="G118" t="s">
        <v>2360</v>
      </c>
      <c r="H118" t="s">
        <v>2978</v>
      </c>
      <c r="I118" t="s">
        <v>3109</v>
      </c>
      <c r="J118" s="2">
        <v>888276</v>
      </c>
      <c r="K118" s="2">
        <v>1436325</v>
      </c>
      <c r="L118" t="s">
        <v>3369</v>
      </c>
      <c r="M118" t="s">
        <v>3497</v>
      </c>
    </row>
    <row r="119" spans="1:13">
      <c r="A119" t="s">
        <v>21</v>
      </c>
      <c r="B119" s="1">
        <f>HYPERLINK("https://cordis.europa.eu/project/id/314233", "314233")</f>
        <v>0</v>
      </c>
      <c r="C119" t="s">
        <v>141</v>
      </c>
      <c r="D119" t="s">
        <v>951</v>
      </c>
      <c r="F119" t="s">
        <v>2165</v>
      </c>
      <c r="G119" t="s">
        <v>2369</v>
      </c>
      <c r="H119" t="s">
        <v>2973</v>
      </c>
      <c r="I119" t="s">
        <v>3036</v>
      </c>
      <c r="J119" s="2">
        <v>324450</v>
      </c>
      <c r="K119" s="2">
        <v>2980805</v>
      </c>
      <c r="L119" t="s">
        <v>3368</v>
      </c>
      <c r="M119" t="s">
        <v>3498</v>
      </c>
    </row>
    <row r="120" spans="1:13">
      <c r="A120" t="s">
        <v>21</v>
      </c>
      <c r="B120" s="1">
        <f>HYPERLINK("https://cordis.europa.eu/project/id/228581", "228581")</f>
        <v>0</v>
      </c>
      <c r="C120" t="s">
        <v>142</v>
      </c>
      <c r="D120" t="s">
        <v>952</v>
      </c>
      <c r="F120" t="s">
        <v>2117</v>
      </c>
      <c r="G120" t="s">
        <v>2331</v>
      </c>
      <c r="H120" t="s">
        <v>2973</v>
      </c>
      <c r="I120" t="s">
        <v>3063</v>
      </c>
      <c r="J120" s="2">
        <v>0</v>
      </c>
      <c r="K120" s="2">
        <v>3134676</v>
      </c>
      <c r="L120" t="s">
        <v>3368</v>
      </c>
      <c r="M120" t="s">
        <v>3499</v>
      </c>
    </row>
    <row r="121" spans="1:13">
      <c r="A121" t="s">
        <v>21</v>
      </c>
      <c r="B121" s="1">
        <f>HYPERLINK("https://cordis.europa.eu/project/id/258378", "258378")</f>
        <v>0</v>
      </c>
      <c r="C121" t="s">
        <v>143</v>
      </c>
      <c r="D121" t="s">
        <v>953</v>
      </c>
      <c r="F121" t="s">
        <v>2112</v>
      </c>
      <c r="G121" t="s">
        <v>2319</v>
      </c>
      <c r="H121" t="s">
        <v>2970</v>
      </c>
      <c r="I121" t="s">
        <v>3086</v>
      </c>
      <c r="J121" s="2">
        <v>0</v>
      </c>
      <c r="K121" s="2">
        <v>5158589</v>
      </c>
      <c r="L121" t="s">
        <v>3368</v>
      </c>
      <c r="M121" t="s">
        <v>3500</v>
      </c>
    </row>
    <row r="122" spans="1:13">
      <c r="A122" t="s">
        <v>21</v>
      </c>
      <c r="B122" s="1">
        <f>HYPERLINK("https://cordis.europa.eu/project/id/231590", "231590")</f>
        <v>0</v>
      </c>
      <c r="C122" t="s">
        <v>144</v>
      </c>
      <c r="D122" t="s">
        <v>954</v>
      </c>
      <c r="F122" t="s">
        <v>2163</v>
      </c>
      <c r="G122" t="s">
        <v>2367</v>
      </c>
      <c r="H122" t="s">
        <v>2970</v>
      </c>
      <c r="I122" t="s">
        <v>3110</v>
      </c>
      <c r="J122" s="2">
        <v>0</v>
      </c>
      <c r="K122" s="2">
        <v>1800000</v>
      </c>
      <c r="L122" t="s">
        <v>3368</v>
      </c>
      <c r="M122" t="s">
        <v>3501</v>
      </c>
    </row>
    <row r="123" spans="1:13">
      <c r="A123" t="s">
        <v>21</v>
      </c>
      <c r="B123" s="1">
        <f>HYPERLINK("https://cordis.europa.eu/project/id/248505", "248505")</f>
        <v>0</v>
      </c>
      <c r="C123" t="s">
        <v>145</v>
      </c>
      <c r="D123" t="s">
        <v>955</v>
      </c>
      <c r="F123" t="s">
        <v>2117</v>
      </c>
      <c r="G123" t="s">
        <v>2342</v>
      </c>
      <c r="H123" t="s">
        <v>2985</v>
      </c>
      <c r="I123" t="s">
        <v>3034</v>
      </c>
      <c r="J123" s="2">
        <v>61464</v>
      </c>
      <c r="K123" s="2">
        <v>650000</v>
      </c>
      <c r="L123" t="s">
        <v>3369</v>
      </c>
      <c r="M123" t="s">
        <v>3502</v>
      </c>
    </row>
    <row r="124" spans="1:13">
      <c r="A124" t="s">
        <v>21</v>
      </c>
      <c r="B124" s="1">
        <f>HYPERLINK("https://cordis.europa.eu/project/id/610510", "610510")</f>
        <v>0</v>
      </c>
      <c r="C124" t="s">
        <v>146</v>
      </c>
      <c r="D124" t="s">
        <v>956</v>
      </c>
      <c r="F124" t="s">
        <v>2115</v>
      </c>
      <c r="G124" t="s">
        <v>2377</v>
      </c>
      <c r="H124" t="s">
        <v>2970</v>
      </c>
      <c r="I124" t="s">
        <v>3111</v>
      </c>
      <c r="J124" s="2">
        <v>0</v>
      </c>
      <c r="K124" s="2">
        <v>7700000</v>
      </c>
      <c r="L124" t="s">
        <v>3368</v>
      </c>
      <c r="M124" t="s">
        <v>3503</v>
      </c>
    </row>
    <row r="125" spans="1:13">
      <c r="A125" t="s">
        <v>21</v>
      </c>
      <c r="B125" s="1">
        <f>HYPERLINK("https://cordis.europa.eu/project/id/240837", "240837")</f>
        <v>0</v>
      </c>
      <c r="C125" t="s">
        <v>147</v>
      </c>
      <c r="D125" t="s">
        <v>957</v>
      </c>
      <c r="F125" t="s">
        <v>2117</v>
      </c>
      <c r="G125" t="s">
        <v>2336</v>
      </c>
      <c r="H125" t="s">
        <v>2970</v>
      </c>
      <c r="I125" t="s">
        <v>3112</v>
      </c>
      <c r="J125" s="2">
        <v>0</v>
      </c>
      <c r="K125" s="2">
        <v>3958530</v>
      </c>
      <c r="L125" t="s">
        <v>3368</v>
      </c>
      <c r="M125" t="s">
        <v>3504</v>
      </c>
    </row>
    <row r="126" spans="1:13">
      <c r="A126" t="s">
        <v>21</v>
      </c>
      <c r="B126" s="1">
        <f>HYPERLINK("https://cordis.europa.eu/project/id/222633", "222633")</f>
        <v>0</v>
      </c>
      <c r="C126" t="s">
        <v>148</v>
      </c>
      <c r="D126" t="s">
        <v>958</v>
      </c>
      <c r="F126" t="s">
        <v>2166</v>
      </c>
      <c r="G126" t="s">
        <v>2336</v>
      </c>
      <c r="H126" t="s">
        <v>2972</v>
      </c>
      <c r="I126" t="s">
        <v>3082</v>
      </c>
      <c r="J126" s="2">
        <v>0</v>
      </c>
      <c r="K126" s="2">
        <v>5996822</v>
      </c>
      <c r="L126" t="s">
        <v>3368</v>
      </c>
      <c r="M126" t="s">
        <v>3505</v>
      </c>
    </row>
    <row r="127" spans="1:13">
      <c r="A127" t="s">
        <v>21</v>
      </c>
      <c r="B127" s="1">
        <f>HYPERLINK("https://cordis.europa.eu/project/id/288136", "288136")</f>
        <v>0</v>
      </c>
      <c r="C127" t="s">
        <v>149</v>
      </c>
      <c r="D127" t="s">
        <v>959</v>
      </c>
      <c r="F127" t="s">
        <v>2167</v>
      </c>
      <c r="G127" t="s">
        <v>2378</v>
      </c>
      <c r="H127" t="s">
        <v>2985</v>
      </c>
      <c r="I127" t="s">
        <v>3096</v>
      </c>
      <c r="J127" s="2">
        <v>0</v>
      </c>
      <c r="K127" s="2">
        <v>526685</v>
      </c>
      <c r="L127" t="s">
        <v>3371</v>
      </c>
      <c r="M127" t="s">
        <v>3506</v>
      </c>
    </row>
    <row r="128" spans="1:13">
      <c r="A128" t="s">
        <v>21</v>
      </c>
      <c r="B128" s="1">
        <f>HYPERLINK("https://cordis.europa.eu/project/id/287581", "287581")</f>
        <v>0</v>
      </c>
      <c r="C128" t="s">
        <v>150</v>
      </c>
      <c r="D128" t="s">
        <v>960</v>
      </c>
      <c r="F128" t="s">
        <v>2168</v>
      </c>
      <c r="G128" t="s">
        <v>2325</v>
      </c>
      <c r="H128" t="s">
        <v>2970</v>
      </c>
      <c r="I128" t="s">
        <v>3096</v>
      </c>
      <c r="J128" s="2">
        <v>0</v>
      </c>
      <c r="K128" s="2">
        <v>5000000</v>
      </c>
      <c r="L128" t="s">
        <v>3368</v>
      </c>
      <c r="M128" t="s">
        <v>3507</v>
      </c>
    </row>
    <row r="129" spans="1:13">
      <c r="A129" t="s">
        <v>21</v>
      </c>
      <c r="B129" s="1">
        <f>HYPERLINK("https://cordis.europa.eu/project/id/289170", "289170")</f>
        <v>0</v>
      </c>
      <c r="C129" t="s">
        <v>151</v>
      </c>
      <c r="D129" t="s">
        <v>961</v>
      </c>
      <c r="F129" t="s">
        <v>2126</v>
      </c>
      <c r="G129" t="s">
        <v>2334</v>
      </c>
      <c r="H129" t="s">
        <v>2987</v>
      </c>
      <c r="I129" t="s">
        <v>3088</v>
      </c>
      <c r="J129" s="2">
        <v>60600</v>
      </c>
      <c r="K129" s="2">
        <v>2874468</v>
      </c>
      <c r="L129" t="s">
        <v>3368</v>
      </c>
      <c r="M129" t="s">
        <v>3508</v>
      </c>
    </row>
    <row r="130" spans="1:13">
      <c r="A130" t="s">
        <v>21</v>
      </c>
      <c r="B130" s="1">
        <f>HYPERLINK("https://cordis.europa.eu/project/id/305081", "305081")</f>
        <v>0</v>
      </c>
      <c r="C130" t="s">
        <v>152</v>
      </c>
      <c r="D130" t="s">
        <v>962</v>
      </c>
      <c r="F130" t="s">
        <v>2153</v>
      </c>
      <c r="G130" t="s">
        <v>2334</v>
      </c>
      <c r="H130" t="s">
        <v>2978</v>
      </c>
      <c r="I130" t="s">
        <v>3054</v>
      </c>
      <c r="J130" s="2">
        <v>0</v>
      </c>
      <c r="K130" s="2">
        <v>497368</v>
      </c>
      <c r="L130" t="s">
        <v>3368</v>
      </c>
      <c r="M130" t="s">
        <v>3509</v>
      </c>
    </row>
    <row r="131" spans="1:13">
      <c r="A131" t="s">
        <v>21</v>
      </c>
      <c r="B131" s="1">
        <f>HYPERLINK("https://cordis.europa.eu/project/id/241669", "241669")</f>
        <v>0</v>
      </c>
      <c r="C131" t="s">
        <v>153</v>
      </c>
      <c r="D131" t="s">
        <v>963</v>
      </c>
      <c r="F131" t="s">
        <v>2169</v>
      </c>
      <c r="G131" t="s">
        <v>2356</v>
      </c>
      <c r="H131" t="s">
        <v>2972</v>
      </c>
      <c r="I131" t="s">
        <v>3113</v>
      </c>
      <c r="J131" s="2">
        <v>0</v>
      </c>
      <c r="K131" s="2">
        <v>10500000</v>
      </c>
      <c r="L131" t="s">
        <v>3368</v>
      </c>
      <c r="M131" t="s">
        <v>3510</v>
      </c>
    </row>
    <row r="132" spans="1:13">
      <c r="A132" t="s">
        <v>21</v>
      </c>
      <c r="B132" s="1">
        <f>HYPERLINK("https://cordis.europa.eu/project/id/231747", "231747")</f>
        <v>0</v>
      </c>
      <c r="C132" t="s">
        <v>154</v>
      </c>
      <c r="D132" t="s">
        <v>964</v>
      </c>
      <c r="F132" t="s">
        <v>2111</v>
      </c>
      <c r="G132" t="s">
        <v>2323</v>
      </c>
      <c r="H132" t="s">
        <v>2989</v>
      </c>
      <c r="I132" t="s">
        <v>3114</v>
      </c>
      <c r="J132" s="2">
        <v>0</v>
      </c>
      <c r="K132" s="2">
        <v>5750000</v>
      </c>
      <c r="L132" t="s">
        <v>3368</v>
      </c>
      <c r="M132" t="s">
        <v>3511</v>
      </c>
    </row>
    <row r="133" spans="1:13">
      <c r="A133" t="s">
        <v>21</v>
      </c>
      <c r="B133" s="1">
        <f>HYPERLINK("https://cordis.europa.eu/project/id/611396", "611396")</f>
        <v>0</v>
      </c>
      <c r="C133" t="s">
        <v>155</v>
      </c>
      <c r="D133" t="s">
        <v>965</v>
      </c>
      <c r="F133" t="s">
        <v>2136</v>
      </c>
      <c r="G133" t="s">
        <v>1820</v>
      </c>
      <c r="H133" t="s">
        <v>2970</v>
      </c>
      <c r="I133" t="s">
        <v>3115</v>
      </c>
      <c r="J133" s="2">
        <v>305000</v>
      </c>
      <c r="K133" s="2">
        <v>1495000</v>
      </c>
      <c r="L133" t="s">
        <v>3368</v>
      </c>
      <c r="M133" t="s">
        <v>3512</v>
      </c>
    </row>
    <row r="134" spans="1:13">
      <c r="A134" t="s">
        <v>21</v>
      </c>
      <c r="B134" s="1">
        <f>HYPERLINK("https://cordis.europa.eu/project/id/216041", "216041")</f>
        <v>0</v>
      </c>
      <c r="C134" t="s">
        <v>156</v>
      </c>
      <c r="D134" t="s">
        <v>966</v>
      </c>
      <c r="F134" t="s">
        <v>2164</v>
      </c>
      <c r="G134" t="s">
        <v>2376</v>
      </c>
      <c r="H134" t="s">
        <v>2970</v>
      </c>
      <c r="I134" t="s">
        <v>3107</v>
      </c>
      <c r="J134" s="2">
        <v>0</v>
      </c>
      <c r="K134" s="2">
        <v>14448043</v>
      </c>
      <c r="L134" t="s">
        <v>3368</v>
      </c>
      <c r="M134" t="s">
        <v>3513</v>
      </c>
    </row>
    <row r="135" spans="1:13">
      <c r="A135" t="s">
        <v>21</v>
      </c>
      <c r="B135" s="1">
        <f>HYPERLINK("https://cordis.europa.eu/project/id/223340", "223340")</f>
        <v>0</v>
      </c>
      <c r="C135" t="s">
        <v>157</v>
      </c>
      <c r="D135" t="s">
        <v>967</v>
      </c>
      <c r="F135" t="s">
        <v>2143</v>
      </c>
      <c r="G135" t="s">
        <v>2348</v>
      </c>
      <c r="H135" t="s">
        <v>2979</v>
      </c>
      <c r="I135" t="s">
        <v>3069</v>
      </c>
      <c r="J135" s="2">
        <v>60000</v>
      </c>
      <c r="K135" s="2">
        <v>999909</v>
      </c>
      <c r="L135" t="s">
        <v>3368</v>
      </c>
      <c r="M135" t="s">
        <v>3514</v>
      </c>
    </row>
    <row r="136" spans="1:13">
      <c r="A136" t="s">
        <v>21</v>
      </c>
      <c r="B136" s="1">
        <f>HYPERLINK("https://cordis.europa.eu/project/id/238988", "238988")</f>
        <v>0</v>
      </c>
      <c r="C136" t="s">
        <v>158</v>
      </c>
      <c r="D136" t="s">
        <v>968</v>
      </c>
      <c r="F136" t="s">
        <v>2137</v>
      </c>
      <c r="G136" t="s">
        <v>2346</v>
      </c>
      <c r="H136" t="s">
        <v>2988</v>
      </c>
      <c r="I136" t="s">
        <v>3116</v>
      </c>
      <c r="J136" s="2">
        <v>0</v>
      </c>
      <c r="K136" s="2">
        <v>3300000</v>
      </c>
      <c r="L136" t="s">
        <v>3369</v>
      </c>
      <c r="M136" t="s">
        <v>3515</v>
      </c>
    </row>
    <row r="137" spans="1:13">
      <c r="A137" t="s">
        <v>21</v>
      </c>
      <c r="B137" s="1">
        <f>HYPERLINK("https://cordis.europa.eu/project/id/308665", "308665")</f>
        <v>0</v>
      </c>
      <c r="C137" t="s">
        <v>159</v>
      </c>
      <c r="D137" t="s">
        <v>969</v>
      </c>
      <c r="F137" t="s">
        <v>2170</v>
      </c>
      <c r="G137" t="s">
        <v>2361</v>
      </c>
      <c r="H137" t="s">
        <v>2970</v>
      </c>
      <c r="I137" t="s">
        <v>3117</v>
      </c>
      <c r="J137" s="2">
        <v>0</v>
      </c>
      <c r="K137" s="2">
        <v>5998851</v>
      </c>
      <c r="L137" t="s">
        <v>3368</v>
      </c>
      <c r="M137" t="s">
        <v>3516</v>
      </c>
    </row>
    <row r="138" spans="1:13">
      <c r="A138" t="s">
        <v>21</v>
      </c>
      <c r="B138" s="1">
        <f>HYPERLINK("https://cordis.europa.eu/project/id/211404", "211404")</f>
        <v>0</v>
      </c>
      <c r="C138" t="s">
        <v>160</v>
      </c>
      <c r="D138" t="s">
        <v>970</v>
      </c>
      <c r="F138" t="s">
        <v>2132</v>
      </c>
      <c r="G138" t="s">
        <v>2331</v>
      </c>
      <c r="H138" t="s">
        <v>2990</v>
      </c>
      <c r="I138" t="s">
        <v>3072</v>
      </c>
      <c r="J138" s="2">
        <v>0</v>
      </c>
      <c r="K138" s="2">
        <v>4500000</v>
      </c>
      <c r="L138" t="s">
        <v>3368</v>
      </c>
      <c r="M138" t="s">
        <v>3517</v>
      </c>
    </row>
    <row r="139" spans="1:13">
      <c r="A139" t="s">
        <v>21</v>
      </c>
      <c r="B139" s="1">
        <f>HYPERLINK("https://cordis.europa.eu/project/id/264879", "264879")</f>
        <v>0</v>
      </c>
      <c r="C139" t="s">
        <v>161</v>
      </c>
      <c r="D139" t="s">
        <v>971</v>
      </c>
      <c r="F139" t="s">
        <v>2162</v>
      </c>
      <c r="G139" t="s">
        <v>2333</v>
      </c>
      <c r="H139" t="s">
        <v>2972</v>
      </c>
      <c r="I139" t="s">
        <v>3071</v>
      </c>
      <c r="J139" s="2">
        <v>0</v>
      </c>
      <c r="K139" s="2">
        <v>6989906</v>
      </c>
      <c r="L139" t="s">
        <v>3368</v>
      </c>
      <c r="M139" t="s">
        <v>3518</v>
      </c>
    </row>
    <row r="140" spans="1:13">
      <c r="A140" t="s">
        <v>21</v>
      </c>
      <c r="B140" s="1">
        <f>HYPERLINK("https://cordis.europa.eu/project/id/226534", "226534")</f>
        <v>0</v>
      </c>
      <c r="C140" t="s">
        <v>162</v>
      </c>
      <c r="D140" t="s">
        <v>972</v>
      </c>
      <c r="F140" t="s">
        <v>2154</v>
      </c>
      <c r="G140" t="s">
        <v>2379</v>
      </c>
      <c r="H140" t="s">
        <v>2973</v>
      </c>
      <c r="I140" t="s">
        <v>3103</v>
      </c>
      <c r="J140" s="2">
        <v>0</v>
      </c>
      <c r="K140" s="2">
        <v>3499052.2</v>
      </c>
      <c r="L140" t="s">
        <v>3368</v>
      </c>
      <c r="M140" t="s">
        <v>3519</v>
      </c>
    </row>
    <row r="141" spans="1:13">
      <c r="A141" t="s">
        <v>21</v>
      </c>
      <c r="B141" s="1">
        <f>HYPERLINK("https://cordis.europa.eu/project/id/608555", "608555")</f>
        <v>0</v>
      </c>
      <c r="C141" t="s">
        <v>163</v>
      </c>
      <c r="D141" t="s">
        <v>973</v>
      </c>
      <c r="F141" t="s">
        <v>2131</v>
      </c>
      <c r="G141" t="s">
        <v>2339</v>
      </c>
      <c r="H141" t="s">
        <v>2970</v>
      </c>
      <c r="I141" t="s">
        <v>3059</v>
      </c>
      <c r="J141" s="2">
        <v>0</v>
      </c>
      <c r="K141" s="2">
        <v>4890111</v>
      </c>
      <c r="L141" t="s">
        <v>3368</v>
      </c>
      <c r="M141" t="s">
        <v>3520</v>
      </c>
    </row>
    <row r="142" spans="1:13">
      <c r="A142" t="s">
        <v>21</v>
      </c>
      <c r="B142" s="1">
        <f>HYPERLINK("https://cordis.europa.eu/project/id/613979", "613979")</f>
        <v>0</v>
      </c>
      <c r="C142" t="s">
        <v>164</v>
      </c>
      <c r="D142" t="s">
        <v>974</v>
      </c>
      <c r="F142" t="s">
        <v>2136</v>
      </c>
      <c r="G142" t="s">
        <v>1948</v>
      </c>
      <c r="H142" t="s">
        <v>2972</v>
      </c>
      <c r="I142" t="s">
        <v>3118</v>
      </c>
      <c r="J142" s="2">
        <v>0</v>
      </c>
      <c r="K142" s="2">
        <v>8973268</v>
      </c>
      <c r="L142" t="s">
        <v>3371</v>
      </c>
      <c r="M142" t="s">
        <v>3521</v>
      </c>
    </row>
    <row r="143" spans="1:13">
      <c r="A143" t="s">
        <v>21</v>
      </c>
      <c r="B143" s="1">
        <f>HYPERLINK("https://cordis.europa.eu/project/id/243908", "243908")</f>
        <v>0</v>
      </c>
      <c r="C143" t="s">
        <v>165</v>
      </c>
      <c r="D143" t="s">
        <v>975</v>
      </c>
      <c r="F143" t="s">
        <v>2117</v>
      </c>
      <c r="G143" t="s">
        <v>2334</v>
      </c>
      <c r="H143" t="s">
        <v>2972</v>
      </c>
      <c r="I143" t="s">
        <v>3065</v>
      </c>
      <c r="J143" s="2">
        <v>0</v>
      </c>
      <c r="K143" s="2">
        <v>6647909</v>
      </c>
      <c r="L143" t="s">
        <v>3368</v>
      </c>
      <c r="M143" t="s">
        <v>3522</v>
      </c>
    </row>
    <row r="144" spans="1:13">
      <c r="A144" t="s">
        <v>21</v>
      </c>
      <c r="B144" s="1">
        <f>HYPERLINK("https://cordis.europa.eu/project/id/303419", "303419")</f>
        <v>0</v>
      </c>
      <c r="C144" t="s">
        <v>166</v>
      </c>
      <c r="D144" t="s">
        <v>976</v>
      </c>
      <c r="F144" t="s">
        <v>2171</v>
      </c>
      <c r="G144" t="s">
        <v>1905</v>
      </c>
      <c r="H144" t="s">
        <v>2980</v>
      </c>
      <c r="I144" t="s">
        <v>3119</v>
      </c>
      <c r="J144" s="2">
        <v>0</v>
      </c>
      <c r="K144" s="2">
        <v>2294106</v>
      </c>
      <c r="L144" t="s">
        <v>3368</v>
      </c>
      <c r="M144" t="s">
        <v>3523</v>
      </c>
    </row>
    <row r="145" spans="1:13">
      <c r="A145" t="s">
        <v>21</v>
      </c>
      <c r="B145" s="1">
        <f>HYPERLINK("https://cordis.europa.eu/project/id/241302", "241302")</f>
        <v>0</v>
      </c>
      <c r="C145" t="s">
        <v>167</v>
      </c>
      <c r="D145" t="s">
        <v>978</v>
      </c>
      <c r="F145" t="s">
        <v>2172</v>
      </c>
      <c r="G145" t="s">
        <v>2380</v>
      </c>
      <c r="H145" t="s">
        <v>2970</v>
      </c>
      <c r="I145" t="s">
        <v>3112</v>
      </c>
      <c r="J145" s="2">
        <v>0</v>
      </c>
      <c r="K145" s="2">
        <v>3733542</v>
      </c>
      <c r="L145" t="s">
        <v>3368</v>
      </c>
      <c r="M145" t="s">
        <v>3524</v>
      </c>
    </row>
    <row r="146" spans="1:13">
      <c r="A146" t="s">
        <v>21</v>
      </c>
      <c r="B146" s="1">
        <f>HYPERLINK("https://cordis.europa.eu/project/id/312325", "312325")</f>
        <v>0</v>
      </c>
      <c r="C146" t="s">
        <v>168</v>
      </c>
      <c r="D146" t="s">
        <v>979</v>
      </c>
      <c r="F146" t="s">
        <v>2158</v>
      </c>
      <c r="G146" t="s">
        <v>2332</v>
      </c>
      <c r="H146" t="s">
        <v>2990</v>
      </c>
      <c r="I146" t="s">
        <v>3120</v>
      </c>
      <c r="J146" s="2">
        <v>0</v>
      </c>
      <c r="K146" s="2">
        <v>9900000</v>
      </c>
      <c r="L146" t="s">
        <v>3368</v>
      </c>
      <c r="M146" t="s">
        <v>3525</v>
      </c>
    </row>
    <row r="147" spans="1:13">
      <c r="A147" t="s">
        <v>21</v>
      </c>
      <c r="B147" s="1">
        <f>HYPERLINK("https://cordis.europa.eu/project/id/285609", "285609")</f>
        <v>0</v>
      </c>
      <c r="C147" t="s">
        <v>169</v>
      </c>
      <c r="D147" t="s">
        <v>980</v>
      </c>
      <c r="F147" t="s">
        <v>2152</v>
      </c>
      <c r="G147" t="s">
        <v>2367</v>
      </c>
      <c r="H147" t="s">
        <v>2985</v>
      </c>
      <c r="I147" t="s">
        <v>3121</v>
      </c>
      <c r="J147" s="2">
        <v>0</v>
      </c>
      <c r="K147" s="2">
        <v>1480000</v>
      </c>
      <c r="L147" t="s">
        <v>3369</v>
      </c>
      <c r="M147" t="s">
        <v>3526</v>
      </c>
    </row>
    <row r="148" spans="1:13">
      <c r="A148" t="s">
        <v>21</v>
      </c>
      <c r="B148" s="1">
        <f>HYPERLINK("https://cordis.europa.eu/project/id/251186", "251186")</f>
        <v>0</v>
      </c>
      <c r="C148" t="s">
        <v>170</v>
      </c>
      <c r="D148" t="s">
        <v>981</v>
      </c>
      <c r="F148" t="s">
        <v>2121</v>
      </c>
      <c r="G148" t="s">
        <v>2356</v>
      </c>
      <c r="H148" t="s">
        <v>2977</v>
      </c>
      <c r="I148" t="s">
        <v>3083</v>
      </c>
      <c r="J148" s="2">
        <v>0</v>
      </c>
      <c r="K148" s="2">
        <v>1489317</v>
      </c>
      <c r="L148" t="s">
        <v>3368</v>
      </c>
      <c r="M148" t="s">
        <v>3527</v>
      </c>
    </row>
    <row r="149" spans="1:13">
      <c r="A149" t="s">
        <v>21</v>
      </c>
      <c r="B149" s="1">
        <f>HYPERLINK("https://cordis.europa.eu/project/id/269978", "269978")</f>
        <v>0</v>
      </c>
      <c r="C149" t="s">
        <v>171</v>
      </c>
      <c r="D149" t="s">
        <v>982</v>
      </c>
      <c r="F149" t="s">
        <v>2162</v>
      </c>
      <c r="G149" t="s">
        <v>2330</v>
      </c>
      <c r="H149" t="s">
        <v>2970</v>
      </c>
      <c r="I149" t="s">
        <v>3122</v>
      </c>
      <c r="J149" s="2">
        <v>210000</v>
      </c>
      <c r="K149" s="2">
        <v>10699995</v>
      </c>
      <c r="L149" t="s">
        <v>3369</v>
      </c>
      <c r="M149" t="s">
        <v>3528</v>
      </c>
    </row>
    <row r="150" spans="1:13">
      <c r="A150" t="s">
        <v>21</v>
      </c>
      <c r="B150" s="1">
        <f>HYPERLINK("https://cordis.europa.eu/project/id/613678", "613678")</f>
        <v>0</v>
      </c>
      <c r="C150" t="s">
        <v>172</v>
      </c>
      <c r="D150" t="s">
        <v>983</v>
      </c>
      <c r="F150" t="s">
        <v>2131</v>
      </c>
      <c r="G150" t="s">
        <v>2354</v>
      </c>
      <c r="H150" t="s">
        <v>2987</v>
      </c>
      <c r="I150" t="s">
        <v>3118</v>
      </c>
      <c r="J150" s="2">
        <v>0</v>
      </c>
      <c r="K150" s="2">
        <v>5997965</v>
      </c>
      <c r="L150" t="s">
        <v>3371</v>
      </c>
      <c r="M150" t="s">
        <v>3529</v>
      </c>
    </row>
    <row r="151" spans="1:13">
      <c r="A151" t="s">
        <v>21</v>
      </c>
      <c r="B151" s="1">
        <f>HYPERLINK("https://cordis.europa.eu/project/id/278913", "278913")</f>
        <v>0</v>
      </c>
      <c r="C151" t="s">
        <v>173</v>
      </c>
      <c r="D151" t="s">
        <v>984</v>
      </c>
      <c r="F151" t="s">
        <v>2159</v>
      </c>
      <c r="G151" t="s">
        <v>2381</v>
      </c>
      <c r="H151" t="s">
        <v>2973</v>
      </c>
      <c r="I151" t="s">
        <v>3076</v>
      </c>
      <c r="J151" s="2">
        <v>0</v>
      </c>
      <c r="K151" s="2">
        <v>6000000</v>
      </c>
      <c r="L151" t="s">
        <v>3368</v>
      </c>
      <c r="M151" t="s">
        <v>3530</v>
      </c>
    </row>
    <row r="152" spans="1:13">
      <c r="A152" t="s">
        <v>21</v>
      </c>
      <c r="B152" s="1">
        <f>HYPERLINK("https://cordis.europa.eu/project/id/279233", "279233")</f>
        <v>0</v>
      </c>
      <c r="C152" t="s">
        <v>174</v>
      </c>
      <c r="D152" t="s">
        <v>985</v>
      </c>
      <c r="F152" t="s">
        <v>2126</v>
      </c>
      <c r="G152" t="s">
        <v>2355</v>
      </c>
      <c r="H152" t="s">
        <v>2973</v>
      </c>
      <c r="I152" t="s">
        <v>3076</v>
      </c>
      <c r="J152" s="2">
        <v>0</v>
      </c>
      <c r="K152" s="2">
        <v>5987266</v>
      </c>
      <c r="L152" t="s">
        <v>3369</v>
      </c>
      <c r="M152" t="s">
        <v>3531</v>
      </c>
    </row>
    <row r="153" spans="1:13">
      <c r="A153" t="s">
        <v>21</v>
      </c>
      <c r="B153" s="1">
        <f>HYPERLINK("https://cordis.europa.eu/project/id/603993", "603993")</f>
        <v>0</v>
      </c>
      <c r="C153" t="s">
        <v>175</v>
      </c>
      <c r="D153" t="s">
        <v>986</v>
      </c>
      <c r="F153" t="s">
        <v>2139</v>
      </c>
      <c r="G153" t="s">
        <v>2382</v>
      </c>
      <c r="H153" t="s">
        <v>2972</v>
      </c>
      <c r="I153" t="s">
        <v>3123</v>
      </c>
      <c r="J153" s="2">
        <v>0</v>
      </c>
      <c r="K153" s="2">
        <v>29254828.99000001</v>
      </c>
      <c r="L153" t="s">
        <v>3368</v>
      </c>
      <c r="M153" t="s">
        <v>3532</v>
      </c>
    </row>
    <row r="154" spans="1:13">
      <c r="A154" t="s">
        <v>21</v>
      </c>
      <c r="B154" s="1">
        <f>HYPERLINK("https://cordis.europa.eu/project/id/289016", "289016")</f>
        <v>0</v>
      </c>
      <c r="C154" t="s">
        <v>176</v>
      </c>
      <c r="D154" t="s">
        <v>987</v>
      </c>
      <c r="F154" t="s">
        <v>2160</v>
      </c>
      <c r="G154" t="s">
        <v>2369</v>
      </c>
      <c r="H154" t="s">
        <v>2970</v>
      </c>
      <c r="I154" t="s">
        <v>3096</v>
      </c>
      <c r="J154" s="2">
        <v>0</v>
      </c>
      <c r="K154" s="2">
        <v>7582661</v>
      </c>
      <c r="L154" t="s">
        <v>3368</v>
      </c>
      <c r="M154" t="s">
        <v>3533</v>
      </c>
    </row>
    <row r="155" spans="1:13">
      <c r="A155" t="s">
        <v>21</v>
      </c>
      <c r="B155" s="1">
        <f>HYPERLINK("https://cordis.europa.eu/project/id/218606", "218606")</f>
        <v>0</v>
      </c>
      <c r="C155" t="s">
        <v>177</v>
      </c>
      <c r="D155" t="s">
        <v>988</v>
      </c>
      <c r="F155" t="s">
        <v>2151</v>
      </c>
      <c r="G155" t="s">
        <v>2327</v>
      </c>
      <c r="H155" t="s">
        <v>2973</v>
      </c>
      <c r="I155" t="s">
        <v>3039</v>
      </c>
      <c r="J155" s="2">
        <v>38340</v>
      </c>
      <c r="K155" s="2">
        <v>3469161</v>
      </c>
      <c r="L155" t="s">
        <v>3368</v>
      </c>
      <c r="M155" t="s">
        <v>3534</v>
      </c>
    </row>
    <row r="156" spans="1:13">
      <c r="A156" t="s">
        <v>21</v>
      </c>
      <c r="B156" s="1">
        <f>HYPERLINK("https://cordis.europa.eu/project/id/613044", "613044")</f>
        <v>0</v>
      </c>
      <c r="C156" t="s">
        <v>178</v>
      </c>
      <c r="D156" t="s">
        <v>989</v>
      </c>
      <c r="F156" t="s">
        <v>2131</v>
      </c>
      <c r="G156" t="s">
        <v>2332</v>
      </c>
      <c r="H156" t="s">
        <v>2970</v>
      </c>
      <c r="I156" t="s">
        <v>3124</v>
      </c>
      <c r="J156" s="2">
        <v>0</v>
      </c>
      <c r="K156" s="2">
        <v>1725271</v>
      </c>
      <c r="L156" t="s">
        <v>3368</v>
      </c>
      <c r="M156" t="s">
        <v>3535</v>
      </c>
    </row>
    <row r="157" spans="1:13">
      <c r="A157" t="s">
        <v>21</v>
      </c>
      <c r="B157" s="1">
        <f>HYPERLINK("https://cordis.europa.eu/project/id/605402", "605402")</f>
        <v>0</v>
      </c>
      <c r="C157" t="s">
        <v>179</v>
      </c>
      <c r="D157" t="s">
        <v>990</v>
      </c>
      <c r="F157" t="s">
        <v>2149</v>
      </c>
      <c r="G157" t="s">
        <v>1701</v>
      </c>
      <c r="H157" t="s">
        <v>2970</v>
      </c>
      <c r="I157" t="s">
        <v>3125</v>
      </c>
      <c r="J157" s="2">
        <v>0</v>
      </c>
      <c r="K157" s="2">
        <v>6361033</v>
      </c>
      <c r="L157" t="s">
        <v>3368</v>
      </c>
      <c r="M157" t="s">
        <v>3536</v>
      </c>
    </row>
    <row r="158" spans="1:13">
      <c r="A158" t="s">
        <v>21</v>
      </c>
      <c r="B158" s="1">
        <f>HYPERLINK("https://cordis.europa.eu/project/id/609029", "609029")</f>
        <v>0</v>
      </c>
      <c r="C158" t="s">
        <v>180</v>
      </c>
      <c r="D158" t="s">
        <v>991</v>
      </c>
      <c r="F158" t="s">
        <v>2173</v>
      </c>
      <c r="G158" t="s">
        <v>2332</v>
      </c>
      <c r="H158" t="s">
        <v>2970</v>
      </c>
      <c r="I158" t="s">
        <v>3126</v>
      </c>
      <c r="J158" s="2">
        <v>89604</v>
      </c>
      <c r="K158" s="2">
        <v>16000000</v>
      </c>
      <c r="L158" t="s">
        <v>3368</v>
      </c>
      <c r="M158" t="s">
        <v>3537</v>
      </c>
    </row>
    <row r="159" spans="1:13">
      <c r="A159" t="s">
        <v>21</v>
      </c>
      <c r="B159" s="1">
        <f>HYPERLINK("https://cordis.europa.eu/project/id/603629", "603629")</f>
        <v>0</v>
      </c>
      <c r="C159" t="s">
        <v>181</v>
      </c>
      <c r="D159" t="s">
        <v>992</v>
      </c>
      <c r="F159" t="s">
        <v>2115</v>
      </c>
      <c r="G159" t="s">
        <v>2322</v>
      </c>
      <c r="H159" t="s">
        <v>2970</v>
      </c>
      <c r="I159" t="s">
        <v>3127</v>
      </c>
      <c r="J159" s="2">
        <v>0</v>
      </c>
      <c r="K159" s="2">
        <v>7590585.6</v>
      </c>
      <c r="L159" t="s">
        <v>3368</v>
      </c>
      <c r="M159" t="s">
        <v>3538</v>
      </c>
    </row>
    <row r="160" spans="1:13">
      <c r="A160" t="s">
        <v>21</v>
      </c>
      <c r="B160" s="1">
        <f>HYPERLINK("https://cordis.europa.eu/project/id/603288", "603288")</f>
        <v>0</v>
      </c>
      <c r="C160" t="s">
        <v>182</v>
      </c>
      <c r="D160" t="s">
        <v>993</v>
      </c>
      <c r="F160" t="s">
        <v>2115</v>
      </c>
      <c r="G160" t="s">
        <v>2377</v>
      </c>
      <c r="H160" t="s">
        <v>2973</v>
      </c>
      <c r="I160" t="s">
        <v>3037</v>
      </c>
      <c r="J160" s="2">
        <v>0</v>
      </c>
      <c r="K160" s="2">
        <v>5976413</v>
      </c>
      <c r="L160" t="s">
        <v>3368</v>
      </c>
      <c r="M160" t="s">
        <v>3539</v>
      </c>
    </row>
    <row r="161" spans="1:13">
      <c r="A161" t="s">
        <v>21</v>
      </c>
      <c r="B161" s="1">
        <f>HYPERLINK("https://cordis.europa.eu/project/id/202020", "202020")</f>
        <v>0</v>
      </c>
      <c r="C161" t="s">
        <v>183</v>
      </c>
      <c r="D161" t="s">
        <v>994</v>
      </c>
      <c r="F161" t="s">
        <v>2174</v>
      </c>
      <c r="G161" t="s">
        <v>2340</v>
      </c>
      <c r="H161" t="s">
        <v>2973</v>
      </c>
      <c r="I161" t="s">
        <v>3087</v>
      </c>
      <c r="J161" s="2">
        <v>107463</v>
      </c>
      <c r="K161" s="2">
        <v>2999250</v>
      </c>
      <c r="L161" t="s">
        <v>3369</v>
      </c>
      <c r="M161" t="s">
        <v>3540</v>
      </c>
    </row>
    <row r="162" spans="1:13">
      <c r="A162" t="s">
        <v>21</v>
      </c>
      <c r="B162" s="1">
        <f>HYPERLINK("https://cordis.europa.eu/project/id/288021", "288021")</f>
        <v>0</v>
      </c>
      <c r="C162" t="s">
        <v>184</v>
      </c>
      <c r="D162" t="s">
        <v>995</v>
      </c>
      <c r="F162" t="s">
        <v>2123</v>
      </c>
      <c r="G162" t="s">
        <v>2330</v>
      </c>
      <c r="H162" t="s">
        <v>2989</v>
      </c>
      <c r="I162" t="s">
        <v>3096</v>
      </c>
      <c r="J162" s="2">
        <v>37800</v>
      </c>
      <c r="K162" s="2">
        <v>4997000</v>
      </c>
      <c r="L162" t="s">
        <v>3368</v>
      </c>
      <c r="M162" t="s">
        <v>3541</v>
      </c>
    </row>
    <row r="163" spans="1:13">
      <c r="A163" t="s">
        <v>21</v>
      </c>
      <c r="B163" s="1">
        <f>HYPERLINK("https://cordis.europa.eu/project/id/224409", "224409")</f>
        <v>0</v>
      </c>
      <c r="C163" t="s">
        <v>185</v>
      </c>
      <c r="D163" t="s">
        <v>996</v>
      </c>
      <c r="F163" t="s">
        <v>2107</v>
      </c>
      <c r="G163" t="s">
        <v>2383</v>
      </c>
      <c r="H163" t="s">
        <v>2970</v>
      </c>
      <c r="I163" t="s">
        <v>3128</v>
      </c>
      <c r="J163" s="2">
        <v>0</v>
      </c>
      <c r="K163" s="2">
        <v>3000000</v>
      </c>
      <c r="L163" t="s">
        <v>3368</v>
      </c>
      <c r="M163" t="s">
        <v>3542</v>
      </c>
    </row>
    <row r="164" spans="1:13">
      <c r="A164" t="s">
        <v>21</v>
      </c>
      <c r="B164" s="1">
        <f>HYPERLINK("https://cordis.europa.eu/project/id/245162", "245162")</f>
        <v>0</v>
      </c>
      <c r="C164" t="s">
        <v>186</v>
      </c>
      <c r="D164" t="s">
        <v>997</v>
      </c>
      <c r="F164" t="s">
        <v>2117</v>
      </c>
      <c r="G164" t="s">
        <v>2319</v>
      </c>
      <c r="H164" t="s">
        <v>2973</v>
      </c>
      <c r="I164" t="s">
        <v>3089</v>
      </c>
      <c r="J164" s="2">
        <v>0</v>
      </c>
      <c r="K164" s="2">
        <v>2945823</v>
      </c>
      <c r="L164" t="s">
        <v>3368</v>
      </c>
      <c r="M164" t="s">
        <v>3543</v>
      </c>
    </row>
    <row r="165" spans="1:13">
      <c r="A165" t="s">
        <v>21</v>
      </c>
      <c r="B165" s="1">
        <f>HYPERLINK("https://cordis.europa.eu/project/id/312184", "312184")</f>
        <v>0</v>
      </c>
      <c r="C165" t="s">
        <v>187</v>
      </c>
      <c r="D165" t="s">
        <v>998</v>
      </c>
      <c r="F165" t="s">
        <v>2153</v>
      </c>
      <c r="G165" t="s">
        <v>2384</v>
      </c>
      <c r="H165" t="s">
        <v>2987</v>
      </c>
      <c r="I165" t="s">
        <v>3129</v>
      </c>
      <c r="J165" s="2">
        <v>0</v>
      </c>
      <c r="K165" s="2">
        <v>9465907</v>
      </c>
      <c r="L165" t="s">
        <v>3369</v>
      </c>
      <c r="M165" t="s">
        <v>3544</v>
      </c>
    </row>
    <row r="166" spans="1:13">
      <c r="A166" t="s">
        <v>21</v>
      </c>
      <c r="B166" s="1">
        <f>HYPERLINK("https://cordis.europa.eu/project/id/218812", "218812")</f>
        <v>0</v>
      </c>
      <c r="C166" t="s">
        <v>188</v>
      </c>
      <c r="D166" t="s">
        <v>999</v>
      </c>
      <c r="F166" t="s">
        <v>2134</v>
      </c>
      <c r="G166" t="s">
        <v>2363</v>
      </c>
      <c r="H166" t="s">
        <v>2970</v>
      </c>
      <c r="I166" t="s">
        <v>3130</v>
      </c>
      <c r="J166" s="2">
        <v>0</v>
      </c>
      <c r="K166" s="2">
        <v>33800000</v>
      </c>
      <c r="L166" t="s">
        <v>3368</v>
      </c>
      <c r="M166" t="s">
        <v>3545</v>
      </c>
    </row>
    <row r="167" spans="1:13">
      <c r="A167" t="s">
        <v>21</v>
      </c>
      <c r="B167" s="1">
        <f>HYPERLINK("https://cordis.europa.eu/project/id/248502", "248502")</f>
        <v>0</v>
      </c>
      <c r="C167" t="s">
        <v>189</v>
      </c>
      <c r="D167" t="s">
        <v>1000</v>
      </c>
      <c r="F167" t="s">
        <v>2106</v>
      </c>
      <c r="G167" t="s">
        <v>2383</v>
      </c>
      <c r="H167" t="s">
        <v>2970</v>
      </c>
      <c r="I167" t="s">
        <v>3034</v>
      </c>
      <c r="J167" s="2">
        <v>145539</v>
      </c>
      <c r="K167" s="2">
        <v>1416000</v>
      </c>
      <c r="L167" t="s">
        <v>3369</v>
      </c>
      <c r="M167" t="s">
        <v>3546</v>
      </c>
    </row>
    <row r="168" spans="1:13">
      <c r="A168" t="s">
        <v>21</v>
      </c>
      <c r="B168" s="1">
        <f>HYPERLINK("https://cordis.europa.eu/project/id/606935", "606935")</f>
        <v>0</v>
      </c>
      <c r="C168" t="s">
        <v>190</v>
      </c>
      <c r="D168" t="s">
        <v>1001</v>
      </c>
      <c r="F168" t="s">
        <v>2175</v>
      </c>
      <c r="G168" t="s">
        <v>2274</v>
      </c>
      <c r="H168" t="s">
        <v>2973</v>
      </c>
      <c r="I168" t="s">
        <v>3043</v>
      </c>
      <c r="J168" s="2">
        <v>191000</v>
      </c>
      <c r="K168" s="2">
        <v>2499990</v>
      </c>
      <c r="L168" t="s">
        <v>3368</v>
      </c>
      <c r="M168" t="s">
        <v>3547</v>
      </c>
    </row>
    <row r="169" spans="1:13">
      <c r="A169" t="s">
        <v>21</v>
      </c>
      <c r="B169" s="1">
        <f>HYPERLINK("https://cordis.europa.eu/project/id/241421", "241421")</f>
        <v>0</v>
      </c>
      <c r="C169" t="s">
        <v>191</v>
      </c>
      <c r="D169" t="s">
        <v>1002</v>
      </c>
      <c r="F169" t="s">
        <v>2169</v>
      </c>
      <c r="G169" t="s">
        <v>2385</v>
      </c>
      <c r="H169" t="s">
        <v>2979</v>
      </c>
      <c r="I169" t="s">
        <v>3112</v>
      </c>
      <c r="J169" s="2">
        <v>0</v>
      </c>
      <c r="K169" s="2">
        <v>1599032.56</v>
      </c>
      <c r="L169" t="s">
        <v>3368</v>
      </c>
      <c r="M169" t="s">
        <v>3548</v>
      </c>
    </row>
    <row r="170" spans="1:13">
      <c r="A170" t="s">
        <v>21</v>
      </c>
      <c r="B170" s="1">
        <f>HYPERLINK("https://cordis.europa.eu/project/id/278173", "278173")</f>
        <v>0</v>
      </c>
      <c r="C170" t="s">
        <v>192</v>
      </c>
      <c r="D170" t="s">
        <v>1003</v>
      </c>
      <c r="F170" t="s">
        <v>2160</v>
      </c>
      <c r="G170" t="s">
        <v>2369</v>
      </c>
      <c r="H170" t="s">
        <v>2973</v>
      </c>
      <c r="I170" t="s">
        <v>3076</v>
      </c>
      <c r="J170" s="2">
        <v>374813.84</v>
      </c>
      <c r="K170" s="2">
        <v>2535757</v>
      </c>
      <c r="L170" t="s">
        <v>3368</v>
      </c>
      <c r="M170" t="s">
        <v>3549</v>
      </c>
    </row>
    <row r="171" spans="1:13">
      <c r="A171" t="s">
        <v>21</v>
      </c>
      <c r="B171" s="1">
        <f>HYPERLINK("https://cordis.europa.eu/project/id/226873", "226873")</f>
        <v>0</v>
      </c>
      <c r="C171" t="s">
        <v>193</v>
      </c>
      <c r="D171" t="s">
        <v>1004</v>
      </c>
      <c r="F171" t="s">
        <v>2141</v>
      </c>
      <c r="G171" t="s">
        <v>1725</v>
      </c>
      <c r="H171" t="s">
        <v>2973</v>
      </c>
      <c r="I171" t="s">
        <v>3103</v>
      </c>
      <c r="J171" s="2">
        <v>0</v>
      </c>
      <c r="K171" s="2">
        <v>3499748</v>
      </c>
      <c r="L171" t="s">
        <v>3371</v>
      </c>
      <c r="M171" t="s">
        <v>3550</v>
      </c>
    </row>
    <row r="172" spans="1:13">
      <c r="A172" t="s">
        <v>21</v>
      </c>
      <c r="B172" s="1">
        <f>HYPERLINK("https://cordis.europa.eu/project/id/223495", "223495")</f>
        <v>0</v>
      </c>
      <c r="C172" t="s">
        <v>194</v>
      </c>
      <c r="D172" t="s">
        <v>1005</v>
      </c>
      <c r="F172" t="s">
        <v>2143</v>
      </c>
      <c r="G172" t="s">
        <v>2367</v>
      </c>
      <c r="H172" t="s">
        <v>2973</v>
      </c>
      <c r="I172" t="s">
        <v>3069</v>
      </c>
      <c r="J172" s="2">
        <v>0</v>
      </c>
      <c r="K172" s="2">
        <v>2800000</v>
      </c>
      <c r="L172" t="s">
        <v>3368</v>
      </c>
      <c r="M172" t="s">
        <v>3551</v>
      </c>
    </row>
    <row r="173" spans="1:13">
      <c r="A173" t="s">
        <v>21</v>
      </c>
      <c r="B173" s="1">
        <f>HYPERLINK("https://cordis.europa.eu/project/id/201412", "201412")</f>
        <v>0</v>
      </c>
      <c r="C173" t="s">
        <v>195</v>
      </c>
      <c r="D173" t="s">
        <v>1006</v>
      </c>
      <c r="F173" t="s">
        <v>2164</v>
      </c>
      <c r="G173" t="s">
        <v>2386</v>
      </c>
      <c r="H173" t="s">
        <v>2973</v>
      </c>
      <c r="I173" t="s">
        <v>3087</v>
      </c>
      <c r="J173" s="2">
        <v>0</v>
      </c>
      <c r="K173" s="2">
        <v>2470540</v>
      </c>
      <c r="L173" t="s">
        <v>3368</v>
      </c>
      <c r="M173" t="s">
        <v>3552</v>
      </c>
    </row>
    <row r="174" spans="1:13">
      <c r="A174" t="s">
        <v>21</v>
      </c>
      <c r="B174" s="1">
        <f>HYPERLINK("https://cordis.europa.eu/project/id/613571", "613571")</f>
        <v>0</v>
      </c>
      <c r="C174" t="s">
        <v>196</v>
      </c>
      <c r="D174" t="s">
        <v>1007</v>
      </c>
      <c r="F174" t="s">
        <v>2131</v>
      </c>
      <c r="G174" t="s">
        <v>2339</v>
      </c>
      <c r="H174" t="s">
        <v>2987</v>
      </c>
      <c r="I174" t="s">
        <v>3118</v>
      </c>
      <c r="J174" s="2">
        <v>0</v>
      </c>
      <c r="K174" s="2">
        <v>5999908</v>
      </c>
      <c r="L174" t="s">
        <v>3369</v>
      </c>
      <c r="M174" t="s">
        <v>3553</v>
      </c>
    </row>
    <row r="175" spans="1:13">
      <c r="A175" t="s">
        <v>21</v>
      </c>
      <c r="B175" s="1">
        <f>HYPERLINK("https://cordis.europa.eu/project/id/602139", "602139")</f>
        <v>0</v>
      </c>
      <c r="C175" t="s">
        <v>197</v>
      </c>
      <c r="D175" t="s">
        <v>1008</v>
      </c>
      <c r="F175" t="s">
        <v>2149</v>
      </c>
      <c r="G175" t="s">
        <v>2374</v>
      </c>
      <c r="H175" t="s">
        <v>2978</v>
      </c>
      <c r="I175" t="s">
        <v>3037</v>
      </c>
      <c r="J175" s="2">
        <v>19260</v>
      </c>
      <c r="K175" s="2">
        <v>497378</v>
      </c>
      <c r="L175" t="s">
        <v>3368</v>
      </c>
      <c r="M175" t="s">
        <v>3554</v>
      </c>
    </row>
    <row r="176" spans="1:13">
      <c r="A176" t="s">
        <v>21</v>
      </c>
      <c r="B176" s="1">
        <f>HYPERLINK("https://cordis.europa.eu/project/id/261433", "261433")</f>
        <v>0</v>
      </c>
      <c r="C176" t="s">
        <v>198</v>
      </c>
      <c r="D176" t="s">
        <v>1009</v>
      </c>
      <c r="F176" t="s">
        <v>2176</v>
      </c>
      <c r="G176" t="s">
        <v>1820</v>
      </c>
      <c r="H176" t="s">
        <v>2972</v>
      </c>
      <c r="I176" t="s">
        <v>3038</v>
      </c>
      <c r="J176" s="2">
        <v>1484199</v>
      </c>
      <c r="K176" s="2">
        <v>11998152</v>
      </c>
      <c r="L176" t="s">
        <v>3368</v>
      </c>
      <c r="M176" t="s">
        <v>3555</v>
      </c>
    </row>
    <row r="177" spans="1:13">
      <c r="A177" t="s">
        <v>21</v>
      </c>
      <c r="B177" s="1">
        <f>HYPERLINK("https://cordis.europa.eu/project/id/604102", "604102")</f>
        <v>0</v>
      </c>
      <c r="C177" t="s">
        <v>199</v>
      </c>
      <c r="D177" t="s">
        <v>1010</v>
      </c>
      <c r="F177" t="s">
        <v>2109</v>
      </c>
      <c r="G177" t="s">
        <v>1701</v>
      </c>
      <c r="H177" t="s">
        <v>2988</v>
      </c>
      <c r="I177" t="s">
        <v>3131</v>
      </c>
      <c r="J177" s="2">
        <v>0</v>
      </c>
      <c r="K177" s="2">
        <v>54000000</v>
      </c>
      <c r="L177" t="s">
        <v>3368</v>
      </c>
      <c r="M177" t="s">
        <v>3556</v>
      </c>
    </row>
    <row r="178" spans="1:13">
      <c r="A178" t="s">
        <v>21</v>
      </c>
      <c r="B178" s="1">
        <f>HYPERLINK("https://cordis.europa.eu/project/id/312057", "312057")</f>
        <v>0</v>
      </c>
      <c r="C178" t="s">
        <v>200</v>
      </c>
      <c r="D178" t="s">
        <v>1011</v>
      </c>
      <c r="F178" t="s">
        <v>2158</v>
      </c>
      <c r="G178" t="s">
        <v>2387</v>
      </c>
      <c r="H178" t="s">
        <v>2972</v>
      </c>
      <c r="I178" t="s">
        <v>3129</v>
      </c>
      <c r="J178" s="2">
        <v>0</v>
      </c>
      <c r="K178" s="2">
        <v>8993474.999999998</v>
      </c>
      <c r="L178" t="s">
        <v>3371</v>
      </c>
      <c r="M178" t="s">
        <v>3557</v>
      </c>
    </row>
    <row r="179" spans="1:13">
      <c r="A179" t="s">
        <v>21</v>
      </c>
      <c r="B179" s="1">
        <f>HYPERLINK("https://cordis.europa.eu/project/id/262693", "262693")</f>
        <v>0</v>
      </c>
      <c r="C179" t="s">
        <v>201</v>
      </c>
      <c r="D179" t="s">
        <v>1012</v>
      </c>
      <c r="F179" t="s">
        <v>2130</v>
      </c>
      <c r="G179" t="s">
        <v>2355</v>
      </c>
      <c r="H179" t="s">
        <v>2990</v>
      </c>
      <c r="I179" t="s">
        <v>3132</v>
      </c>
      <c r="J179" s="2">
        <v>0</v>
      </c>
      <c r="K179" s="2">
        <v>7299999.999999999</v>
      </c>
      <c r="L179" t="s">
        <v>3370</v>
      </c>
      <c r="M179" t="s">
        <v>3558</v>
      </c>
    </row>
    <row r="180" spans="1:13">
      <c r="A180" t="s">
        <v>21</v>
      </c>
      <c r="B180" s="1">
        <f>HYPERLINK("https://cordis.europa.eu/project/id/244706", "244706")</f>
        <v>0</v>
      </c>
      <c r="C180" t="s">
        <v>202</v>
      </c>
      <c r="D180" t="s">
        <v>1013</v>
      </c>
      <c r="F180" t="s">
        <v>2121</v>
      </c>
      <c r="G180" t="s">
        <v>2356</v>
      </c>
      <c r="H180" t="s">
        <v>2973</v>
      </c>
      <c r="I180" t="s">
        <v>3089</v>
      </c>
      <c r="J180" s="2">
        <v>0</v>
      </c>
      <c r="K180" s="2">
        <v>2993607</v>
      </c>
      <c r="L180" t="s">
        <v>3368</v>
      </c>
      <c r="M180" t="s">
        <v>3559</v>
      </c>
    </row>
    <row r="181" spans="1:13">
      <c r="A181" t="s">
        <v>21</v>
      </c>
      <c r="B181" s="1">
        <f>HYPERLINK("https://cordis.europa.eu/project/id/602068", "602068")</f>
        <v>0</v>
      </c>
      <c r="C181" t="s">
        <v>203</v>
      </c>
      <c r="D181" t="s">
        <v>1014</v>
      </c>
      <c r="F181" t="s">
        <v>2109</v>
      </c>
      <c r="G181" t="s">
        <v>2373</v>
      </c>
      <c r="H181" t="s">
        <v>2979</v>
      </c>
      <c r="I181" t="s">
        <v>3037</v>
      </c>
      <c r="J181" s="2">
        <v>168827.53</v>
      </c>
      <c r="K181" s="2">
        <v>1998314</v>
      </c>
      <c r="L181" t="s">
        <v>3368</v>
      </c>
      <c r="M181" t="s">
        <v>3560</v>
      </c>
    </row>
    <row r="182" spans="1:13">
      <c r="A182" t="s">
        <v>21</v>
      </c>
      <c r="B182" s="1">
        <f>HYPERLINK("https://cordis.europa.eu/project/id/281532", "281532")</f>
        <v>0</v>
      </c>
      <c r="C182" t="s">
        <v>204</v>
      </c>
      <c r="D182" t="s">
        <v>1015</v>
      </c>
      <c r="F182" t="s">
        <v>2159</v>
      </c>
      <c r="G182" t="s">
        <v>2326</v>
      </c>
      <c r="H182" t="s">
        <v>2973</v>
      </c>
      <c r="I182" t="s">
        <v>3133</v>
      </c>
      <c r="J182" s="2">
        <v>149500</v>
      </c>
      <c r="K182" s="2">
        <v>2996462</v>
      </c>
      <c r="L182" t="s">
        <v>3368</v>
      </c>
      <c r="M182" t="s">
        <v>3561</v>
      </c>
    </row>
    <row r="183" spans="1:13">
      <c r="A183" t="s">
        <v>21</v>
      </c>
      <c r="B183" s="1">
        <f>HYPERLINK("https://cordis.europa.eu/project/id/231688", "231688")</f>
        <v>0</v>
      </c>
      <c r="C183" t="s">
        <v>205</v>
      </c>
      <c r="D183" t="s">
        <v>1016</v>
      </c>
      <c r="F183" t="s">
        <v>2163</v>
      </c>
      <c r="G183" t="s">
        <v>2323</v>
      </c>
      <c r="H183" t="s">
        <v>2970</v>
      </c>
      <c r="I183" t="s">
        <v>3110</v>
      </c>
      <c r="J183" s="2">
        <v>0</v>
      </c>
      <c r="K183" s="2">
        <v>2699996</v>
      </c>
      <c r="L183" t="s">
        <v>3368</v>
      </c>
      <c r="M183" t="s">
        <v>3562</v>
      </c>
    </row>
    <row r="184" spans="1:13">
      <c r="A184" t="s">
        <v>21</v>
      </c>
      <c r="B184" s="1">
        <f>HYPERLINK("https://cordis.europa.eu/project/id/318671", "318671")</f>
        <v>0</v>
      </c>
      <c r="C184" t="s">
        <v>206</v>
      </c>
      <c r="D184" t="s">
        <v>1017</v>
      </c>
      <c r="F184" t="s">
        <v>2177</v>
      </c>
      <c r="G184" t="s">
        <v>1725</v>
      </c>
      <c r="H184" t="s">
        <v>2970</v>
      </c>
      <c r="I184" t="s">
        <v>3134</v>
      </c>
      <c r="J184" s="2">
        <v>0</v>
      </c>
      <c r="K184" s="2">
        <v>3400000</v>
      </c>
      <c r="L184" t="s">
        <v>3369</v>
      </c>
      <c r="M184" t="s">
        <v>3563</v>
      </c>
    </row>
    <row r="185" spans="1:13">
      <c r="A185" t="s">
        <v>21</v>
      </c>
      <c r="B185" s="1">
        <f>HYPERLINK("https://cordis.europa.eu/project/id/321488", "321488")</f>
        <v>0</v>
      </c>
      <c r="C185" t="s">
        <v>207</v>
      </c>
      <c r="D185" t="s">
        <v>1018</v>
      </c>
      <c r="F185" t="s">
        <v>2173</v>
      </c>
      <c r="G185" t="s">
        <v>2358</v>
      </c>
      <c r="H185" t="s">
        <v>2978</v>
      </c>
      <c r="I185" t="s">
        <v>3135</v>
      </c>
      <c r="J185" s="2">
        <v>99746.5</v>
      </c>
      <c r="K185" s="2">
        <v>3960810</v>
      </c>
      <c r="L185" t="s">
        <v>3368</v>
      </c>
      <c r="M185" t="s">
        <v>3564</v>
      </c>
    </row>
    <row r="186" spans="1:13">
      <c r="A186" t="s">
        <v>21</v>
      </c>
      <c r="B186" s="1">
        <f>HYPERLINK("https://cordis.europa.eu/project/id/201413", "201413")</f>
        <v>0</v>
      </c>
      <c r="C186" t="s">
        <v>208</v>
      </c>
      <c r="D186" t="s">
        <v>1019</v>
      </c>
      <c r="F186" t="s">
        <v>2164</v>
      </c>
      <c r="G186" t="s">
        <v>2331</v>
      </c>
      <c r="H186" t="s">
        <v>2972</v>
      </c>
      <c r="I186" t="s">
        <v>3087</v>
      </c>
      <c r="J186" s="2">
        <v>214176</v>
      </c>
      <c r="K186" s="2">
        <v>12000000</v>
      </c>
      <c r="L186" t="s">
        <v>3368</v>
      </c>
      <c r="M186" t="s">
        <v>3565</v>
      </c>
    </row>
    <row r="187" spans="1:13">
      <c r="A187" t="s">
        <v>21</v>
      </c>
      <c r="B187" s="1">
        <f>HYPERLINK("https://cordis.europa.eu/project/id/289841", "289841")</f>
        <v>0</v>
      </c>
      <c r="C187" t="s">
        <v>209</v>
      </c>
      <c r="D187" t="s">
        <v>1020</v>
      </c>
      <c r="F187" t="s">
        <v>2126</v>
      </c>
      <c r="G187" t="s">
        <v>2355</v>
      </c>
      <c r="H187" t="s">
        <v>2972</v>
      </c>
      <c r="I187" t="s">
        <v>3088</v>
      </c>
      <c r="J187" s="2">
        <v>0</v>
      </c>
      <c r="K187" s="2">
        <v>5978303</v>
      </c>
      <c r="L187" t="s">
        <v>3368</v>
      </c>
      <c r="M187" t="s">
        <v>3566</v>
      </c>
    </row>
    <row r="188" spans="1:13">
      <c r="A188" t="s">
        <v>21</v>
      </c>
      <c r="B188" s="1">
        <f>HYPERLINK("https://cordis.europa.eu/project/id/223920", "223920")</f>
        <v>0</v>
      </c>
      <c r="C188" t="s">
        <v>210</v>
      </c>
      <c r="D188" t="s">
        <v>1021</v>
      </c>
      <c r="F188" t="s">
        <v>2174</v>
      </c>
      <c r="G188" t="s">
        <v>2380</v>
      </c>
      <c r="H188" t="s">
        <v>2989</v>
      </c>
      <c r="I188" t="s">
        <v>3128</v>
      </c>
      <c r="J188" s="2">
        <v>398296</v>
      </c>
      <c r="K188" s="2">
        <v>7999367</v>
      </c>
      <c r="L188" t="s">
        <v>3369</v>
      </c>
      <c r="M188" t="s">
        <v>3567</v>
      </c>
    </row>
    <row r="189" spans="1:13">
      <c r="A189" t="s">
        <v>21</v>
      </c>
      <c r="B189" s="1">
        <f>HYPERLINK("https://cordis.europa.eu/project/id/277984", "277984")</f>
        <v>0</v>
      </c>
      <c r="C189" t="s">
        <v>211</v>
      </c>
      <c r="D189" t="s">
        <v>1022</v>
      </c>
      <c r="F189" t="s">
        <v>2160</v>
      </c>
      <c r="G189" t="s">
        <v>2369</v>
      </c>
      <c r="H189" t="s">
        <v>2973</v>
      </c>
      <c r="I189" t="s">
        <v>3076</v>
      </c>
      <c r="J189" s="2">
        <v>473382.66</v>
      </c>
      <c r="K189" s="2">
        <v>5215219.8</v>
      </c>
      <c r="L189" t="s">
        <v>3368</v>
      </c>
      <c r="M189" t="s">
        <v>3568</v>
      </c>
    </row>
    <row r="190" spans="1:13">
      <c r="A190" t="s">
        <v>21</v>
      </c>
      <c r="B190" s="1">
        <f>HYPERLINK("https://cordis.europa.eu/project/id/313010", "313010")</f>
        <v>0</v>
      </c>
      <c r="C190" t="s">
        <v>212</v>
      </c>
      <c r="D190" t="s">
        <v>1023</v>
      </c>
      <c r="F190" t="s">
        <v>2146</v>
      </c>
      <c r="G190" t="s">
        <v>2388</v>
      </c>
      <c r="H190" t="s">
        <v>2990</v>
      </c>
      <c r="I190" t="s">
        <v>3120</v>
      </c>
      <c r="J190" s="2">
        <v>147840</v>
      </c>
      <c r="K190" s="2">
        <v>8000000</v>
      </c>
      <c r="L190" t="s">
        <v>3368</v>
      </c>
      <c r="M190" t="s">
        <v>3569</v>
      </c>
    </row>
    <row r="191" spans="1:13">
      <c r="A191" t="s">
        <v>21</v>
      </c>
      <c r="B191" s="1">
        <f>HYPERLINK("https://cordis.europa.eu/project/id/600933", "600933")</f>
        <v>0</v>
      </c>
      <c r="C191" t="s">
        <v>213</v>
      </c>
      <c r="D191" t="s">
        <v>1024</v>
      </c>
      <c r="F191" t="s">
        <v>2146</v>
      </c>
      <c r="G191" t="s">
        <v>2360</v>
      </c>
      <c r="H191" t="s">
        <v>2970</v>
      </c>
      <c r="I191" t="s">
        <v>3099</v>
      </c>
      <c r="J191" s="2">
        <v>120180</v>
      </c>
      <c r="K191" s="2">
        <v>2909000</v>
      </c>
      <c r="L191" t="s">
        <v>3369</v>
      </c>
      <c r="M191" t="s">
        <v>3570</v>
      </c>
    </row>
    <row r="192" spans="1:13">
      <c r="A192" t="s">
        <v>21</v>
      </c>
      <c r="B192" s="1">
        <f>HYPERLINK("https://cordis.europa.eu/project/id/213266", "213266")</f>
        <v>0</v>
      </c>
      <c r="C192" t="s">
        <v>214</v>
      </c>
      <c r="D192" t="s">
        <v>1025</v>
      </c>
      <c r="F192" t="s">
        <v>2178</v>
      </c>
      <c r="G192" t="s">
        <v>2341</v>
      </c>
      <c r="H192" t="s">
        <v>2973</v>
      </c>
      <c r="I192" t="s">
        <v>3136</v>
      </c>
      <c r="J192" s="2">
        <v>0</v>
      </c>
      <c r="K192" s="2">
        <v>6822685</v>
      </c>
      <c r="L192" t="s">
        <v>3368</v>
      </c>
      <c r="M192" t="s">
        <v>3571</v>
      </c>
    </row>
    <row r="193" spans="1:13">
      <c r="A193" t="s">
        <v>21</v>
      </c>
      <c r="B193" s="1">
        <f>HYPERLINK("https://cordis.europa.eu/project/id/212814", "212814")</f>
        <v>0</v>
      </c>
      <c r="C193" t="s">
        <v>215</v>
      </c>
      <c r="D193" t="s">
        <v>1026</v>
      </c>
      <c r="F193" t="s">
        <v>2132</v>
      </c>
      <c r="G193" t="s">
        <v>2389</v>
      </c>
      <c r="H193" t="s">
        <v>2970</v>
      </c>
      <c r="I193" t="s">
        <v>3107</v>
      </c>
      <c r="J193" s="2">
        <v>0</v>
      </c>
      <c r="K193" s="2">
        <v>5999073</v>
      </c>
      <c r="L193" t="s">
        <v>3368</v>
      </c>
      <c r="M193" t="s">
        <v>3572</v>
      </c>
    </row>
    <row r="194" spans="1:13">
      <c r="A194" t="s">
        <v>21</v>
      </c>
      <c r="B194" s="1">
        <f>HYPERLINK("https://cordis.europa.eu/project/id/226977", "226977")</f>
        <v>0</v>
      </c>
      <c r="C194" t="s">
        <v>216</v>
      </c>
      <c r="D194" t="s">
        <v>1027</v>
      </c>
      <c r="F194" t="s">
        <v>2166</v>
      </c>
      <c r="G194" t="s">
        <v>2359</v>
      </c>
      <c r="H194" t="s">
        <v>2973</v>
      </c>
      <c r="I194" t="s">
        <v>3056</v>
      </c>
      <c r="J194" s="2">
        <v>0</v>
      </c>
      <c r="K194" s="2">
        <v>2875245</v>
      </c>
      <c r="L194" t="s">
        <v>3368</v>
      </c>
      <c r="M194" t="s">
        <v>3573</v>
      </c>
    </row>
    <row r="195" spans="1:13">
      <c r="A195" t="s">
        <v>21</v>
      </c>
      <c r="B195" s="1">
        <f>HYPERLINK("https://cordis.europa.eu/project/id/295735", "295735")</f>
        <v>0</v>
      </c>
      <c r="C195" t="s">
        <v>217</v>
      </c>
      <c r="D195" t="s">
        <v>1028</v>
      </c>
      <c r="F195" t="s">
        <v>2153</v>
      </c>
      <c r="G195" t="s">
        <v>2373</v>
      </c>
      <c r="H195" t="s">
        <v>2976</v>
      </c>
      <c r="I195" t="s">
        <v>3137</v>
      </c>
      <c r="J195" s="2">
        <v>311617.49</v>
      </c>
      <c r="K195" s="2">
        <v>2497399.97</v>
      </c>
      <c r="L195" t="s">
        <v>3368</v>
      </c>
      <c r="M195" t="s">
        <v>3574</v>
      </c>
    </row>
    <row r="196" spans="1:13">
      <c r="A196" t="s">
        <v>21</v>
      </c>
      <c r="B196" s="1">
        <f>HYPERLINK("https://cordis.europa.eu/project/id/245226", "245226")</f>
        <v>0</v>
      </c>
      <c r="C196" t="s">
        <v>218</v>
      </c>
      <c r="D196" t="s">
        <v>1029</v>
      </c>
      <c r="F196" t="s">
        <v>2124</v>
      </c>
      <c r="G196" t="s">
        <v>2366</v>
      </c>
      <c r="H196" t="s">
        <v>2973</v>
      </c>
      <c r="I196" t="s">
        <v>3089</v>
      </c>
      <c r="J196" s="2">
        <v>0</v>
      </c>
      <c r="K196" s="2">
        <v>2997137</v>
      </c>
      <c r="L196" t="s">
        <v>3368</v>
      </c>
      <c r="M196" t="s">
        <v>3575</v>
      </c>
    </row>
    <row r="197" spans="1:13">
      <c r="A197" t="s">
        <v>21</v>
      </c>
      <c r="B197" s="1">
        <f>HYPERLINK("https://cordis.europa.eu/project/id/115766", "115766")</f>
        <v>0</v>
      </c>
      <c r="C197" t="s">
        <v>219</v>
      </c>
      <c r="D197" t="s">
        <v>1030</v>
      </c>
      <c r="F197" t="s">
        <v>2179</v>
      </c>
      <c r="G197" t="s">
        <v>2390</v>
      </c>
      <c r="H197" t="s">
        <v>2991</v>
      </c>
      <c r="I197" t="s">
        <v>3138</v>
      </c>
      <c r="J197" s="2">
        <v>0</v>
      </c>
      <c r="K197" s="2">
        <v>21200000</v>
      </c>
      <c r="L197" t="s">
        <v>3368</v>
      </c>
      <c r="M197" t="s">
        <v>3576</v>
      </c>
    </row>
    <row r="198" spans="1:13">
      <c r="A198" t="s">
        <v>21</v>
      </c>
      <c r="B198" s="1">
        <f>HYPERLINK("https://cordis.europa.eu/project/id/278568", "278568")</f>
        <v>0</v>
      </c>
      <c r="C198" t="s">
        <v>220</v>
      </c>
      <c r="D198" t="s">
        <v>1031</v>
      </c>
      <c r="F198" t="s">
        <v>2123</v>
      </c>
      <c r="G198" t="s">
        <v>1714</v>
      </c>
      <c r="H198" t="s">
        <v>2972</v>
      </c>
      <c r="I198" t="s">
        <v>3076</v>
      </c>
      <c r="J198" s="2">
        <v>0</v>
      </c>
      <c r="K198" s="2">
        <v>11999640</v>
      </c>
      <c r="L198" t="s">
        <v>3368</v>
      </c>
      <c r="M198" t="s">
        <v>3577</v>
      </c>
    </row>
    <row r="199" spans="1:13">
      <c r="A199" t="s">
        <v>21</v>
      </c>
      <c r="B199" s="1">
        <f>HYPERLINK("https://cordis.europa.eu/project/id/224348", "224348")</f>
        <v>0</v>
      </c>
      <c r="C199" t="s">
        <v>221</v>
      </c>
      <c r="D199" t="s">
        <v>1032</v>
      </c>
      <c r="F199" t="s">
        <v>2151</v>
      </c>
      <c r="G199" t="s">
        <v>2327</v>
      </c>
      <c r="H199" t="s">
        <v>2970</v>
      </c>
      <c r="I199" t="s">
        <v>3128</v>
      </c>
      <c r="J199" s="2">
        <v>0</v>
      </c>
      <c r="K199" s="2">
        <v>8062709</v>
      </c>
      <c r="L199" t="s">
        <v>3368</v>
      </c>
      <c r="M199" t="s">
        <v>3578</v>
      </c>
    </row>
    <row r="200" spans="1:13">
      <c r="A200" t="s">
        <v>21</v>
      </c>
      <c r="B200" s="1">
        <f>HYPERLINK("https://cordis.europa.eu/project/id/289511", "289511")</f>
        <v>0</v>
      </c>
      <c r="C200" t="s">
        <v>222</v>
      </c>
      <c r="D200" t="s">
        <v>1033</v>
      </c>
      <c r="F200" t="s">
        <v>2126</v>
      </c>
      <c r="G200" t="s">
        <v>2372</v>
      </c>
      <c r="H200" t="s">
        <v>2972</v>
      </c>
      <c r="I200" t="s">
        <v>3088</v>
      </c>
      <c r="J200" s="2">
        <v>0</v>
      </c>
      <c r="K200" s="2">
        <v>5986490</v>
      </c>
      <c r="L200" t="s">
        <v>3370</v>
      </c>
      <c r="M200" t="s">
        <v>3579</v>
      </c>
    </row>
    <row r="201" spans="1:13">
      <c r="A201" t="s">
        <v>21</v>
      </c>
      <c r="B201" s="1">
        <f>HYPERLINK("https://cordis.europa.eu/project/id/226217", "226217")</f>
        <v>0</v>
      </c>
      <c r="C201" t="s">
        <v>223</v>
      </c>
      <c r="D201" t="s">
        <v>1034</v>
      </c>
      <c r="F201" t="s">
        <v>2137</v>
      </c>
      <c r="G201" t="s">
        <v>2328</v>
      </c>
      <c r="H201" t="s">
        <v>2973</v>
      </c>
      <c r="I201" t="s">
        <v>3103</v>
      </c>
      <c r="J201" s="2">
        <v>81360</v>
      </c>
      <c r="K201" s="2">
        <v>2377603.6</v>
      </c>
      <c r="L201" t="s">
        <v>3368</v>
      </c>
      <c r="M201" t="s">
        <v>3580</v>
      </c>
    </row>
    <row r="202" spans="1:13">
      <c r="A202" t="s">
        <v>21</v>
      </c>
      <c r="B202" s="1">
        <f>HYPERLINK("https://cordis.europa.eu/project/id/248120", "248120")</f>
        <v>0</v>
      </c>
      <c r="C202" t="s">
        <v>224</v>
      </c>
      <c r="D202" t="s">
        <v>1035</v>
      </c>
      <c r="F202" t="s">
        <v>2172</v>
      </c>
      <c r="G202" t="s">
        <v>2380</v>
      </c>
      <c r="H202" t="s">
        <v>2970</v>
      </c>
      <c r="I202" t="s">
        <v>3034</v>
      </c>
      <c r="J202" s="2">
        <v>0</v>
      </c>
      <c r="K202" s="2">
        <v>2989590</v>
      </c>
      <c r="L202" t="s">
        <v>3368</v>
      </c>
      <c r="M202" t="s">
        <v>3581</v>
      </c>
    </row>
    <row r="203" spans="1:13">
      <c r="A203" t="s">
        <v>21</v>
      </c>
      <c r="B203" s="1">
        <f>HYPERLINK("https://cordis.europa.eu/project/id/305240", "305240")</f>
        <v>0</v>
      </c>
      <c r="C203" t="s">
        <v>225</v>
      </c>
      <c r="D203" t="s">
        <v>1036</v>
      </c>
      <c r="F203" t="s">
        <v>2177</v>
      </c>
      <c r="G203" t="s">
        <v>1725</v>
      </c>
      <c r="H203" t="s">
        <v>2979</v>
      </c>
      <c r="I203" t="s">
        <v>3054</v>
      </c>
      <c r="J203" s="2">
        <v>62060.66</v>
      </c>
      <c r="K203" s="2">
        <v>1998222</v>
      </c>
      <c r="L203" t="s">
        <v>3368</v>
      </c>
      <c r="M203" t="s">
        <v>3582</v>
      </c>
    </row>
    <row r="204" spans="1:13">
      <c r="A204" t="s">
        <v>21</v>
      </c>
      <c r="B204" s="1">
        <f>HYPERLINK("https://cordis.europa.eu/project/id/618086", "618086")</f>
        <v>0</v>
      </c>
      <c r="C204" t="s">
        <v>226</v>
      </c>
      <c r="D204" t="s">
        <v>1037</v>
      </c>
      <c r="F204" t="s">
        <v>2136</v>
      </c>
      <c r="G204" t="s">
        <v>2338</v>
      </c>
      <c r="H204" t="s">
        <v>2970</v>
      </c>
      <c r="I204" t="s">
        <v>3139</v>
      </c>
      <c r="J204" s="2">
        <v>0</v>
      </c>
      <c r="K204" s="2">
        <v>923409</v>
      </c>
      <c r="L204" t="s">
        <v>3368</v>
      </c>
      <c r="M204" t="s">
        <v>3583</v>
      </c>
    </row>
    <row r="205" spans="1:13">
      <c r="A205" t="s">
        <v>21</v>
      </c>
      <c r="B205" s="1">
        <f>HYPERLINK("https://cordis.europa.eu/project/id/222665", "222665")</f>
        <v>0</v>
      </c>
      <c r="C205" t="s">
        <v>227</v>
      </c>
      <c r="D205" t="s">
        <v>1038</v>
      </c>
      <c r="F205" t="s">
        <v>2134</v>
      </c>
      <c r="G205" t="s">
        <v>2367</v>
      </c>
      <c r="H205" t="s">
        <v>2978</v>
      </c>
      <c r="I205" t="s">
        <v>3140</v>
      </c>
      <c r="J205" s="2">
        <v>472577</v>
      </c>
      <c r="K205" s="2">
        <v>472577</v>
      </c>
      <c r="L205" t="s">
        <v>3369</v>
      </c>
      <c r="M205" t="s">
        <v>3369</v>
      </c>
    </row>
    <row r="206" spans="1:13">
      <c r="A206" t="s">
        <v>22</v>
      </c>
      <c r="B206" s="1">
        <f>HYPERLINK("https://cordis.europa.eu/project/id/874434", "874434")</f>
        <v>0</v>
      </c>
      <c r="C206" t="s">
        <v>228</v>
      </c>
      <c r="D206" t="s">
        <v>1039</v>
      </c>
      <c r="E206" t="s">
        <v>1652</v>
      </c>
      <c r="F206" t="s">
        <v>2180</v>
      </c>
      <c r="G206" t="s">
        <v>2391</v>
      </c>
      <c r="H206" t="s">
        <v>2985</v>
      </c>
      <c r="I206" t="s">
        <v>3141</v>
      </c>
      <c r="J206" s="2">
        <v>300000</v>
      </c>
      <c r="K206" s="2">
        <v>300000</v>
      </c>
      <c r="L206" t="s">
        <v>3368</v>
      </c>
      <c r="M206" t="s">
        <v>3368</v>
      </c>
    </row>
    <row r="207" spans="1:13">
      <c r="A207" t="s">
        <v>22</v>
      </c>
      <c r="B207" s="1">
        <f>HYPERLINK("https://cordis.europa.eu/project/id/826092", "826092")</f>
        <v>0</v>
      </c>
      <c r="C207" t="s">
        <v>229</v>
      </c>
      <c r="D207" t="s">
        <v>1040</v>
      </c>
      <c r="E207" t="s">
        <v>1653</v>
      </c>
      <c r="F207" t="s">
        <v>2181</v>
      </c>
      <c r="G207" t="s">
        <v>2392</v>
      </c>
      <c r="H207" t="s">
        <v>2985</v>
      </c>
      <c r="I207" t="s">
        <v>3142</v>
      </c>
      <c r="J207" s="2">
        <v>106489.3</v>
      </c>
      <c r="K207" s="2">
        <v>1998038.75</v>
      </c>
      <c r="L207" t="s">
        <v>3368</v>
      </c>
      <c r="M207" t="s">
        <v>3584</v>
      </c>
    </row>
    <row r="208" spans="1:13">
      <c r="A208" t="s">
        <v>22</v>
      </c>
      <c r="B208" s="1">
        <f>HYPERLINK("https://cordis.europa.eu/project/id/964264", "964264")</f>
        <v>0</v>
      </c>
      <c r="C208" t="s">
        <v>230</v>
      </c>
      <c r="D208" t="s">
        <v>1041</v>
      </c>
      <c r="E208" t="s">
        <v>1654</v>
      </c>
      <c r="F208" t="s">
        <v>2182</v>
      </c>
      <c r="G208" t="s">
        <v>2393</v>
      </c>
      <c r="H208" t="s">
        <v>2992</v>
      </c>
      <c r="I208" t="s">
        <v>3143</v>
      </c>
      <c r="J208" s="2">
        <v>0</v>
      </c>
      <c r="K208" s="2">
        <v>10949935.59</v>
      </c>
      <c r="L208" t="s">
        <v>3368</v>
      </c>
      <c r="M208" t="s">
        <v>3585</v>
      </c>
    </row>
    <row r="209" spans="1:13">
      <c r="A209" t="s">
        <v>22</v>
      </c>
      <c r="B209" s="1">
        <f>HYPERLINK("https://cordis.europa.eu/project/id/666102", "666102")</f>
        <v>0</v>
      </c>
      <c r="C209" t="s">
        <v>231</v>
      </c>
      <c r="D209" t="s">
        <v>1042</v>
      </c>
      <c r="E209" t="s">
        <v>1655</v>
      </c>
      <c r="F209" t="s">
        <v>2113</v>
      </c>
      <c r="G209" t="s">
        <v>2388</v>
      </c>
      <c r="H209" t="s">
        <v>2993</v>
      </c>
      <c r="I209" t="s">
        <v>3144</v>
      </c>
      <c r="J209" s="2">
        <v>0</v>
      </c>
      <c r="K209" s="2">
        <v>1992770</v>
      </c>
      <c r="L209" t="s">
        <v>3368</v>
      </c>
      <c r="M209" t="s">
        <v>3586</v>
      </c>
    </row>
    <row r="210" spans="1:13">
      <c r="A210" t="s">
        <v>22</v>
      </c>
      <c r="B210" s="1">
        <f>HYPERLINK("https://cordis.europa.eu/project/id/687794", "687794")</f>
        <v>0</v>
      </c>
      <c r="C210" t="s">
        <v>232</v>
      </c>
      <c r="D210" t="s">
        <v>1043</v>
      </c>
      <c r="E210" t="s">
        <v>1656</v>
      </c>
      <c r="F210" t="s">
        <v>2183</v>
      </c>
      <c r="G210" t="s">
        <v>2394</v>
      </c>
      <c r="H210" t="s">
        <v>2985</v>
      </c>
      <c r="I210" t="s">
        <v>3145</v>
      </c>
      <c r="J210" s="2">
        <v>79125</v>
      </c>
      <c r="K210" s="2">
        <v>716500</v>
      </c>
      <c r="L210" t="s">
        <v>3369</v>
      </c>
      <c r="M210" t="s">
        <v>3587</v>
      </c>
    </row>
    <row r="211" spans="1:13">
      <c r="A211" t="s">
        <v>22</v>
      </c>
      <c r="B211" s="1">
        <f>HYPERLINK("https://cordis.europa.eu/project/id/755477", "755477")</f>
        <v>0</v>
      </c>
      <c r="C211" t="s">
        <v>233</v>
      </c>
      <c r="D211" t="s">
        <v>1044</v>
      </c>
      <c r="E211" t="s">
        <v>1657</v>
      </c>
      <c r="F211" t="s">
        <v>2184</v>
      </c>
      <c r="G211" t="s">
        <v>2395</v>
      </c>
      <c r="H211" t="s">
        <v>2994</v>
      </c>
      <c r="I211" t="s">
        <v>3146</v>
      </c>
      <c r="J211" s="2">
        <v>0</v>
      </c>
      <c r="K211" s="2">
        <v>990000</v>
      </c>
      <c r="L211" t="s">
        <v>3368</v>
      </c>
      <c r="M211" t="s">
        <v>3588</v>
      </c>
    </row>
    <row r="212" spans="1:13">
      <c r="A212" t="s">
        <v>22</v>
      </c>
      <c r="B212" s="1">
        <f>HYPERLINK("https://cordis.europa.eu/project/id/643578", "643578")</f>
        <v>0</v>
      </c>
      <c r="C212" t="s">
        <v>234</v>
      </c>
      <c r="D212" t="s">
        <v>1045</v>
      </c>
      <c r="E212" t="s">
        <v>1658</v>
      </c>
      <c r="F212" t="s">
        <v>1658</v>
      </c>
      <c r="G212" t="s">
        <v>1916</v>
      </c>
      <c r="H212" t="s">
        <v>2992</v>
      </c>
      <c r="I212" t="s">
        <v>3147</v>
      </c>
      <c r="J212" s="2">
        <v>0</v>
      </c>
      <c r="K212" s="2">
        <v>5884310</v>
      </c>
      <c r="L212" t="s">
        <v>3368</v>
      </c>
      <c r="M212" t="s">
        <v>3589</v>
      </c>
    </row>
    <row r="213" spans="1:13">
      <c r="A213" t="s">
        <v>22</v>
      </c>
      <c r="B213" s="1">
        <f>HYPERLINK("https://cordis.europa.eu/project/id/643850", "643850")</f>
        <v>0</v>
      </c>
      <c r="C213" t="s">
        <v>235</v>
      </c>
      <c r="D213" t="s">
        <v>1046</v>
      </c>
      <c r="E213" t="s">
        <v>1659</v>
      </c>
      <c r="F213" t="s">
        <v>2179</v>
      </c>
      <c r="G213" t="s">
        <v>2396</v>
      </c>
      <c r="H213" t="s">
        <v>2985</v>
      </c>
      <c r="I213" t="s">
        <v>3147</v>
      </c>
      <c r="J213" s="2">
        <v>135000</v>
      </c>
      <c r="K213" s="2">
        <v>2028049</v>
      </c>
      <c r="L213" t="s">
        <v>3368</v>
      </c>
      <c r="M213" t="s">
        <v>3590</v>
      </c>
    </row>
    <row r="214" spans="1:13">
      <c r="A214" t="s">
        <v>22</v>
      </c>
      <c r="B214" s="1">
        <f>HYPERLINK("https://cordis.europa.eu/project/id/696300", "696300")</f>
        <v>0</v>
      </c>
      <c r="C214" t="s">
        <v>236</v>
      </c>
      <c r="D214" t="s">
        <v>1047</v>
      </c>
      <c r="E214" t="s">
        <v>1660</v>
      </c>
      <c r="F214" t="s">
        <v>2185</v>
      </c>
      <c r="G214" t="s">
        <v>2391</v>
      </c>
      <c r="H214" t="s">
        <v>2985</v>
      </c>
      <c r="I214" t="s">
        <v>3148</v>
      </c>
      <c r="J214" s="2">
        <v>89880</v>
      </c>
      <c r="K214" s="2">
        <v>1998800.75</v>
      </c>
      <c r="L214" t="s">
        <v>3369</v>
      </c>
      <c r="M214" t="s">
        <v>3591</v>
      </c>
    </row>
    <row r="215" spans="1:13">
      <c r="A215" t="s">
        <v>22</v>
      </c>
      <c r="B215" s="1">
        <f>HYPERLINK("https://cordis.europa.eu/project/id/814801", "814801")</f>
        <v>0</v>
      </c>
      <c r="C215" t="s">
        <v>237</v>
      </c>
      <c r="D215" t="s">
        <v>1048</v>
      </c>
      <c r="E215" t="s">
        <v>1661</v>
      </c>
      <c r="F215" t="s">
        <v>2186</v>
      </c>
      <c r="G215" t="s">
        <v>2397</v>
      </c>
      <c r="H215" t="s">
        <v>2993</v>
      </c>
      <c r="I215" t="s">
        <v>3149</v>
      </c>
      <c r="J215" s="2">
        <v>0</v>
      </c>
      <c r="K215" s="2">
        <v>5103718.16</v>
      </c>
      <c r="L215" t="s">
        <v>3368</v>
      </c>
      <c r="M215" t="s">
        <v>3592</v>
      </c>
    </row>
    <row r="216" spans="1:13">
      <c r="A216" t="s">
        <v>22</v>
      </c>
      <c r="B216" s="1">
        <f>HYPERLINK("https://cordis.europa.eu/project/id/101020088", "101020088")</f>
        <v>0</v>
      </c>
      <c r="C216" t="s">
        <v>238</v>
      </c>
      <c r="D216" t="s">
        <v>1049</v>
      </c>
      <c r="E216" t="s">
        <v>1662</v>
      </c>
      <c r="F216" t="s">
        <v>2187</v>
      </c>
      <c r="G216" t="s">
        <v>2398</v>
      </c>
      <c r="H216" t="s">
        <v>2995</v>
      </c>
      <c r="I216" t="s">
        <v>3150</v>
      </c>
      <c r="J216" s="2">
        <v>325000</v>
      </c>
      <c r="K216" s="2">
        <v>2612117</v>
      </c>
      <c r="L216" t="s">
        <v>3369</v>
      </c>
      <c r="M216" t="s">
        <v>3593</v>
      </c>
    </row>
    <row r="217" spans="1:13">
      <c r="A217" t="s">
        <v>22</v>
      </c>
      <c r="B217" s="1">
        <f>HYPERLINK("https://cordis.europa.eu/project/id/668954", "668954")</f>
        <v>0</v>
      </c>
      <c r="C217" t="s">
        <v>239</v>
      </c>
      <c r="D217" t="s">
        <v>1050</v>
      </c>
      <c r="E217" t="s">
        <v>1663</v>
      </c>
      <c r="F217" t="s">
        <v>2188</v>
      </c>
      <c r="G217" t="s">
        <v>2399</v>
      </c>
      <c r="H217" t="s">
        <v>2995</v>
      </c>
      <c r="I217" t="s">
        <v>3151</v>
      </c>
      <c r="J217" s="2">
        <v>469975</v>
      </c>
      <c r="K217" s="2">
        <v>2348803</v>
      </c>
      <c r="L217" t="s">
        <v>3369</v>
      </c>
      <c r="M217" t="s">
        <v>3594</v>
      </c>
    </row>
    <row r="218" spans="1:13">
      <c r="A218" t="s">
        <v>22</v>
      </c>
      <c r="B218" s="1">
        <f>HYPERLINK("https://cordis.europa.eu/project/id/825664", "825664")</f>
        <v>0</v>
      </c>
      <c r="C218" t="s">
        <v>240</v>
      </c>
      <c r="D218" t="s">
        <v>1051</v>
      </c>
      <c r="E218" t="s">
        <v>1664</v>
      </c>
      <c r="F218" t="s">
        <v>2189</v>
      </c>
      <c r="G218" t="s">
        <v>2400</v>
      </c>
      <c r="H218" t="s">
        <v>2992</v>
      </c>
      <c r="I218" t="s">
        <v>3152</v>
      </c>
      <c r="J218" s="2">
        <v>0</v>
      </c>
      <c r="K218" s="2">
        <v>11010911.34</v>
      </c>
      <c r="L218" t="s">
        <v>3368</v>
      </c>
      <c r="M218" t="s">
        <v>3595</v>
      </c>
    </row>
    <row r="219" spans="1:13">
      <c r="A219" t="s">
        <v>22</v>
      </c>
      <c r="B219" s="1">
        <f>HYPERLINK("https://cordis.europa.eu/project/id/779282", "779282")</f>
        <v>0</v>
      </c>
      <c r="C219" t="s">
        <v>241</v>
      </c>
      <c r="D219" t="s">
        <v>1052</v>
      </c>
      <c r="E219" t="s">
        <v>1665</v>
      </c>
      <c r="F219" t="s">
        <v>2190</v>
      </c>
      <c r="G219" t="s">
        <v>2401</v>
      </c>
      <c r="H219" t="s">
        <v>2992</v>
      </c>
      <c r="I219" t="s">
        <v>3153</v>
      </c>
      <c r="J219" s="2">
        <v>0</v>
      </c>
      <c r="K219" s="2">
        <v>9508950</v>
      </c>
      <c r="L219" t="s">
        <v>3368</v>
      </c>
      <c r="M219" t="s">
        <v>3596</v>
      </c>
    </row>
    <row r="220" spans="1:13">
      <c r="A220" t="s">
        <v>22</v>
      </c>
      <c r="B220" s="1">
        <f>HYPERLINK("https://cordis.europa.eu/project/id/862032", "862032")</f>
        <v>0</v>
      </c>
      <c r="C220" t="s">
        <v>242</v>
      </c>
      <c r="D220" t="s">
        <v>1053</v>
      </c>
      <c r="E220" t="s">
        <v>1666</v>
      </c>
      <c r="F220" t="s">
        <v>2191</v>
      </c>
      <c r="G220" t="s">
        <v>2402</v>
      </c>
      <c r="H220" t="s">
        <v>2996</v>
      </c>
      <c r="I220" t="s">
        <v>3154</v>
      </c>
      <c r="J220" s="2">
        <v>90000</v>
      </c>
      <c r="K220" s="2">
        <v>150000</v>
      </c>
      <c r="L220" t="s">
        <v>3368</v>
      </c>
      <c r="M220" t="s">
        <v>3597</v>
      </c>
    </row>
    <row r="221" spans="1:13">
      <c r="A221" t="s">
        <v>22</v>
      </c>
      <c r="B221" s="1">
        <f>HYPERLINK("https://cordis.europa.eu/project/id/788812", "788812")</f>
        <v>0</v>
      </c>
      <c r="C221" t="s">
        <v>243</v>
      </c>
      <c r="D221" t="s">
        <v>1054</v>
      </c>
      <c r="E221" t="s">
        <v>1667</v>
      </c>
      <c r="F221" t="s">
        <v>2189</v>
      </c>
      <c r="G221" t="s">
        <v>2403</v>
      </c>
      <c r="H221" t="s">
        <v>2995</v>
      </c>
      <c r="I221" t="s">
        <v>3155</v>
      </c>
      <c r="J221" s="2">
        <v>365000</v>
      </c>
      <c r="K221" s="2">
        <v>2470200</v>
      </c>
      <c r="L221" t="s">
        <v>3369</v>
      </c>
      <c r="M221" t="s">
        <v>3598</v>
      </c>
    </row>
    <row r="222" spans="1:13">
      <c r="A222" t="s">
        <v>22</v>
      </c>
      <c r="B222" s="1">
        <f>HYPERLINK("https://cordis.europa.eu/project/id/786571", "786571")</f>
        <v>0</v>
      </c>
      <c r="C222" t="s">
        <v>244</v>
      </c>
      <c r="D222" t="s">
        <v>1055</v>
      </c>
      <c r="E222" t="s">
        <v>1668</v>
      </c>
      <c r="F222" t="s">
        <v>2192</v>
      </c>
      <c r="G222" t="s">
        <v>2404</v>
      </c>
      <c r="H222" t="s">
        <v>2985</v>
      </c>
      <c r="I222" t="s">
        <v>3156</v>
      </c>
      <c r="J222" s="2">
        <v>50000</v>
      </c>
      <c r="K222" s="2">
        <v>3492021.25</v>
      </c>
      <c r="L222" t="s">
        <v>3370</v>
      </c>
      <c r="M222" t="s">
        <v>3599</v>
      </c>
    </row>
    <row r="223" spans="1:13">
      <c r="A223" t="s">
        <v>22</v>
      </c>
      <c r="B223" s="1">
        <f>HYPERLINK("https://cordis.europa.eu/project/id/963864", "963864")</f>
        <v>0</v>
      </c>
      <c r="C223" t="s">
        <v>245</v>
      </c>
      <c r="D223" t="s">
        <v>1056</v>
      </c>
      <c r="E223" t="s">
        <v>1669</v>
      </c>
      <c r="F223" t="s">
        <v>2193</v>
      </c>
      <c r="G223" t="s">
        <v>2405</v>
      </c>
      <c r="H223" t="s">
        <v>2992</v>
      </c>
      <c r="I223" t="s">
        <v>3143</v>
      </c>
      <c r="J223" s="2">
        <v>0</v>
      </c>
      <c r="K223" s="2">
        <v>8151412.5</v>
      </c>
      <c r="L223" t="s">
        <v>3368</v>
      </c>
      <c r="M223" t="s">
        <v>3600</v>
      </c>
    </row>
    <row r="224" spans="1:13">
      <c r="A224" t="s">
        <v>22</v>
      </c>
      <c r="B224" s="1">
        <f>HYPERLINK("https://cordis.europa.eu/project/id/723770", "723770")</f>
        <v>0</v>
      </c>
      <c r="C224" t="s">
        <v>246</v>
      </c>
      <c r="D224" t="s">
        <v>1057</v>
      </c>
      <c r="E224" t="s">
        <v>1670</v>
      </c>
      <c r="F224" t="s">
        <v>2194</v>
      </c>
      <c r="G224" t="s">
        <v>2406</v>
      </c>
      <c r="H224" t="s">
        <v>2992</v>
      </c>
      <c r="I224" t="s">
        <v>3157</v>
      </c>
      <c r="J224" s="2">
        <v>0</v>
      </c>
      <c r="K224" s="2">
        <v>5039100</v>
      </c>
      <c r="L224" t="s">
        <v>3368</v>
      </c>
      <c r="M224" t="s">
        <v>3601</v>
      </c>
    </row>
    <row r="225" spans="1:13">
      <c r="A225" t="s">
        <v>22</v>
      </c>
      <c r="B225" s="1">
        <f>HYPERLINK("https://cordis.europa.eu/project/id/843298", "843298")</f>
        <v>0</v>
      </c>
      <c r="C225" t="s">
        <v>247</v>
      </c>
      <c r="D225" t="s">
        <v>1058</v>
      </c>
      <c r="E225" t="s">
        <v>1671</v>
      </c>
      <c r="F225" t="s">
        <v>2195</v>
      </c>
      <c r="G225" t="s">
        <v>2407</v>
      </c>
      <c r="H225" t="s">
        <v>2997</v>
      </c>
      <c r="I225" t="s">
        <v>3158</v>
      </c>
      <c r="J225" s="2">
        <v>0</v>
      </c>
      <c r="K225" s="2">
        <v>233434.56</v>
      </c>
      <c r="L225" t="s">
        <v>3368</v>
      </c>
      <c r="M225" t="s">
        <v>3602</v>
      </c>
    </row>
    <row r="226" spans="1:13">
      <c r="A226" t="s">
        <v>22</v>
      </c>
      <c r="B226" s="1">
        <f>HYPERLINK("https://cordis.europa.eu/project/id/843753", "843753")</f>
        <v>0</v>
      </c>
      <c r="C226" t="s">
        <v>248</v>
      </c>
      <c r="D226" t="s">
        <v>1059</v>
      </c>
      <c r="E226" t="s">
        <v>1672</v>
      </c>
      <c r="F226" t="s">
        <v>2196</v>
      </c>
      <c r="G226" t="s">
        <v>2408</v>
      </c>
      <c r="H226" t="s">
        <v>2997</v>
      </c>
      <c r="I226" t="s">
        <v>3158</v>
      </c>
      <c r="J226" s="2">
        <v>0</v>
      </c>
      <c r="K226" s="2">
        <v>235191.36</v>
      </c>
      <c r="L226" t="s">
        <v>3368</v>
      </c>
      <c r="M226" t="s">
        <v>3603</v>
      </c>
    </row>
    <row r="227" spans="1:13">
      <c r="A227" t="s">
        <v>22</v>
      </c>
      <c r="B227" s="1">
        <f>HYPERLINK("https://cordis.europa.eu/project/id/746155", "746155")</f>
        <v>0</v>
      </c>
      <c r="C227" t="s">
        <v>249</v>
      </c>
      <c r="D227" t="s">
        <v>1060</v>
      </c>
      <c r="E227" t="s">
        <v>1673</v>
      </c>
      <c r="F227" t="s">
        <v>2197</v>
      </c>
      <c r="G227" t="s">
        <v>2394</v>
      </c>
      <c r="H227" t="s">
        <v>2998</v>
      </c>
      <c r="I227" t="s">
        <v>3159</v>
      </c>
      <c r="J227" s="2">
        <v>0</v>
      </c>
      <c r="K227" s="2">
        <v>157734</v>
      </c>
      <c r="L227" t="s">
        <v>3368</v>
      </c>
      <c r="M227" t="s">
        <v>3604</v>
      </c>
    </row>
    <row r="228" spans="1:13">
      <c r="A228" t="s">
        <v>22</v>
      </c>
      <c r="B228" s="1">
        <f>HYPERLINK("https://cordis.europa.eu/project/id/792773", "792773")</f>
        <v>0</v>
      </c>
      <c r="C228" t="s">
        <v>250</v>
      </c>
      <c r="D228" t="s">
        <v>1061</v>
      </c>
      <c r="E228" t="s">
        <v>1674</v>
      </c>
      <c r="F228" t="s">
        <v>2198</v>
      </c>
      <c r="G228" t="s">
        <v>2409</v>
      </c>
      <c r="H228" t="s">
        <v>2997</v>
      </c>
      <c r="I228" t="s">
        <v>3160</v>
      </c>
      <c r="J228" s="2">
        <v>0</v>
      </c>
      <c r="K228" s="2">
        <v>245943</v>
      </c>
      <c r="L228" t="s">
        <v>3369</v>
      </c>
      <c r="M228" t="s">
        <v>3447</v>
      </c>
    </row>
    <row r="229" spans="1:13">
      <c r="A229" t="s">
        <v>22</v>
      </c>
      <c r="B229" s="1">
        <f>HYPERLINK("https://cordis.europa.eu/project/id/748625", "748625")</f>
        <v>0</v>
      </c>
      <c r="C229" t="s">
        <v>251</v>
      </c>
      <c r="D229" t="s">
        <v>1062</v>
      </c>
      <c r="E229" t="s">
        <v>1675</v>
      </c>
      <c r="F229" t="s">
        <v>2199</v>
      </c>
      <c r="G229" t="s">
        <v>2410</v>
      </c>
      <c r="H229" t="s">
        <v>2998</v>
      </c>
      <c r="I229" t="s">
        <v>3159</v>
      </c>
      <c r="J229" s="2">
        <v>0</v>
      </c>
      <c r="K229" s="2">
        <v>233276.4</v>
      </c>
      <c r="L229" t="s">
        <v>3369</v>
      </c>
      <c r="M229" t="s">
        <v>3605</v>
      </c>
    </row>
    <row r="230" spans="1:13">
      <c r="A230" t="s">
        <v>22</v>
      </c>
      <c r="B230" s="1">
        <f>HYPERLINK("https://cordis.europa.eu/project/id/754550", "754550")</f>
        <v>0</v>
      </c>
      <c r="C230" t="s">
        <v>252</v>
      </c>
      <c r="D230" t="s">
        <v>1063</v>
      </c>
      <c r="E230" t="s">
        <v>1676</v>
      </c>
      <c r="F230" t="s">
        <v>2200</v>
      </c>
      <c r="G230" t="s">
        <v>2411</v>
      </c>
      <c r="H230" t="s">
        <v>2999</v>
      </c>
      <c r="I230" t="s">
        <v>3161</v>
      </c>
      <c r="J230" s="2">
        <v>0</v>
      </c>
      <c r="K230" s="2">
        <v>1062000</v>
      </c>
      <c r="L230" t="s">
        <v>3368</v>
      </c>
      <c r="M230" t="s">
        <v>3606</v>
      </c>
    </row>
    <row r="231" spans="1:13">
      <c r="A231" t="s">
        <v>22</v>
      </c>
      <c r="B231" s="1">
        <f>HYPERLINK("https://cordis.europa.eu/project/id/838444", "838444")</f>
        <v>0</v>
      </c>
      <c r="C231" t="s">
        <v>253</v>
      </c>
      <c r="D231" t="s">
        <v>1064</v>
      </c>
      <c r="E231" t="s">
        <v>1677</v>
      </c>
      <c r="F231" t="s">
        <v>2201</v>
      </c>
      <c r="G231" t="s">
        <v>2412</v>
      </c>
      <c r="H231" t="s">
        <v>2997</v>
      </c>
      <c r="I231" t="s">
        <v>3158</v>
      </c>
      <c r="J231" s="2">
        <v>0</v>
      </c>
      <c r="K231" s="2">
        <v>232497.6</v>
      </c>
      <c r="L231" t="s">
        <v>3368</v>
      </c>
      <c r="M231" t="s">
        <v>3607</v>
      </c>
    </row>
    <row r="232" spans="1:13">
      <c r="A232" t="s">
        <v>22</v>
      </c>
      <c r="B232" s="1">
        <f>HYPERLINK("https://cordis.europa.eu/project/id/837190", "837190")</f>
        <v>0</v>
      </c>
      <c r="C232" t="s">
        <v>254</v>
      </c>
      <c r="D232" t="s">
        <v>1065</v>
      </c>
      <c r="E232" t="s">
        <v>1678</v>
      </c>
      <c r="F232" t="s">
        <v>2202</v>
      </c>
      <c r="G232" t="s">
        <v>2068</v>
      </c>
      <c r="H232" t="s">
        <v>2998</v>
      </c>
      <c r="I232" t="s">
        <v>3158</v>
      </c>
      <c r="J232" s="2">
        <v>0</v>
      </c>
      <c r="K232" s="2">
        <v>255768</v>
      </c>
      <c r="L232" t="s">
        <v>3368</v>
      </c>
      <c r="M232" t="s">
        <v>3608</v>
      </c>
    </row>
    <row r="233" spans="1:13">
      <c r="A233" t="s">
        <v>22</v>
      </c>
      <c r="B233" s="1">
        <f>HYPERLINK("https://cordis.europa.eu/project/id/881822", "881822")</f>
        <v>0</v>
      </c>
      <c r="C233" t="s">
        <v>255</v>
      </c>
      <c r="D233" t="s">
        <v>1066</v>
      </c>
      <c r="E233" t="s">
        <v>1679</v>
      </c>
      <c r="F233" t="s">
        <v>2182</v>
      </c>
      <c r="G233" t="s">
        <v>2404</v>
      </c>
      <c r="H233" t="s">
        <v>2997</v>
      </c>
      <c r="I233" t="s">
        <v>3162</v>
      </c>
      <c r="J233" s="2">
        <v>0</v>
      </c>
      <c r="K233" s="2">
        <v>237768</v>
      </c>
      <c r="L233" t="s">
        <v>3368</v>
      </c>
      <c r="M233" t="s">
        <v>3609</v>
      </c>
    </row>
    <row r="234" spans="1:13">
      <c r="A234" t="s">
        <v>22</v>
      </c>
      <c r="B234" s="1">
        <f>HYPERLINK("https://cordis.europa.eu/project/id/897218", "897218")</f>
        <v>0</v>
      </c>
      <c r="C234" t="s">
        <v>256</v>
      </c>
      <c r="D234" t="s">
        <v>1067</v>
      </c>
      <c r="E234" t="s">
        <v>1680</v>
      </c>
      <c r="F234" t="s">
        <v>2203</v>
      </c>
      <c r="G234" t="s">
        <v>2413</v>
      </c>
      <c r="H234" t="s">
        <v>2997</v>
      </c>
      <c r="I234" t="s">
        <v>3162</v>
      </c>
      <c r="J234" s="2">
        <v>0</v>
      </c>
      <c r="K234" s="2">
        <v>272084.16</v>
      </c>
      <c r="L234" t="s">
        <v>3369</v>
      </c>
      <c r="M234" t="s">
        <v>3447</v>
      </c>
    </row>
    <row r="235" spans="1:13">
      <c r="A235" t="s">
        <v>22</v>
      </c>
      <c r="B235" s="1">
        <f>HYPERLINK("https://cordis.europa.eu/project/id/893040", "893040")</f>
        <v>0</v>
      </c>
      <c r="C235" t="s">
        <v>257</v>
      </c>
      <c r="D235" t="s">
        <v>1068</v>
      </c>
      <c r="E235" t="s">
        <v>1681</v>
      </c>
      <c r="F235" t="s">
        <v>2204</v>
      </c>
      <c r="G235" t="s">
        <v>2414</v>
      </c>
      <c r="H235" t="s">
        <v>2997</v>
      </c>
      <c r="I235" t="s">
        <v>3162</v>
      </c>
      <c r="J235" s="2">
        <v>0</v>
      </c>
      <c r="K235" s="2">
        <v>261169.76</v>
      </c>
      <c r="L235" t="s">
        <v>3369</v>
      </c>
      <c r="M235" t="s">
        <v>3610</v>
      </c>
    </row>
    <row r="236" spans="1:13">
      <c r="A236" t="s">
        <v>22</v>
      </c>
      <c r="B236" s="1">
        <f>HYPERLINK("https://cordis.europa.eu/project/id/838675", "838675")</f>
        <v>0</v>
      </c>
      <c r="C236" t="s">
        <v>258</v>
      </c>
      <c r="D236" t="s">
        <v>1069</v>
      </c>
      <c r="E236" t="s">
        <v>1653</v>
      </c>
      <c r="F236" t="s">
        <v>2205</v>
      </c>
      <c r="G236" t="s">
        <v>2415</v>
      </c>
      <c r="H236" t="s">
        <v>2997</v>
      </c>
      <c r="I236" t="s">
        <v>3158</v>
      </c>
      <c r="J236" s="2">
        <v>0</v>
      </c>
      <c r="K236" s="2">
        <v>237768</v>
      </c>
      <c r="L236" t="s">
        <v>3368</v>
      </c>
      <c r="M236" t="s">
        <v>3611</v>
      </c>
    </row>
    <row r="237" spans="1:13">
      <c r="A237" t="s">
        <v>22</v>
      </c>
      <c r="B237" s="1">
        <f>HYPERLINK("https://cordis.europa.eu/project/id/894637", "894637")</f>
        <v>0</v>
      </c>
      <c r="C237" t="s">
        <v>259</v>
      </c>
      <c r="D237" t="s">
        <v>1070</v>
      </c>
      <c r="E237" t="s">
        <v>1682</v>
      </c>
      <c r="F237" t="s">
        <v>2206</v>
      </c>
      <c r="G237" t="s">
        <v>2400</v>
      </c>
      <c r="H237" t="s">
        <v>2997</v>
      </c>
      <c r="I237" t="s">
        <v>3162</v>
      </c>
      <c r="J237" s="2">
        <v>0</v>
      </c>
      <c r="K237" s="2">
        <v>223128</v>
      </c>
      <c r="L237" t="s">
        <v>3368</v>
      </c>
      <c r="M237" t="s">
        <v>3612</v>
      </c>
    </row>
    <row r="238" spans="1:13">
      <c r="A238" t="s">
        <v>22</v>
      </c>
      <c r="B238" s="1">
        <f>HYPERLINK("https://cordis.europa.eu/project/id/765472", "765472")</f>
        <v>0</v>
      </c>
      <c r="C238" t="s">
        <v>260</v>
      </c>
      <c r="D238" t="s">
        <v>1071</v>
      </c>
      <c r="E238" t="s">
        <v>1683</v>
      </c>
      <c r="F238" t="s">
        <v>2207</v>
      </c>
      <c r="G238" t="s">
        <v>2416</v>
      </c>
      <c r="H238" t="s">
        <v>3000</v>
      </c>
      <c r="I238" t="s">
        <v>3163</v>
      </c>
      <c r="J238" s="2">
        <v>0</v>
      </c>
      <c r="K238" s="2">
        <v>809451.36</v>
      </c>
      <c r="L238" t="s">
        <v>3368</v>
      </c>
      <c r="M238" t="s">
        <v>3613</v>
      </c>
    </row>
    <row r="239" spans="1:13">
      <c r="A239" t="s">
        <v>22</v>
      </c>
      <c r="B239" s="1">
        <f>HYPERLINK("https://cordis.europa.eu/project/id/895895", "895895")</f>
        <v>0</v>
      </c>
      <c r="C239" t="s">
        <v>261</v>
      </c>
      <c r="D239" t="s">
        <v>1072</v>
      </c>
      <c r="E239" t="s">
        <v>1680</v>
      </c>
      <c r="F239" t="s">
        <v>2206</v>
      </c>
      <c r="G239" t="s">
        <v>2400</v>
      </c>
      <c r="H239" t="s">
        <v>2997</v>
      </c>
      <c r="I239" t="s">
        <v>3162</v>
      </c>
      <c r="J239" s="2">
        <v>0</v>
      </c>
      <c r="K239" s="2">
        <v>225938.88</v>
      </c>
      <c r="L239" t="s">
        <v>3368</v>
      </c>
      <c r="M239" t="s">
        <v>3614</v>
      </c>
    </row>
    <row r="240" spans="1:13">
      <c r="A240" t="s">
        <v>22</v>
      </c>
      <c r="B240" s="1">
        <f>HYPERLINK("https://cordis.europa.eu/project/id/890812", "890812")</f>
        <v>0</v>
      </c>
      <c r="C240" t="s">
        <v>262</v>
      </c>
      <c r="D240" t="s">
        <v>1073</v>
      </c>
      <c r="E240" t="s">
        <v>1684</v>
      </c>
      <c r="F240" t="s">
        <v>2193</v>
      </c>
      <c r="G240" t="s">
        <v>2417</v>
      </c>
      <c r="H240" t="s">
        <v>2997</v>
      </c>
      <c r="I240" t="s">
        <v>3162</v>
      </c>
      <c r="J240" s="2">
        <v>0</v>
      </c>
      <c r="K240" s="2">
        <v>237768</v>
      </c>
      <c r="L240" t="s">
        <v>3368</v>
      </c>
      <c r="M240" t="s">
        <v>3608</v>
      </c>
    </row>
    <row r="241" spans="1:13">
      <c r="A241" t="s">
        <v>22</v>
      </c>
      <c r="B241" s="1">
        <f>HYPERLINK("https://cordis.europa.eu/project/id/742470", "742470")</f>
        <v>0</v>
      </c>
      <c r="C241" t="s">
        <v>263</v>
      </c>
      <c r="D241" t="s">
        <v>1074</v>
      </c>
      <c r="E241" t="s">
        <v>1685</v>
      </c>
      <c r="F241" t="s">
        <v>2197</v>
      </c>
      <c r="G241" t="s">
        <v>2418</v>
      </c>
      <c r="H241" t="s">
        <v>2998</v>
      </c>
      <c r="I241" t="s">
        <v>3159</v>
      </c>
      <c r="J241" s="2">
        <v>0</v>
      </c>
      <c r="K241" s="2">
        <v>243352.8</v>
      </c>
      <c r="L241" t="s">
        <v>3368</v>
      </c>
      <c r="M241" t="s">
        <v>3615</v>
      </c>
    </row>
    <row r="242" spans="1:13">
      <c r="A242" t="s">
        <v>22</v>
      </c>
      <c r="B242" s="1">
        <f>HYPERLINK("https://cordis.europa.eu/project/id/887530", "887530")</f>
        <v>0</v>
      </c>
      <c r="C242" t="s">
        <v>264</v>
      </c>
      <c r="D242" t="s">
        <v>1075</v>
      </c>
      <c r="E242" t="s">
        <v>1686</v>
      </c>
      <c r="F242" t="s">
        <v>2208</v>
      </c>
      <c r="G242" t="s">
        <v>2419</v>
      </c>
      <c r="H242" t="s">
        <v>2997</v>
      </c>
      <c r="I242" t="s">
        <v>3162</v>
      </c>
      <c r="J242" s="2">
        <v>0</v>
      </c>
      <c r="K242" s="2">
        <v>255768</v>
      </c>
      <c r="L242" t="s">
        <v>3368</v>
      </c>
      <c r="M242" t="s">
        <v>3609</v>
      </c>
    </row>
    <row r="243" spans="1:13">
      <c r="A243" t="s">
        <v>22</v>
      </c>
      <c r="B243" s="1">
        <f>HYPERLINK("https://cordis.europa.eu/project/id/841923", "841923")</f>
        <v>0</v>
      </c>
      <c r="C243" t="s">
        <v>265</v>
      </c>
      <c r="D243" t="s">
        <v>1076</v>
      </c>
      <c r="E243" t="s">
        <v>1687</v>
      </c>
      <c r="F243" t="s">
        <v>2201</v>
      </c>
      <c r="G243" t="s">
        <v>2412</v>
      </c>
      <c r="H243" t="s">
        <v>2997</v>
      </c>
      <c r="I243" t="s">
        <v>3158</v>
      </c>
      <c r="J243" s="2">
        <v>0</v>
      </c>
      <c r="K243" s="2">
        <v>255768</v>
      </c>
      <c r="L243" t="s">
        <v>3368</v>
      </c>
      <c r="M243" t="s">
        <v>3609</v>
      </c>
    </row>
    <row r="244" spans="1:13">
      <c r="A244" t="s">
        <v>22</v>
      </c>
      <c r="B244" s="1">
        <f>HYPERLINK("https://cordis.europa.eu/project/id/893673", "893673")</f>
        <v>0</v>
      </c>
      <c r="C244" t="s">
        <v>266</v>
      </c>
      <c r="D244" t="s">
        <v>1077</v>
      </c>
      <c r="E244" t="s">
        <v>1680</v>
      </c>
      <c r="F244" t="s">
        <v>2201</v>
      </c>
      <c r="G244" t="s">
        <v>2420</v>
      </c>
      <c r="H244" t="s">
        <v>2997</v>
      </c>
      <c r="I244" t="s">
        <v>3162</v>
      </c>
      <c r="J244" s="2">
        <v>0</v>
      </c>
      <c r="K244" s="2">
        <v>250497.6</v>
      </c>
      <c r="L244" t="s">
        <v>3368</v>
      </c>
      <c r="M244" t="s">
        <v>3616</v>
      </c>
    </row>
    <row r="245" spans="1:13">
      <c r="A245" t="s">
        <v>22</v>
      </c>
      <c r="B245" s="1">
        <f>HYPERLINK("https://cordis.europa.eu/project/id/752103", "752103")</f>
        <v>0</v>
      </c>
      <c r="C245" t="s">
        <v>267</v>
      </c>
      <c r="D245" t="s">
        <v>1078</v>
      </c>
      <c r="E245" t="s">
        <v>1688</v>
      </c>
      <c r="F245" t="s">
        <v>2209</v>
      </c>
      <c r="G245" t="s">
        <v>2421</v>
      </c>
      <c r="H245" t="s">
        <v>2998</v>
      </c>
      <c r="I245" t="s">
        <v>3159</v>
      </c>
      <c r="J245" s="2">
        <v>0</v>
      </c>
      <c r="K245" s="2">
        <v>221446.8</v>
      </c>
      <c r="L245" t="s">
        <v>3368</v>
      </c>
      <c r="M245" t="s">
        <v>3617</v>
      </c>
    </row>
    <row r="246" spans="1:13">
      <c r="A246" t="s">
        <v>22</v>
      </c>
      <c r="B246" s="1">
        <f>HYPERLINK("https://cordis.europa.eu/project/id/705874", "705874")</f>
        <v>0</v>
      </c>
      <c r="C246" t="s">
        <v>268</v>
      </c>
      <c r="D246" t="s">
        <v>1079</v>
      </c>
      <c r="E246" t="s">
        <v>1689</v>
      </c>
      <c r="F246" t="s">
        <v>2210</v>
      </c>
      <c r="G246" t="s">
        <v>2276</v>
      </c>
      <c r="H246" t="s">
        <v>2997</v>
      </c>
      <c r="I246" t="s">
        <v>3164</v>
      </c>
      <c r="J246" s="2">
        <v>0</v>
      </c>
      <c r="K246" s="2">
        <v>229761</v>
      </c>
      <c r="L246" t="s">
        <v>3368</v>
      </c>
      <c r="M246" t="s">
        <v>3609</v>
      </c>
    </row>
    <row r="247" spans="1:13">
      <c r="A247" t="s">
        <v>22</v>
      </c>
      <c r="B247" s="1">
        <f>HYPERLINK("https://cordis.europa.eu/project/id/660724", "660724")</f>
        <v>0</v>
      </c>
      <c r="C247" t="s">
        <v>269</v>
      </c>
      <c r="D247" t="s">
        <v>1080</v>
      </c>
      <c r="E247" t="s">
        <v>1690</v>
      </c>
      <c r="F247" t="s">
        <v>2211</v>
      </c>
      <c r="G247" t="s">
        <v>2422</v>
      </c>
      <c r="H247" t="s">
        <v>2997</v>
      </c>
      <c r="I247" t="s">
        <v>3165</v>
      </c>
      <c r="J247" s="2">
        <v>0</v>
      </c>
      <c r="K247" s="2">
        <v>229761</v>
      </c>
      <c r="L247" t="s">
        <v>3368</v>
      </c>
      <c r="M247" t="s">
        <v>3609</v>
      </c>
    </row>
    <row r="248" spans="1:13">
      <c r="A248" t="s">
        <v>22</v>
      </c>
      <c r="B248" s="1">
        <f>HYPERLINK("https://cordis.europa.eu/project/id/894075", "894075")</f>
        <v>0</v>
      </c>
      <c r="C248" t="s">
        <v>270</v>
      </c>
      <c r="D248" t="s">
        <v>1081</v>
      </c>
      <c r="E248" t="s">
        <v>1680</v>
      </c>
      <c r="F248" t="s">
        <v>2212</v>
      </c>
      <c r="G248" t="s">
        <v>2423</v>
      </c>
      <c r="H248" t="s">
        <v>2997</v>
      </c>
      <c r="I248" t="s">
        <v>3162</v>
      </c>
      <c r="J248" s="2">
        <v>0</v>
      </c>
      <c r="K248" s="2">
        <v>243763.2</v>
      </c>
      <c r="L248" t="s">
        <v>3368</v>
      </c>
      <c r="M248" t="s">
        <v>3618</v>
      </c>
    </row>
    <row r="249" spans="1:13">
      <c r="A249" t="s">
        <v>22</v>
      </c>
      <c r="B249" s="1">
        <f>HYPERLINK("https://cordis.europa.eu/project/id/101028279", "101028279")</f>
        <v>0</v>
      </c>
      <c r="C249" t="s">
        <v>271</v>
      </c>
      <c r="D249" t="s">
        <v>1082</v>
      </c>
      <c r="E249" t="s">
        <v>1691</v>
      </c>
      <c r="F249" t="s">
        <v>2213</v>
      </c>
      <c r="G249" t="s">
        <v>1994</v>
      </c>
      <c r="H249" t="s">
        <v>2997</v>
      </c>
      <c r="I249" t="s">
        <v>3166</v>
      </c>
      <c r="J249" s="2">
        <v>0</v>
      </c>
      <c r="K249" s="2">
        <v>191896.96</v>
      </c>
      <c r="L249" t="s">
        <v>3368</v>
      </c>
      <c r="M249" t="s">
        <v>3619</v>
      </c>
    </row>
    <row r="250" spans="1:13">
      <c r="A250" t="s">
        <v>22</v>
      </c>
      <c r="B250" s="1">
        <f>HYPERLINK("https://cordis.europa.eu/project/id/101028944", "101028944")</f>
        <v>0</v>
      </c>
      <c r="C250" t="s">
        <v>272</v>
      </c>
      <c r="D250" t="s">
        <v>1083</v>
      </c>
      <c r="E250" t="s">
        <v>1692</v>
      </c>
      <c r="F250" t="s">
        <v>2214</v>
      </c>
      <c r="G250" t="s">
        <v>2424</v>
      </c>
      <c r="H250" t="s">
        <v>2998</v>
      </c>
      <c r="I250" t="s">
        <v>3166</v>
      </c>
      <c r="J250" s="2">
        <v>0</v>
      </c>
      <c r="K250" s="2">
        <v>237768</v>
      </c>
      <c r="L250" t="s">
        <v>3368</v>
      </c>
      <c r="M250" t="s">
        <v>3609</v>
      </c>
    </row>
    <row r="251" spans="1:13">
      <c r="A251" t="s">
        <v>22</v>
      </c>
      <c r="B251" s="1">
        <f>HYPERLINK("https://cordis.europa.eu/project/id/101027076", "101027076")</f>
        <v>0</v>
      </c>
      <c r="C251" t="s">
        <v>273</v>
      </c>
      <c r="D251" t="s">
        <v>1084</v>
      </c>
      <c r="E251" t="s">
        <v>1693</v>
      </c>
      <c r="F251" t="s">
        <v>2187</v>
      </c>
      <c r="G251" t="s">
        <v>2425</v>
      </c>
      <c r="H251" t="s">
        <v>2997</v>
      </c>
      <c r="I251" t="s">
        <v>3166</v>
      </c>
      <c r="J251" s="2">
        <v>0</v>
      </c>
      <c r="K251" s="2">
        <v>247606.08</v>
      </c>
      <c r="L251" t="s">
        <v>3368</v>
      </c>
      <c r="M251" t="s">
        <v>3620</v>
      </c>
    </row>
    <row r="252" spans="1:13">
      <c r="A252" t="s">
        <v>22</v>
      </c>
      <c r="B252" s="1">
        <f>HYPERLINK("https://cordis.europa.eu/project/id/101028938", "101028938")</f>
        <v>0</v>
      </c>
      <c r="C252" t="s">
        <v>274</v>
      </c>
      <c r="D252" t="s">
        <v>1085</v>
      </c>
      <c r="E252" t="s">
        <v>1692</v>
      </c>
      <c r="F252" t="s">
        <v>2215</v>
      </c>
      <c r="G252" t="s">
        <v>2426</v>
      </c>
      <c r="H252" t="s">
        <v>2997</v>
      </c>
      <c r="I252" t="s">
        <v>3166</v>
      </c>
      <c r="J252" s="2">
        <v>0</v>
      </c>
      <c r="K252" s="2">
        <v>233434.56</v>
      </c>
      <c r="L252" t="s">
        <v>3368</v>
      </c>
      <c r="M252" t="s">
        <v>3621</v>
      </c>
    </row>
    <row r="253" spans="1:13">
      <c r="A253" t="s">
        <v>22</v>
      </c>
      <c r="B253" s="1">
        <f>HYPERLINK("https://cordis.europa.eu/project/id/101023439", "101023439")</f>
        <v>0</v>
      </c>
      <c r="C253" t="s">
        <v>275</v>
      </c>
      <c r="D253" t="s">
        <v>1086</v>
      </c>
      <c r="E253" t="s">
        <v>1694</v>
      </c>
      <c r="F253" t="s">
        <v>2214</v>
      </c>
      <c r="G253" t="s">
        <v>2427</v>
      </c>
      <c r="H253" t="s">
        <v>2997</v>
      </c>
      <c r="I253" t="s">
        <v>3166</v>
      </c>
      <c r="J253" s="2">
        <v>0</v>
      </c>
      <c r="K253" s="2">
        <v>271110.72</v>
      </c>
      <c r="L253" t="s">
        <v>3368</v>
      </c>
      <c r="M253" t="s">
        <v>3622</v>
      </c>
    </row>
    <row r="254" spans="1:13">
      <c r="A254" t="s">
        <v>22</v>
      </c>
      <c r="B254" s="1">
        <f>HYPERLINK("https://cordis.europa.eu/project/id/101029822", "101029822")</f>
        <v>0</v>
      </c>
      <c r="C254" t="s">
        <v>276</v>
      </c>
      <c r="D254" t="s">
        <v>1087</v>
      </c>
      <c r="E254" t="s">
        <v>1695</v>
      </c>
      <c r="F254" t="s">
        <v>2216</v>
      </c>
      <c r="G254" t="s">
        <v>2404</v>
      </c>
      <c r="H254" t="s">
        <v>2997</v>
      </c>
      <c r="I254" t="s">
        <v>3166</v>
      </c>
      <c r="J254" s="2">
        <v>0</v>
      </c>
      <c r="K254" s="2">
        <v>220490.4</v>
      </c>
      <c r="L254" t="s">
        <v>3368</v>
      </c>
      <c r="M254" t="s">
        <v>3623</v>
      </c>
    </row>
    <row r="255" spans="1:13">
      <c r="A255" t="s">
        <v>22</v>
      </c>
      <c r="B255" s="1">
        <f>HYPERLINK("https://cordis.europa.eu/project/id/101033214", "101033214")</f>
        <v>0</v>
      </c>
      <c r="C255" t="s">
        <v>277</v>
      </c>
      <c r="D255" t="s">
        <v>1088</v>
      </c>
      <c r="E255" t="s">
        <v>1696</v>
      </c>
      <c r="F255" t="s">
        <v>2216</v>
      </c>
      <c r="G255" t="s">
        <v>2428</v>
      </c>
      <c r="H255" t="s">
        <v>2997</v>
      </c>
      <c r="I255" t="s">
        <v>3166</v>
      </c>
      <c r="J255" s="2">
        <v>0</v>
      </c>
      <c r="K255" s="2">
        <v>239817.6</v>
      </c>
      <c r="L255" t="s">
        <v>3368</v>
      </c>
      <c r="M255" t="s">
        <v>3624</v>
      </c>
    </row>
    <row r="256" spans="1:13">
      <c r="A256" t="s">
        <v>22</v>
      </c>
      <c r="B256" s="1">
        <f>HYPERLINK("https://cordis.europa.eu/project/id/101021848", "101021848")</f>
        <v>0</v>
      </c>
      <c r="C256" t="s">
        <v>278</v>
      </c>
      <c r="D256" t="s">
        <v>1089</v>
      </c>
      <c r="E256" t="s">
        <v>1693</v>
      </c>
      <c r="F256" t="s">
        <v>2217</v>
      </c>
      <c r="G256" t="s">
        <v>2429</v>
      </c>
      <c r="H256" t="s">
        <v>2997</v>
      </c>
      <c r="I256" t="s">
        <v>3166</v>
      </c>
      <c r="J256" s="2">
        <v>0</v>
      </c>
      <c r="K256" s="2">
        <v>269273.28</v>
      </c>
      <c r="L256" t="s">
        <v>3369</v>
      </c>
      <c r="M256" t="s">
        <v>3625</v>
      </c>
    </row>
    <row r="257" spans="1:13">
      <c r="A257" t="s">
        <v>22</v>
      </c>
      <c r="B257" s="1">
        <f>HYPERLINK("https://cordis.europa.eu/project/id/101018413", "101018413")</f>
        <v>0</v>
      </c>
      <c r="C257" t="s">
        <v>279</v>
      </c>
      <c r="D257" t="s">
        <v>1090</v>
      </c>
      <c r="E257" t="s">
        <v>1697</v>
      </c>
      <c r="F257" t="s">
        <v>2216</v>
      </c>
      <c r="G257" t="s">
        <v>2428</v>
      </c>
      <c r="H257" t="s">
        <v>2997</v>
      </c>
      <c r="I257" t="s">
        <v>3166</v>
      </c>
      <c r="J257" s="2">
        <v>0</v>
      </c>
      <c r="K257" s="2">
        <v>237768</v>
      </c>
      <c r="L257" t="s">
        <v>3368</v>
      </c>
      <c r="M257" t="s">
        <v>3609</v>
      </c>
    </row>
    <row r="258" spans="1:13">
      <c r="A258" t="s">
        <v>22</v>
      </c>
      <c r="B258" s="1">
        <f>HYPERLINK("https://cordis.europa.eu/project/id/893533", "893533")</f>
        <v>0</v>
      </c>
      <c r="C258" t="s">
        <v>280</v>
      </c>
      <c r="D258" t="s">
        <v>1091</v>
      </c>
      <c r="E258" t="s">
        <v>1698</v>
      </c>
      <c r="F258" t="s">
        <v>1765</v>
      </c>
      <c r="G258" t="s">
        <v>2395</v>
      </c>
      <c r="H258" t="s">
        <v>2997</v>
      </c>
      <c r="I258" t="s">
        <v>3162</v>
      </c>
      <c r="J258" s="2">
        <v>0</v>
      </c>
      <c r="K258" s="2">
        <v>199760.16</v>
      </c>
      <c r="L258" t="s">
        <v>3368</v>
      </c>
      <c r="M258" t="s">
        <v>3626</v>
      </c>
    </row>
    <row r="259" spans="1:13">
      <c r="A259" t="s">
        <v>22</v>
      </c>
      <c r="B259" s="1">
        <f>HYPERLINK("https://cordis.europa.eu/project/id/101022585", "101022585")</f>
        <v>0</v>
      </c>
      <c r="C259" t="s">
        <v>281</v>
      </c>
      <c r="D259" t="s">
        <v>1092</v>
      </c>
      <c r="E259" t="s">
        <v>1699</v>
      </c>
      <c r="F259" t="s">
        <v>2218</v>
      </c>
      <c r="G259" t="s">
        <v>2430</v>
      </c>
      <c r="H259" t="s">
        <v>2993</v>
      </c>
      <c r="I259" t="s">
        <v>3167</v>
      </c>
      <c r="J259" s="2">
        <v>0</v>
      </c>
      <c r="K259" s="2">
        <v>2997156.25</v>
      </c>
      <c r="L259" t="s">
        <v>3368</v>
      </c>
      <c r="M259" t="s">
        <v>3627</v>
      </c>
    </row>
    <row r="260" spans="1:13">
      <c r="A260" t="s">
        <v>22</v>
      </c>
      <c r="B260" s="1">
        <f>HYPERLINK("https://cordis.europa.eu/project/id/799025", "799025")</f>
        <v>0</v>
      </c>
      <c r="C260" t="s">
        <v>282</v>
      </c>
      <c r="D260" t="s">
        <v>1093</v>
      </c>
      <c r="E260" t="s">
        <v>1700</v>
      </c>
      <c r="F260" t="s">
        <v>2219</v>
      </c>
      <c r="G260" t="s">
        <v>2431</v>
      </c>
      <c r="H260" t="s">
        <v>2998</v>
      </c>
      <c r="I260" t="s">
        <v>3160</v>
      </c>
      <c r="J260" s="2">
        <v>0</v>
      </c>
      <c r="K260" s="2">
        <v>232551</v>
      </c>
      <c r="L260" t="s">
        <v>3368</v>
      </c>
      <c r="M260" t="s">
        <v>3628</v>
      </c>
    </row>
    <row r="261" spans="1:13">
      <c r="A261" t="s">
        <v>22</v>
      </c>
      <c r="B261" s="1">
        <f>HYPERLINK("https://cordis.europa.eu/project/id/750935", "750935")</f>
        <v>0</v>
      </c>
      <c r="C261" t="s">
        <v>283</v>
      </c>
      <c r="D261" t="s">
        <v>1094</v>
      </c>
      <c r="E261" t="s">
        <v>1701</v>
      </c>
      <c r="F261" t="s">
        <v>2220</v>
      </c>
      <c r="G261" t="s">
        <v>2432</v>
      </c>
      <c r="H261" t="s">
        <v>2998</v>
      </c>
      <c r="I261" t="s">
        <v>3159</v>
      </c>
      <c r="J261" s="2">
        <v>0</v>
      </c>
      <c r="K261" s="2">
        <v>251555.4</v>
      </c>
      <c r="L261" t="s">
        <v>3368</v>
      </c>
      <c r="M261" t="s">
        <v>3629</v>
      </c>
    </row>
    <row r="262" spans="1:13">
      <c r="A262" t="s">
        <v>22</v>
      </c>
      <c r="B262" s="1">
        <f>HYPERLINK("https://cordis.europa.eu/project/id/817897", "817897")</f>
        <v>0</v>
      </c>
      <c r="C262" t="s">
        <v>284</v>
      </c>
      <c r="D262" t="s">
        <v>1095</v>
      </c>
      <c r="E262" t="s">
        <v>1702</v>
      </c>
      <c r="F262" t="s">
        <v>2205</v>
      </c>
      <c r="G262" t="s">
        <v>2429</v>
      </c>
      <c r="H262" t="s">
        <v>3001</v>
      </c>
      <c r="I262" t="s">
        <v>3168</v>
      </c>
      <c r="J262" s="2">
        <v>347691</v>
      </c>
      <c r="K262" s="2">
        <v>1988652</v>
      </c>
      <c r="L262" t="s">
        <v>3368</v>
      </c>
      <c r="M262" t="s">
        <v>3630</v>
      </c>
    </row>
    <row r="263" spans="1:13">
      <c r="A263" t="s">
        <v>22</v>
      </c>
      <c r="B263" s="1">
        <f>HYPERLINK("https://cordis.europa.eu/project/id/635895", "635895")</f>
        <v>0</v>
      </c>
      <c r="C263" t="s">
        <v>285</v>
      </c>
      <c r="D263" t="s">
        <v>1096</v>
      </c>
      <c r="E263" t="s">
        <v>1703</v>
      </c>
      <c r="F263" t="s">
        <v>2221</v>
      </c>
      <c r="G263" t="s">
        <v>2198</v>
      </c>
      <c r="H263" t="s">
        <v>2993</v>
      </c>
      <c r="I263" t="s">
        <v>3169</v>
      </c>
      <c r="J263" s="2">
        <v>0</v>
      </c>
      <c r="K263" s="2">
        <v>4900000</v>
      </c>
      <c r="L263" t="s">
        <v>3368</v>
      </c>
      <c r="M263" t="s">
        <v>3631</v>
      </c>
    </row>
    <row r="264" spans="1:13">
      <c r="A264" t="s">
        <v>22</v>
      </c>
      <c r="B264" s="1">
        <f>HYPERLINK("https://cordis.europa.eu/project/id/641526", "641526")</f>
        <v>0</v>
      </c>
      <c r="C264" t="s">
        <v>286</v>
      </c>
      <c r="D264" t="s">
        <v>1097</v>
      </c>
      <c r="E264" t="s">
        <v>1704</v>
      </c>
      <c r="F264" t="s">
        <v>2222</v>
      </c>
      <c r="G264" t="s">
        <v>2372</v>
      </c>
      <c r="H264" t="s">
        <v>2994</v>
      </c>
      <c r="I264" t="s">
        <v>3170</v>
      </c>
      <c r="J264" s="2">
        <v>365750</v>
      </c>
      <c r="K264" s="2">
        <v>1739487.41</v>
      </c>
      <c r="L264" t="s">
        <v>3368</v>
      </c>
      <c r="M264" t="s">
        <v>3632</v>
      </c>
    </row>
    <row r="265" spans="1:13">
      <c r="A265" t="s">
        <v>22</v>
      </c>
      <c r="B265" s="1">
        <f>HYPERLINK("https://cordis.europa.eu/project/id/722023", "722023")</f>
        <v>0</v>
      </c>
      <c r="C265" t="s">
        <v>287</v>
      </c>
      <c r="D265" t="s">
        <v>1098</v>
      </c>
      <c r="E265" t="s">
        <v>1705</v>
      </c>
      <c r="F265" t="s">
        <v>2223</v>
      </c>
      <c r="G265" t="s">
        <v>2410</v>
      </c>
      <c r="H265" t="s">
        <v>3002</v>
      </c>
      <c r="I265" t="s">
        <v>3171</v>
      </c>
      <c r="J265" s="2">
        <v>0</v>
      </c>
      <c r="K265" s="2">
        <v>3386593.799999999</v>
      </c>
      <c r="L265" t="s">
        <v>3368</v>
      </c>
      <c r="M265" t="s">
        <v>3633</v>
      </c>
    </row>
    <row r="266" spans="1:13">
      <c r="A266" t="s">
        <v>22</v>
      </c>
      <c r="B266" s="1">
        <f>HYPERLINK("https://cordis.europa.eu/project/id/824160", "824160")</f>
        <v>0</v>
      </c>
      <c r="C266" t="s">
        <v>288</v>
      </c>
      <c r="D266" t="s">
        <v>1099</v>
      </c>
      <c r="E266" t="s">
        <v>1706</v>
      </c>
      <c r="F266" t="s">
        <v>2189</v>
      </c>
      <c r="G266" t="s">
        <v>2433</v>
      </c>
      <c r="H266" t="s">
        <v>2993</v>
      </c>
      <c r="I266" t="s">
        <v>3172</v>
      </c>
      <c r="J266" s="2">
        <v>35000</v>
      </c>
      <c r="K266" s="2">
        <v>4188885.86</v>
      </c>
      <c r="L266" t="s">
        <v>3368</v>
      </c>
      <c r="M266" t="s">
        <v>3634</v>
      </c>
    </row>
    <row r="267" spans="1:13">
      <c r="A267" t="s">
        <v>22</v>
      </c>
      <c r="B267" s="1">
        <f>HYPERLINK("https://cordis.europa.eu/project/id/706334", "706334")</f>
        <v>0</v>
      </c>
      <c r="C267" t="s">
        <v>289</v>
      </c>
      <c r="D267" t="s">
        <v>1100</v>
      </c>
      <c r="E267" t="s">
        <v>1707</v>
      </c>
      <c r="F267" t="s">
        <v>2224</v>
      </c>
      <c r="G267" t="s">
        <v>1858</v>
      </c>
      <c r="H267" t="s">
        <v>2998</v>
      </c>
      <c r="I267" t="s">
        <v>3164</v>
      </c>
      <c r="J267" s="2">
        <v>0</v>
      </c>
      <c r="K267" s="2">
        <v>163872</v>
      </c>
      <c r="L267" t="s">
        <v>3368</v>
      </c>
      <c r="M267" t="s">
        <v>3616</v>
      </c>
    </row>
    <row r="268" spans="1:13">
      <c r="A268" t="s">
        <v>22</v>
      </c>
      <c r="B268" s="1">
        <f>HYPERLINK("https://cordis.europa.eu/project/id/687780", "687780")</f>
        <v>0</v>
      </c>
      <c r="C268" t="s">
        <v>290</v>
      </c>
      <c r="D268" t="s">
        <v>1101</v>
      </c>
      <c r="E268" t="s">
        <v>1708</v>
      </c>
      <c r="F268" t="s">
        <v>2188</v>
      </c>
      <c r="G268" t="s">
        <v>2339</v>
      </c>
      <c r="H268" t="s">
        <v>2985</v>
      </c>
      <c r="I268" t="s">
        <v>3145</v>
      </c>
      <c r="J268" s="2">
        <v>66400</v>
      </c>
      <c r="K268" s="2">
        <v>1498275</v>
      </c>
      <c r="L268" t="s">
        <v>3368</v>
      </c>
      <c r="M268" t="s">
        <v>3635</v>
      </c>
    </row>
    <row r="269" spans="1:13">
      <c r="A269" t="s">
        <v>22</v>
      </c>
      <c r="B269" s="1">
        <f>HYPERLINK("https://cordis.europa.eu/project/id/778104", "778104")</f>
        <v>0</v>
      </c>
      <c r="C269" t="s">
        <v>291</v>
      </c>
      <c r="D269" t="s">
        <v>1102</v>
      </c>
      <c r="E269" t="s">
        <v>1709</v>
      </c>
      <c r="F269" t="s">
        <v>2190</v>
      </c>
      <c r="G269" t="s">
        <v>2434</v>
      </c>
      <c r="H269" t="s">
        <v>3003</v>
      </c>
      <c r="I269" t="s">
        <v>3173</v>
      </c>
      <c r="J269" s="2">
        <v>0</v>
      </c>
      <c r="K269" s="2">
        <v>1723500</v>
      </c>
      <c r="L269" t="s">
        <v>3368</v>
      </c>
      <c r="M269" t="s">
        <v>3636</v>
      </c>
    </row>
    <row r="270" spans="1:13">
      <c r="A270" t="s">
        <v>22</v>
      </c>
      <c r="B270" s="1">
        <f>HYPERLINK("https://cordis.europa.eu/project/id/777695", "777695")</f>
        <v>0</v>
      </c>
      <c r="C270" t="s">
        <v>292</v>
      </c>
      <c r="D270" t="s">
        <v>1103</v>
      </c>
      <c r="E270" t="s">
        <v>1710</v>
      </c>
      <c r="F270" t="s">
        <v>2207</v>
      </c>
      <c r="G270" t="s">
        <v>2417</v>
      </c>
      <c r="H270" t="s">
        <v>3003</v>
      </c>
      <c r="I270" t="s">
        <v>3173</v>
      </c>
      <c r="J270" s="2">
        <v>0</v>
      </c>
      <c r="K270" s="2">
        <v>504000</v>
      </c>
      <c r="L270" t="s">
        <v>3368</v>
      </c>
      <c r="M270" t="s">
        <v>3637</v>
      </c>
    </row>
    <row r="271" spans="1:13">
      <c r="A271" t="s">
        <v>22</v>
      </c>
      <c r="B271" s="1">
        <f>HYPERLINK("https://cordis.europa.eu/project/id/823941", "823941")</f>
        <v>0</v>
      </c>
      <c r="C271" t="s">
        <v>293</v>
      </c>
      <c r="D271" t="s">
        <v>1104</v>
      </c>
      <c r="E271" t="s">
        <v>1711</v>
      </c>
      <c r="F271" t="s">
        <v>2189</v>
      </c>
      <c r="G271" t="s">
        <v>2435</v>
      </c>
      <c r="H271" t="s">
        <v>3003</v>
      </c>
      <c r="I271" t="s">
        <v>3174</v>
      </c>
      <c r="J271" s="2">
        <v>0</v>
      </c>
      <c r="K271" s="2">
        <v>864800</v>
      </c>
      <c r="L271" t="s">
        <v>3368</v>
      </c>
      <c r="M271" t="s">
        <v>3638</v>
      </c>
    </row>
    <row r="272" spans="1:13">
      <c r="A272" t="s">
        <v>22</v>
      </c>
      <c r="B272" s="1">
        <f>HYPERLINK("https://cordis.europa.eu/project/id/645668", "645668")</f>
        <v>0</v>
      </c>
      <c r="C272" t="s">
        <v>294</v>
      </c>
      <c r="D272" t="s">
        <v>1105</v>
      </c>
      <c r="E272" t="s">
        <v>1712</v>
      </c>
      <c r="F272" t="s">
        <v>2222</v>
      </c>
      <c r="G272" t="s">
        <v>2339</v>
      </c>
      <c r="H272" t="s">
        <v>3003</v>
      </c>
      <c r="I272" t="s">
        <v>3175</v>
      </c>
      <c r="J272" s="2">
        <v>0</v>
      </c>
      <c r="K272" s="2">
        <v>391500</v>
      </c>
      <c r="L272" t="s">
        <v>3369</v>
      </c>
      <c r="M272" t="s">
        <v>3639</v>
      </c>
    </row>
    <row r="273" spans="1:13">
      <c r="A273" t="s">
        <v>22</v>
      </c>
      <c r="B273" s="1">
        <f>HYPERLINK("https://cordis.europa.eu/project/id/690984", "690984")</f>
        <v>0</v>
      </c>
      <c r="C273" t="s">
        <v>295</v>
      </c>
      <c r="D273" t="s">
        <v>1106</v>
      </c>
      <c r="E273" t="s">
        <v>1713</v>
      </c>
      <c r="F273" t="s">
        <v>2188</v>
      </c>
      <c r="G273" t="s">
        <v>2436</v>
      </c>
      <c r="H273" t="s">
        <v>3003</v>
      </c>
      <c r="I273" t="s">
        <v>3176</v>
      </c>
      <c r="J273" s="2">
        <v>0</v>
      </c>
      <c r="K273" s="2">
        <v>868500</v>
      </c>
      <c r="L273" t="s">
        <v>3368</v>
      </c>
      <c r="M273" t="s">
        <v>3640</v>
      </c>
    </row>
    <row r="274" spans="1:13">
      <c r="A274" t="s">
        <v>22</v>
      </c>
      <c r="B274" s="1">
        <f>HYPERLINK("https://cordis.europa.eu/project/id/101006900", "101006900")</f>
        <v>0</v>
      </c>
      <c r="C274" t="s">
        <v>296</v>
      </c>
      <c r="D274" t="s">
        <v>1108</v>
      </c>
      <c r="E274" t="s">
        <v>1715</v>
      </c>
      <c r="F274" t="s">
        <v>1908</v>
      </c>
      <c r="G274" t="s">
        <v>2435</v>
      </c>
      <c r="H274" t="s">
        <v>2985</v>
      </c>
      <c r="I274" t="s">
        <v>3178</v>
      </c>
      <c r="J274" s="2">
        <v>0</v>
      </c>
      <c r="K274" s="2">
        <v>2499396.25</v>
      </c>
      <c r="L274" t="s">
        <v>3368</v>
      </c>
      <c r="M274" t="s">
        <v>3641</v>
      </c>
    </row>
    <row r="275" spans="1:13">
      <c r="A275" t="s">
        <v>22</v>
      </c>
      <c r="B275" s="1">
        <f>HYPERLINK("https://cordis.europa.eu/project/id/636202", "636202")</f>
        <v>0</v>
      </c>
      <c r="C275" t="s">
        <v>297</v>
      </c>
      <c r="D275" t="s">
        <v>1109</v>
      </c>
      <c r="E275" t="s">
        <v>1716</v>
      </c>
      <c r="F275" t="s">
        <v>2226</v>
      </c>
      <c r="G275" t="s">
        <v>1948</v>
      </c>
      <c r="H275" t="s">
        <v>2993</v>
      </c>
      <c r="I275" t="s">
        <v>3169</v>
      </c>
      <c r="J275" s="2">
        <v>0</v>
      </c>
      <c r="K275" s="2">
        <v>7074806.659999999</v>
      </c>
      <c r="L275" t="s">
        <v>3368</v>
      </c>
      <c r="M275" t="s">
        <v>3642</v>
      </c>
    </row>
    <row r="276" spans="1:13">
      <c r="A276" t="s">
        <v>22</v>
      </c>
      <c r="B276" s="1">
        <f>HYPERLINK("https://cordis.europa.eu/project/id/815122", "815122")</f>
        <v>0</v>
      </c>
      <c r="C276" t="s">
        <v>298</v>
      </c>
      <c r="D276" t="s">
        <v>1110</v>
      </c>
      <c r="E276" t="s">
        <v>1661</v>
      </c>
      <c r="F276" t="s">
        <v>2227</v>
      </c>
      <c r="G276" t="s">
        <v>2437</v>
      </c>
      <c r="H276" t="s">
        <v>2993</v>
      </c>
      <c r="I276" t="s">
        <v>3149</v>
      </c>
      <c r="J276" s="2">
        <v>0</v>
      </c>
      <c r="K276" s="2">
        <v>4499670.43</v>
      </c>
      <c r="L276" t="s">
        <v>3368</v>
      </c>
      <c r="M276" t="s">
        <v>3643</v>
      </c>
    </row>
    <row r="277" spans="1:13">
      <c r="A277" t="s">
        <v>22</v>
      </c>
      <c r="B277" s="1">
        <f>HYPERLINK("https://cordis.europa.eu/project/id/689983", "689983")</f>
        <v>0</v>
      </c>
      <c r="C277" t="s">
        <v>299</v>
      </c>
      <c r="D277" t="s">
        <v>1111</v>
      </c>
      <c r="E277" t="s">
        <v>1717</v>
      </c>
      <c r="F277" t="s">
        <v>2185</v>
      </c>
      <c r="G277" t="s">
        <v>2438</v>
      </c>
      <c r="H277" t="s">
        <v>3003</v>
      </c>
      <c r="I277" t="s">
        <v>3176</v>
      </c>
      <c r="J277" s="2">
        <v>0</v>
      </c>
      <c r="K277" s="2">
        <v>1620000</v>
      </c>
      <c r="L277" t="s">
        <v>3368</v>
      </c>
      <c r="M277" t="s">
        <v>3644</v>
      </c>
    </row>
    <row r="278" spans="1:13">
      <c r="A278" t="s">
        <v>22</v>
      </c>
      <c r="B278" s="1">
        <f>HYPERLINK("https://cordis.europa.eu/project/id/840804", "840804")</f>
        <v>0</v>
      </c>
      <c r="C278" t="s">
        <v>300</v>
      </c>
      <c r="D278" t="s">
        <v>1112</v>
      </c>
      <c r="E278" t="s">
        <v>1718</v>
      </c>
      <c r="F278" t="s">
        <v>2181</v>
      </c>
      <c r="G278" t="s">
        <v>2395</v>
      </c>
      <c r="H278" t="s">
        <v>2997</v>
      </c>
      <c r="I278" t="s">
        <v>3158</v>
      </c>
      <c r="J278" s="2">
        <v>0</v>
      </c>
      <c r="K278" s="2">
        <v>251434.56</v>
      </c>
      <c r="L278" t="s">
        <v>3368</v>
      </c>
      <c r="M278" t="s">
        <v>3621</v>
      </c>
    </row>
    <row r="279" spans="1:13">
      <c r="A279" t="s">
        <v>22</v>
      </c>
      <c r="B279" s="1">
        <f>HYPERLINK("https://cordis.europa.eu/project/id/893454", "893454")</f>
        <v>0</v>
      </c>
      <c r="C279" t="s">
        <v>301</v>
      </c>
      <c r="D279" t="s">
        <v>1113</v>
      </c>
      <c r="E279" t="s">
        <v>1686</v>
      </c>
      <c r="F279" t="s">
        <v>2228</v>
      </c>
      <c r="G279" t="s">
        <v>2439</v>
      </c>
      <c r="H279" t="s">
        <v>2997</v>
      </c>
      <c r="I279" t="s">
        <v>3162</v>
      </c>
      <c r="J279" s="2">
        <v>0</v>
      </c>
      <c r="K279" s="2">
        <v>164558.4</v>
      </c>
      <c r="L279" t="s">
        <v>3368</v>
      </c>
      <c r="M279" t="s">
        <v>3645</v>
      </c>
    </row>
    <row r="280" spans="1:13">
      <c r="A280" t="s">
        <v>22</v>
      </c>
      <c r="B280" s="1">
        <f>HYPERLINK("https://cordis.europa.eu/project/id/842817", "842817")</f>
        <v>0</v>
      </c>
      <c r="C280" t="s">
        <v>302</v>
      </c>
      <c r="D280" t="s">
        <v>1114</v>
      </c>
      <c r="E280" t="s">
        <v>1719</v>
      </c>
      <c r="F280" t="s">
        <v>2229</v>
      </c>
      <c r="G280" t="s">
        <v>2440</v>
      </c>
      <c r="H280" t="s">
        <v>2998</v>
      </c>
      <c r="I280" t="s">
        <v>3158</v>
      </c>
      <c r="J280" s="2">
        <v>0</v>
      </c>
      <c r="K280" s="2">
        <v>201275.52</v>
      </c>
      <c r="L280" t="s">
        <v>3369</v>
      </c>
      <c r="M280" t="s">
        <v>3646</v>
      </c>
    </row>
    <row r="281" spans="1:13">
      <c r="A281" t="s">
        <v>22</v>
      </c>
      <c r="B281" s="1">
        <f>HYPERLINK("https://cordis.europa.eu/project/id/656598", "656598")</f>
        <v>0</v>
      </c>
      <c r="C281" t="s">
        <v>303</v>
      </c>
      <c r="D281" t="s">
        <v>1115</v>
      </c>
      <c r="E281" t="s">
        <v>1703</v>
      </c>
      <c r="F281" t="s">
        <v>2230</v>
      </c>
      <c r="G281" t="s">
        <v>2441</v>
      </c>
      <c r="H281" t="s">
        <v>2998</v>
      </c>
      <c r="I281" t="s">
        <v>3165</v>
      </c>
      <c r="J281" s="2">
        <v>0</v>
      </c>
      <c r="K281" s="2">
        <v>164541.6</v>
      </c>
      <c r="L281" t="s">
        <v>3368</v>
      </c>
      <c r="M281" t="s">
        <v>3621</v>
      </c>
    </row>
    <row r="282" spans="1:13">
      <c r="A282" t="s">
        <v>22</v>
      </c>
      <c r="B282" s="1">
        <f>HYPERLINK("https://cordis.europa.eu/project/id/846107", "846107")</f>
        <v>0</v>
      </c>
      <c r="C282" t="s">
        <v>304</v>
      </c>
      <c r="D282" t="s">
        <v>1116</v>
      </c>
      <c r="E282" t="s">
        <v>1720</v>
      </c>
      <c r="F282" t="s">
        <v>2191</v>
      </c>
      <c r="G282" t="s">
        <v>2406</v>
      </c>
      <c r="H282" t="s">
        <v>2997</v>
      </c>
      <c r="I282" t="s">
        <v>3158</v>
      </c>
      <c r="J282" s="2">
        <v>0</v>
      </c>
      <c r="K282" s="2">
        <v>237768</v>
      </c>
      <c r="L282" t="s">
        <v>3368</v>
      </c>
      <c r="M282" t="s">
        <v>3609</v>
      </c>
    </row>
    <row r="283" spans="1:13">
      <c r="A283" t="s">
        <v>22</v>
      </c>
      <c r="B283" s="1">
        <f>HYPERLINK("https://cordis.europa.eu/project/id/899037", "899037")</f>
        <v>0</v>
      </c>
      <c r="C283" t="s">
        <v>305</v>
      </c>
      <c r="D283" t="s">
        <v>1117</v>
      </c>
      <c r="E283" t="s">
        <v>1721</v>
      </c>
      <c r="F283" t="s">
        <v>2231</v>
      </c>
      <c r="G283" t="s">
        <v>2442</v>
      </c>
      <c r="H283" t="s">
        <v>2997</v>
      </c>
      <c r="I283" t="s">
        <v>3162</v>
      </c>
      <c r="J283" s="2">
        <v>0</v>
      </c>
      <c r="K283" s="2">
        <v>174747.84</v>
      </c>
      <c r="L283" t="s">
        <v>3368</v>
      </c>
      <c r="M283" t="s">
        <v>3647</v>
      </c>
    </row>
    <row r="284" spans="1:13">
      <c r="A284" t="s">
        <v>22</v>
      </c>
      <c r="B284" s="1">
        <f>HYPERLINK("https://cordis.europa.eu/project/id/874465", "874465")</f>
        <v>0</v>
      </c>
      <c r="C284" t="s">
        <v>306</v>
      </c>
      <c r="D284" t="s">
        <v>1118</v>
      </c>
      <c r="E284" t="s">
        <v>1722</v>
      </c>
      <c r="F284" t="s">
        <v>2232</v>
      </c>
      <c r="G284" t="s">
        <v>2411</v>
      </c>
      <c r="H284" t="s">
        <v>2993</v>
      </c>
      <c r="I284" t="s">
        <v>3179</v>
      </c>
      <c r="J284" s="2">
        <v>0</v>
      </c>
      <c r="K284" s="2">
        <v>4674640.25</v>
      </c>
      <c r="L284" t="s">
        <v>3368</v>
      </c>
      <c r="M284" t="s">
        <v>3648</v>
      </c>
    </row>
    <row r="285" spans="1:13">
      <c r="A285" t="s">
        <v>22</v>
      </c>
      <c r="B285" s="1">
        <f>HYPERLINK("https://cordis.europa.eu/project/id/101006717", "101006717")</f>
        <v>0</v>
      </c>
      <c r="C285" t="s">
        <v>307</v>
      </c>
      <c r="D285" t="s">
        <v>1119</v>
      </c>
      <c r="E285" t="s">
        <v>1723</v>
      </c>
      <c r="F285" t="s">
        <v>2208</v>
      </c>
      <c r="G285" t="s">
        <v>2430</v>
      </c>
      <c r="H285" t="s">
        <v>2993</v>
      </c>
      <c r="I285" t="s">
        <v>3180</v>
      </c>
      <c r="J285" s="2">
        <v>0</v>
      </c>
      <c r="K285" s="2">
        <v>3564700.25</v>
      </c>
      <c r="L285" t="s">
        <v>3368</v>
      </c>
      <c r="M285" t="s">
        <v>3649</v>
      </c>
    </row>
    <row r="286" spans="1:13">
      <c r="A286" t="s">
        <v>22</v>
      </c>
      <c r="B286" s="1">
        <f>HYPERLINK("https://cordis.europa.eu/project/id/823961", "823961")</f>
        <v>0</v>
      </c>
      <c r="C286" t="s">
        <v>308</v>
      </c>
      <c r="D286" t="s">
        <v>1120</v>
      </c>
      <c r="E286" t="s">
        <v>1724</v>
      </c>
      <c r="F286" t="s">
        <v>2233</v>
      </c>
      <c r="G286" t="s">
        <v>2443</v>
      </c>
      <c r="H286" t="s">
        <v>3003</v>
      </c>
      <c r="I286" t="s">
        <v>3174</v>
      </c>
      <c r="J286" s="2">
        <v>0</v>
      </c>
      <c r="K286" s="2">
        <v>1311000</v>
      </c>
      <c r="L286" t="s">
        <v>3368</v>
      </c>
      <c r="M286" t="s">
        <v>3650</v>
      </c>
    </row>
    <row r="287" spans="1:13">
      <c r="A287" t="s">
        <v>22</v>
      </c>
      <c r="B287" s="1">
        <f>HYPERLINK("https://cordis.europa.eu/project/id/704333", "704333")</f>
        <v>0</v>
      </c>
      <c r="C287" t="s">
        <v>309</v>
      </c>
      <c r="D287" t="s">
        <v>1121</v>
      </c>
      <c r="E287" t="s">
        <v>1725</v>
      </c>
      <c r="F287" t="s">
        <v>1892</v>
      </c>
      <c r="G287" t="s">
        <v>2444</v>
      </c>
      <c r="H287" t="s">
        <v>2998</v>
      </c>
      <c r="I287" t="s">
        <v>3164</v>
      </c>
      <c r="J287" s="2">
        <v>0</v>
      </c>
      <c r="K287" s="2">
        <v>237349.8</v>
      </c>
      <c r="L287" t="s">
        <v>3368</v>
      </c>
      <c r="M287" t="s">
        <v>3623</v>
      </c>
    </row>
    <row r="288" spans="1:13">
      <c r="A288" t="s">
        <v>22</v>
      </c>
      <c r="B288" s="1">
        <f>HYPERLINK("https://cordis.europa.eu/project/id/861584", "861584")</f>
        <v>0</v>
      </c>
      <c r="C288" t="s">
        <v>310</v>
      </c>
      <c r="D288" t="s">
        <v>1122</v>
      </c>
      <c r="E288" t="s">
        <v>1726</v>
      </c>
      <c r="F288" t="s">
        <v>2234</v>
      </c>
      <c r="G288" t="s">
        <v>2445</v>
      </c>
      <c r="H288" t="s">
        <v>2993</v>
      </c>
      <c r="I288" t="s">
        <v>3181</v>
      </c>
      <c r="J288" s="2">
        <v>0</v>
      </c>
      <c r="K288" s="2">
        <v>6848575</v>
      </c>
      <c r="L288" t="s">
        <v>3368</v>
      </c>
      <c r="M288" t="s">
        <v>3651</v>
      </c>
    </row>
    <row r="289" spans="1:13">
      <c r="A289" t="s">
        <v>22</v>
      </c>
      <c r="B289" s="1">
        <f>HYPERLINK("https://cordis.europa.eu/project/id/662152", "662152")</f>
        <v>0</v>
      </c>
      <c r="C289" t="s">
        <v>311</v>
      </c>
      <c r="D289" t="s">
        <v>1123</v>
      </c>
      <c r="E289" t="s">
        <v>1727</v>
      </c>
      <c r="F289" t="s">
        <v>2226</v>
      </c>
      <c r="G289" t="s">
        <v>2362</v>
      </c>
      <c r="H289" t="s">
        <v>2985</v>
      </c>
      <c r="I289" t="s">
        <v>3182</v>
      </c>
      <c r="J289" s="2">
        <v>11200</v>
      </c>
      <c r="K289" s="2">
        <v>1177182.5</v>
      </c>
      <c r="L289" t="s">
        <v>3368</v>
      </c>
      <c r="M289" t="s">
        <v>3652</v>
      </c>
    </row>
    <row r="290" spans="1:13">
      <c r="A290" t="s">
        <v>22</v>
      </c>
      <c r="B290" s="1">
        <f>HYPERLINK("https://cordis.europa.eu/project/id/884418", "884418")</f>
        <v>0</v>
      </c>
      <c r="C290" t="s">
        <v>312</v>
      </c>
      <c r="D290" t="s">
        <v>1124</v>
      </c>
      <c r="E290" t="s">
        <v>1728</v>
      </c>
      <c r="F290" t="s">
        <v>1721</v>
      </c>
      <c r="G290" t="s">
        <v>2429</v>
      </c>
      <c r="H290" t="s">
        <v>2994</v>
      </c>
      <c r="I290" t="s">
        <v>3183</v>
      </c>
      <c r="J290" s="2">
        <v>0</v>
      </c>
      <c r="K290" s="2">
        <v>12499083.27</v>
      </c>
      <c r="L290" t="s">
        <v>3368</v>
      </c>
      <c r="M290" t="s">
        <v>3653</v>
      </c>
    </row>
    <row r="291" spans="1:13">
      <c r="A291" t="s">
        <v>22</v>
      </c>
      <c r="B291" s="1">
        <f>HYPERLINK("https://cordis.europa.eu/project/id/773902", "773902")</f>
        <v>0</v>
      </c>
      <c r="C291" t="s">
        <v>313</v>
      </c>
      <c r="D291" t="s">
        <v>1125</v>
      </c>
      <c r="E291" t="s">
        <v>1729</v>
      </c>
      <c r="F291" t="s">
        <v>2192</v>
      </c>
      <c r="G291" t="s">
        <v>2437</v>
      </c>
      <c r="H291" t="s">
        <v>2993</v>
      </c>
      <c r="I291" t="s">
        <v>3184</v>
      </c>
      <c r="J291" s="2">
        <v>0</v>
      </c>
      <c r="K291" s="2">
        <v>2991525</v>
      </c>
      <c r="L291" t="s">
        <v>3368</v>
      </c>
      <c r="M291" t="s">
        <v>3654</v>
      </c>
    </row>
    <row r="292" spans="1:13">
      <c r="A292" t="s">
        <v>22</v>
      </c>
      <c r="B292" s="1">
        <f>HYPERLINK("https://cordis.europa.eu/project/id/665403", "665403")</f>
        <v>0</v>
      </c>
      <c r="C292" t="s">
        <v>314</v>
      </c>
      <c r="D292" t="s">
        <v>1126</v>
      </c>
      <c r="E292" t="s">
        <v>1730</v>
      </c>
      <c r="F292" t="s">
        <v>2188</v>
      </c>
      <c r="G292" t="s">
        <v>2446</v>
      </c>
      <c r="H292" t="s">
        <v>3004</v>
      </c>
      <c r="I292" t="s">
        <v>3185</v>
      </c>
      <c r="J292" s="2">
        <v>0</v>
      </c>
      <c r="K292" s="2">
        <v>2746800</v>
      </c>
      <c r="L292" t="s">
        <v>3368</v>
      </c>
      <c r="M292" t="s">
        <v>3655</v>
      </c>
    </row>
    <row r="293" spans="1:13">
      <c r="A293" t="s">
        <v>22</v>
      </c>
      <c r="B293" s="1">
        <f>HYPERLINK("https://cordis.europa.eu/project/id/799693", "799693")</f>
        <v>0</v>
      </c>
      <c r="C293" t="s">
        <v>315</v>
      </c>
      <c r="D293" t="s">
        <v>1127</v>
      </c>
      <c r="E293" t="s">
        <v>1731</v>
      </c>
      <c r="F293" t="s">
        <v>2235</v>
      </c>
      <c r="G293" t="s">
        <v>2416</v>
      </c>
      <c r="H293" t="s">
        <v>2998</v>
      </c>
      <c r="I293" t="s">
        <v>3160</v>
      </c>
      <c r="J293" s="2">
        <v>0</v>
      </c>
      <c r="K293" s="2">
        <v>224683.2</v>
      </c>
      <c r="L293" t="s">
        <v>3368</v>
      </c>
      <c r="M293" t="s">
        <v>3607</v>
      </c>
    </row>
    <row r="294" spans="1:13">
      <c r="A294" t="s">
        <v>22</v>
      </c>
      <c r="B294" s="1">
        <f>HYPERLINK("https://cordis.europa.eu/project/id/661122", "661122")</f>
        <v>0</v>
      </c>
      <c r="C294" t="s">
        <v>316</v>
      </c>
      <c r="D294" t="s">
        <v>1128</v>
      </c>
      <c r="E294" t="s">
        <v>1732</v>
      </c>
      <c r="F294" t="s">
        <v>2236</v>
      </c>
      <c r="G294" t="s">
        <v>2447</v>
      </c>
      <c r="H294" t="s">
        <v>2998</v>
      </c>
      <c r="I294" t="s">
        <v>3165</v>
      </c>
      <c r="J294" s="2">
        <v>0</v>
      </c>
      <c r="K294" s="2">
        <v>235285.2</v>
      </c>
      <c r="L294" t="s">
        <v>3368</v>
      </c>
      <c r="M294" t="s">
        <v>3656</v>
      </c>
    </row>
    <row r="295" spans="1:13">
      <c r="A295" t="s">
        <v>22</v>
      </c>
      <c r="B295" s="1">
        <f>HYPERLINK("https://cordis.europa.eu/project/id/862820", "862820")</f>
        <v>0</v>
      </c>
      <c r="C295" t="s">
        <v>317</v>
      </c>
      <c r="D295" t="s">
        <v>1129</v>
      </c>
      <c r="E295" t="s">
        <v>1733</v>
      </c>
      <c r="F295" t="s">
        <v>2227</v>
      </c>
      <c r="G295" t="s">
        <v>2428</v>
      </c>
      <c r="H295" t="s">
        <v>2994</v>
      </c>
      <c r="I295" t="s">
        <v>3186</v>
      </c>
      <c r="J295" s="2">
        <v>0</v>
      </c>
      <c r="K295" s="2">
        <v>8589678.200000001</v>
      </c>
      <c r="L295" t="s">
        <v>3368</v>
      </c>
      <c r="M295" t="s">
        <v>3657</v>
      </c>
    </row>
    <row r="296" spans="1:13">
      <c r="A296" t="s">
        <v>22</v>
      </c>
      <c r="B296" s="1">
        <f>HYPERLINK("https://cordis.europa.eu/project/id/101023635", "101023635")</f>
        <v>0</v>
      </c>
      <c r="C296" t="s">
        <v>318</v>
      </c>
      <c r="D296" t="s">
        <v>1130</v>
      </c>
      <c r="E296" t="s">
        <v>1691</v>
      </c>
      <c r="F296" t="s">
        <v>2214</v>
      </c>
      <c r="G296" t="s">
        <v>2424</v>
      </c>
      <c r="H296" t="s">
        <v>2997</v>
      </c>
      <c r="I296" t="s">
        <v>3166</v>
      </c>
      <c r="J296" s="2">
        <v>0</v>
      </c>
      <c r="K296" s="2">
        <v>290084.16</v>
      </c>
      <c r="L296" t="s">
        <v>3369</v>
      </c>
      <c r="M296" t="s">
        <v>3447</v>
      </c>
    </row>
    <row r="297" spans="1:13">
      <c r="A297" t="s">
        <v>22</v>
      </c>
      <c r="B297" s="1">
        <f>HYPERLINK("https://cordis.europa.eu/project/id/660391", "660391")</f>
        <v>0</v>
      </c>
      <c r="C297" t="s">
        <v>319</v>
      </c>
      <c r="D297" t="s">
        <v>1131</v>
      </c>
      <c r="E297" t="s">
        <v>1734</v>
      </c>
      <c r="F297" t="s">
        <v>1757</v>
      </c>
      <c r="G297" t="s">
        <v>2448</v>
      </c>
      <c r="H297" t="s">
        <v>2998</v>
      </c>
      <c r="I297" t="s">
        <v>3165</v>
      </c>
      <c r="J297" s="2">
        <v>0</v>
      </c>
      <c r="K297" s="2">
        <v>240507</v>
      </c>
      <c r="L297" t="s">
        <v>3369</v>
      </c>
      <c r="M297" t="s">
        <v>3658</v>
      </c>
    </row>
    <row r="298" spans="1:13">
      <c r="A298" t="s">
        <v>22</v>
      </c>
      <c r="B298" s="1">
        <f>HYPERLINK("https://cordis.europa.eu/project/id/702408", "702408")</f>
        <v>0</v>
      </c>
      <c r="C298" t="s">
        <v>320</v>
      </c>
      <c r="D298" t="s">
        <v>1132</v>
      </c>
      <c r="E298" t="s">
        <v>1735</v>
      </c>
      <c r="F298" t="s">
        <v>2184</v>
      </c>
      <c r="G298" t="s">
        <v>2449</v>
      </c>
      <c r="H298" t="s">
        <v>2998</v>
      </c>
      <c r="I298" t="s">
        <v>3164</v>
      </c>
      <c r="J298" s="2">
        <v>0</v>
      </c>
      <c r="K298" s="2">
        <v>255349.8</v>
      </c>
      <c r="L298" t="s">
        <v>3368</v>
      </c>
      <c r="M298" t="s">
        <v>3623</v>
      </c>
    </row>
    <row r="299" spans="1:13">
      <c r="A299" t="s">
        <v>22</v>
      </c>
      <c r="B299" s="1">
        <f>HYPERLINK("https://cordis.europa.eu/project/id/813095", "813095")</f>
        <v>0</v>
      </c>
      <c r="C299" t="s">
        <v>321</v>
      </c>
      <c r="D299" t="s">
        <v>1134</v>
      </c>
      <c r="E299" t="s">
        <v>1737</v>
      </c>
      <c r="F299" t="s">
        <v>2237</v>
      </c>
      <c r="G299" t="s">
        <v>2450</v>
      </c>
      <c r="H299" t="s">
        <v>3005</v>
      </c>
      <c r="I299" t="s">
        <v>3187</v>
      </c>
      <c r="J299" s="2">
        <v>0</v>
      </c>
      <c r="K299" s="2">
        <v>1328099.4</v>
      </c>
      <c r="L299" t="s">
        <v>3368</v>
      </c>
      <c r="M299" t="s">
        <v>3659</v>
      </c>
    </row>
    <row r="300" spans="1:13">
      <c r="A300" t="s">
        <v>22</v>
      </c>
      <c r="B300" s="1">
        <f>HYPERLINK("https://cordis.europa.eu/project/id/777717", "777717")</f>
        <v>0</v>
      </c>
      <c r="C300" t="s">
        <v>322</v>
      </c>
      <c r="D300" t="s">
        <v>1135</v>
      </c>
      <c r="E300" t="s">
        <v>1738</v>
      </c>
      <c r="F300" t="s">
        <v>2190</v>
      </c>
      <c r="G300" t="s">
        <v>2442</v>
      </c>
      <c r="H300" t="s">
        <v>3003</v>
      </c>
      <c r="I300" t="s">
        <v>3173</v>
      </c>
      <c r="J300" s="2">
        <v>0</v>
      </c>
      <c r="K300" s="2">
        <v>504000</v>
      </c>
      <c r="L300" t="s">
        <v>3368</v>
      </c>
      <c r="M300" t="s">
        <v>3660</v>
      </c>
    </row>
    <row r="301" spans="1:13">
      <c r="A301" t="s">
        <v>22</v>
      </c>
      <c r="B301" s="1">
        <f>HYPERLINK("https://cordis.europa.eu/project/id/642575", "642575")</f>
        <v>0</v>
      </c>
      <c r="C301" t="s">
        <v>323</v>
      </c>
      <c r="D301" t="s">
        <v>1136</v>
      </c>
      <c r="E301" t="s">
        <v>1739</v>
      </c>
      <c r="F301" t="s">
        <v>2222</v>
      </c>
      <c r="G301" t="s">
        <v>2387</v>
      </c>
      <c r="H301" t="s">
        <v>3005</v>
      </c>
      <c r="I301" t="s">
        <v>3188</v>
      </c>
      <c r="J301" s="2">
        <v>0</v>
      </c>
      <c r="K301" s="2">
        <v>3710595.24</v>
      </c>
      <c r="L301" t="s">
        <v>3368</v>
      </c>
      <c r="M301" t="s">
        <v>3661</v>
      </c>
    </row>
    <row r="302" spans="1:13">
      <c r="A302" t="s">
        <v>22</v>
      </c>
      <c r="B302" s="1">
        <f>HYPERLINK("https://cordis.europa.eu/project/id/794837", "794837")</f>
        <v>0</v>
      </c>
      <c r="C302" t="s">
        <v>324</v>
      </c>
      <c r="D302" t="s">
        <v>1137</v>
      </c>
      <c r="E302" t="s">
        <v>1740</v>
      </c>
      <c r="F302" t="s">
        <v>2189</v>
      </c>
      <c r="G302" t="s">
        <v>2446</v>
      </c>
      <c r="H302" t="s">
        <v>2998</v>
      </c>
      <c r="I302" t="s">
        <v>3160</v>
      </c>
      <c r="J302" s="2">
        <v>0</v>
      </c>
      <c r="K302" s="2">
        <v>232160.4</v>
      </c>
      <c r="L302" t="s">
        <v>3368</v>
      </c>
      <c r="M302" t="s">
        <v>3662</v>
      </c>
    </row>
    <row r="303" spans="1:13">
      <c r="A303" t="s">
        <v>22</v>
      </c>
      <c r="B303" s="1">
        <f>HYPERLINK("https://cordis.europa.eu/project/id/873185", "873185")</f>
        <v>0</v>
      </c>
      <c r="C303" t="s">
        <v>325</v>
      </c>
      <c r="D303" t="s">
        <v>1138</v>
      </c>
      <c r="E303" t="s">
        <v>1741</v>
      </c>
      <c r="F303" t="s">
        <v>1765</v>
      </c>
      <c r="G303" t="s">
        <v>2405</v>
      </c>
      <c r="H303" t="s">
        <v>3003</v>
      </c>
      <c r="I303" t="s">
        <v>3189</v>
      </c>
      <c r="J303" s="2">
        <v>0</v>
      </c>
      <c r="K303" s="2">
        <v>1288000</v>
      </c>
      <c r="L303" t="s">
        <v>3377</v>
      </c>
      <c r="M303" t="s">
        <v>3663</v>
      </c>
    </row>
    <row r="304" spans="1:13">
      <c r="A304" t="s">
        <v>22</v>
      </c>
      <c r="B304" s="1">
        <f>HYPERLINK("https://cordis.europa.eu/project/id/896746", "896746")</f>
        <v>0</v>
      </c>
      <c r="C304" t="s">
        <v>326</v>
      </c>
      <c r="D304" t="s">
        <v>1139</v>
      </c>
      <c r="E304" t="s">
        <v>1742</v>
      </c>
      <c r="F304" t="s">
        <v>2201</v>
      </c>
      <c r="G304" t="s">
        <v>2451</v>
      </c>
      <c r="H304" t="s">
        <v>2997</v>
      </c>
      <c r="I304" t="s">
        <v>3162</v>
      </c>
      <c r="J304" s="2">
        <v>0</v>
      </c>
      <c r="K304" s="2">
        <v>244385.28</v>
      </c>
      <c r="L304" t="s">
        <v>3368</v>
      </c>
      <c r="M304" t="s">
        <v>3662</v>
      </c>
    </row>
    <row r="305" spans="1:13">
      <c r="A305" t="s">
        <v>22</v>
      </c>
      <c r="B305" s="1">
        <f>HYPERLINK("https://cordis.europa.eu/project/id/101000302", "101000302")</f>
        <v>0</v>
      </c>
      <c r="C305" t="s">
        <v>327</v>
      </c>
      <c r="D305" t="s">
        <v>1140</v>
      </c>
      <c r="E305" t="s">
        <v>1743</v>
      </c>
      <c r="F305" t="s">
        <v>2216</v>
      </c>
      <c r="G305" t="s">
        <v>2424</v>
      </c>
      <c r="H305" t="s">
        <v>2993</v>
      </c>
      <c r="I305" t="s">
        <v>3190</v>
      </c>
      <c r="J305" s="2">
        <v>168750</v>
      </c>
      <c r="K305" s="2">
        <v>7919413.75</v>
      </c>
      <c r="L305" t="s">
        <v>3368</v>
      </c>
      <c r="M305" t="s">
        <v>3664</v>
      </c>
    </row>
    <row r="306" spans="1:13">
      <c r="A306" t="s">
        <v>22</v>
      </c>
      <c r="B306" s="1">
        <f>HYPERLINK("https://cordis.europa.eu/project/id/727153", "727153")</f>
        <v>0</v>
      </c>
      <c r="C306" t="s">
        <v>328</v>
      </c>
      <c r="D306" t="s">
        <v>1141</v>
      </c>
      <c r="E306" t="s">
        <v>1744</v>
      </c>
      <c r="F306" t="s">
        <v>2194</v>
      </c>
      <c r="G306" t="s">
        <v>2438</v>
      </c>
      <c r="H306" t="s">
        <v>2993</v>
      </c>
      <c r="I306" t="s">
        <v>3191</v>
      </c>
      <c r="J306" s="2">
        <v>0</v>
      </c>
      <c r="K306" s="2">
        <v>2370275</v>
      </c>
      <c r="L306" t="s">
        <v>3368</v>
      </c>
      <c r="M306" t="s">
        <v>3665</v>
      </c>
    </row>
    <row r="307" spans="1:13">
      <c r="A307" t="s">
        <v>22</v>
      </c>
      <c r="B307" s="1">
        <f>HYPERLINK("https://cordis.europa.eu/project/id/945234", "945234")</f>
        <v>0</v>
      </c>
      <c r="C307" t="s">
        <v>329</v>
      </c>
      <c r="D307" t="s">
        <v>1142</v>
      </c>
      <c r="E307" t="s">
        <v>1745</v>
      </c>
      <c r="F307" t="s">
        <v>2201</v>
      </c>
      <c r="G307" t="s">
        <v>2452</v>
      </c>
      <c r="H307" t="s">
        <v>2993</v>
      </c>
      <c r="I307" t="s">
        <v>3192</v>
      </c>
      <c r="J307" s="2">
        <v>0</v>
      </c>
      <c r="K307" s="2">
        <v>3997237.5</v>
      </c>
      <c r="L307" t="s">
        <v>3368</v>
      </c>
      <c r="M307" t="s">
        <v>3666</v>
      </c>
    </row>
    <row r="308" spans="1:13">
      <c r="A308" t="s">
        <v>22</v>
      </c>
      <c r="B308" s="1">
        <f>HYPERLINK("https://cordis.europa.eu/project/id/872053", "872053")</f>
        <v>0</v>
      </c>
      <c r="C308" t="s">
        <v>330</v>
      </c>
      <c r="D308" t="s">
        <v>1143</v>
      </c>
      <c r="E308" t="s">
        <v>1746</v>
      </c>
      <c r="F308" t="s">
        <v>2180</v>
      </c>
      <c r="G308" t="s">
        <v>2403</v>
      </c>
      <c r="H308" t="s">
        <v>3003</v>
      </c>
      <c r="I308" t="s">
        <v>3189</v>
      </c>
      <c r="J308" s="2">
        <v>0</v>
      </c>
      <c r="K308" s="2">
        <v>1209800</v>
      </c>
      <c r="L308" t="s">
        <v>3368</v>
      </c>
      <c r="M308" t="s">
        <v>3667</v>
      </c>
    </row>
    <row r="309" spans="1:13">
      <c r="A309" t="s">
        <v>22</v>
      </c>
      <c r="B309" s="1">
        <f>HYPERLINK("https://cordis.europa.eu/project/id/741874", "741874")</f>
        <v>0</v>
      </c>
      <c r="C309" t="s">
        <v>331</v>
      </c>
      <c r="D309" t="s">
        <v>1144</v>
      </c>
      <c r="E309" t="s">
        <v>1747</v>
      </c>
      <c r="F309" t="s">
        <v>2238</v>
      </c>
      <c r="G309" t="s">
        <v>2453</v>
      </c>
      <c r="H309" t="s">
        <v>2992</v>
      </c>
      <c r="I309" t="s">
        <v>3193</v>
      </c>
      <c r="J309" s="2">
        <v>0</v>
      </c>
      <c r="K309" s="2">
        <v>3768310.240000001</v>
      </c>
      <c r="L309" t="s">
        <v>3368</v>
      </c>
      <c r="M309" t="s">
        <v>3668</v>
      </c>
    </row>
    <row r="310" spans="1:13">
      <c r="A310" t="s">
        <v>22</v>
      </c>
      <c r="B310" s="1">
        <f>HYPERLINK("https://cordis.europa.eu/project/id/730965", "730965")</f>
        <v>0</v>
      </c>
      <c r="C310" t="s">
        <v>332</v>
      </c>
      <c r="D310" t="s">
        <v>1145</v>
      </c>
      <c r="E310" t="s">
        <v>1748</v>
      </c>
      <c r="F310" t="s">
        <v>2199</v>
      </c>
      <c r="G310" t="s">
        <v>2433</v>
      </c>
      <c r="H310" t="s">
        <v>2993</v>
      </c>
      <c r="I310" t="s">
        <v>3194</v>
      </c>
      <c r="J310" s="2">
        <v>483631</v>
      </c>
      <c r="K310" s="2">
        <v>5996563.749999998</v>
      </c>
      <c r="L310" t="s">
        <v>3368</v>
      </c>
      <c r="M310" t="s">
        <v>3669</v>
      </c>
    </row>
    <row r="311" spans="1:13">
      <c r="A311" t="s">
        <v>22</v>
      </c>
      <c r="B311" s="1">
        <f>HYPERLINK("https://cordis.europa.eu/project/id/642612", "642612")</f>
        <v>0</v>
      </c>
      <c r="C311" t="s">
        <v>333</v>
      </c>
      <c r="D311" t="s">
        <v>1146</v>
      </c>
      <c r="E311" t="s">
        <v>1749</v>
      </c>
      <c r="F311" t="s">
        <v>2222</v>
      </c>
      <c r="G311" t="s">
        <v>2387</v>
      </c>
      <c r="H311" t="s">
        <v>3002</v>
      </c>
      <c r="I311" t="s">
        <v>3188</v>
      </c>
      <c r="J311" s="2">
        <v>0</v>
      </c>
      <c r="K311" s="2">
        <v>3700187.28</v>
      </c>
      <c r="L311" t="s">
        <v>3368</v>
      </c>
      <c r="M311" t="s">
        <v>3670</v>
      </c>
    </row>
    <row r="312" spans="1:13">
      <c r="A312" t="s">
        <v>22</v>
      </c>
      <c r="B312" s="1">
        <f>HYPERLINK("https://cordis.europa.eu/project/id/794925", "794925")</f>
        <v>0</v>
      </c>
      <c r="C312" t="s">
        <v>334</v>
      </c>
      <c r="D312" t="s">
        <v>1147</v>
      </c>
      <c r="E312" t="s">
        <v>1750</v>
      </c>
      <c r="F312" t="s">
        <v>2239</v>
      </c>
      <c r="G312" t="s">
        <v>1950</v>
      </c>
      <c r="H312" t="s">
        <v>2998</v>
      </c>
      <c r="I312" t="s">
        <v>3160</v>
      </c>
      <c r="J312" s="2">
        <v>0</v>
      </c>
      <c r="K312" s="2">
        <v>210754.8</v>
      </c>
      <c r="L312" t="s">
        <v>3368</v>
      </c>
      <c r="M312" t="s">
        <v>3662</v>
      </c>
    </row>
    <row r="313" spans="1:13">
      <c r="A313" t="s">
        <v>22</v>
      </c>
      <c r="B313" s="1">
        <f>HYPERLINK("https://cordis.europa.eu/project/id/872549", "872549")</f>
        <v>0</v>
      </c>
      <c r="C313" t="s">
        <v>335</v>
      </c>
      <c r="D313" t="s">
        <v>1148</v>
      </c>
      <c r="E313" t="s">
        <v>1751</v>
      </c>
      <c r="F313" t="s">
        <v>2191</v>
      </c>
      <c r="G313" t="s">
        <v>2393</v>
      </c>
      <c r="H313" t="s">
        <v>3003</v>
      </c>
      <c r="I313" t="s">
        <v>3189</v>
      </c>
      <c r="J313" s="2">
        <v>0</v>
      </c>
      <c r="K313" s="2">
        <v>575000</v>
      </c>
      <c r="L313" t="s">
        <v>3368</v>
      </c>
      <c r="M313" t="s">
        <v>3671</v>
      </c>
    </row>
    <row r="314" spans="1:13">
      <c r="A314" t="s">
        <v>22</v>
      </c>
      <c r="B314" s="1">
        <f>HYPERLINK("https://cordis.europa.eu/project/id/945057", "945057")</f>
        <v>0</v>
      </c>
      <c r="C314" t="s">
        <v>336</v>
      </c>
      <c r="D314" t="s">
        <v>1149</v>
      </c>
      <c r="E314" t="s">
        <v>1752</v>
      </c>
      <c r="F314" t="s">
        <v>1765</v>
      </c>
      <c r="G314" t="s">
        <v>2443</v>
      </c>
      <c r="H314" t="s">
        <v>2993</v>
      </c>
      <c r="I314" t="s">
        <v>3192</v>
      </c>
      <c r="J314" s="2">
        <v>0</v>
      </c>
      <c r="K314" s="2">
        <v>3974402.5</v>
      </c>
      <c r="L314" t="s">
        <v>3368</v>
      </c>
      <c r="M314" t="s">
        <v>3672</v>
      </c>
    </row>
    <row r="315" spans="1:13">
      <c r="A315" t="s">
        <v>22</v>
      </c>
      <c r="B315" s="1">
        <f>HYPERLINK("https://cordis.europa.eu/project/id/659232", "659232")</f>
        <v>0</v>
      </c>
      <c r="C315" t="s">
        <v>337</v>
      </c>
      <c r="D315" t="s">
        <v>1150</v>
      </c>
      <c r="E315" t="s">
        <v>1753</v>
      </c>
      <c r="F315" t="s">
        <v>2240</v>
      </c>
      <c r="G315" t="s">
        <v>2454</v>
      </c>
      <c r="H315" t="s">
        <v>2998</v>
      </c>
      <c r="I315" t="s">
        <v>3165</v>
      </c>
      <c r="J315" s="2">
        <v>0</v>
      </c>
      <c r="K315" s="2">
        <v>232160.4</v>
      </c>
      <c r="L315" t="s">
        <v>3368</v>
      </c>
      <c r="M315" t="s">
        <v>3673</v>
      </c>
    </row>
    <row r="316" spans="1:13">
      <c r="A316" t="s">
        <v>22</v>
      </c>
      <c r="B316" s="1">
        <f>HYPERLINK("https://cordis.europa.eu/project/id/674911", "674911")</f>
        <v>0</v>
      </c>
      <c r="C316" t="s">
        <v>338</v>
      </c>
      <c r="D316" t="s">
        <v>1151</v>
      </c>
      <c r="E316" t="s">
        <v>1754</v>
      </c>
      <c r="F316" t="s">
        <v>2188</v>
      </c>
      <c r="G316" t="s">
        <v>2436</v>
      </c>
      <c r="H316" t="s">
        <v>3002</v>
      </c>
      <c r="I316" t="s">
        <v>3195</v>
      </c>
      <c r="J316" s="2">
        <v>0</v>
      </c>
      <c r="K316" s="2">
        <v>2538628.2</v>
      </c>
      <c r="L316" t="s">
        <v>3371</v>
      </c>
      <c r="M316" t="s">
        <v>3674</v>
      </c>
    </row>
    <row r="317" spans="1:13">
      <c r="A317" t="s">
        <v>22</v>
      </c>
      <c r="B317" s="1">
        <f>HYPERLINK("https://cordis.europa.eu/project/id/872427", "872427")</f>
        <v>0</v>
      </c>
      <c r="C317" t="s">
        <v>339</v>
      </c>
      <c r="D317" t="s">
        <v>1152</v>
      </c>
      <c r="E317" t="s">
        <v>1755</v>
      </c>
      <c r="F317" t="s">
        <v>2208</v>
      </c>
      <c r="G317" t="s">
        <v>2451</v>
      </c>
      <c r="H317" t="s">
        <v>2993</v>
      </c>
      <c r="I317" t="s">
        <v>3196</v>
      </c>
      <c r="J317" s="2">
        <v>0</v>
      </c>
      <c r="K317" s="2">
        <v>1999650</v>
      </c>
      <c r="L317" t="s">
        <v>3368</v>
      </c>
      <c r="M317" t="s">
        <v>3675</v>
      </c>
    </row>
    <row r="318" spans="1:13">
      <c r="A318" t="s">
        <v>22</v>
      </c>
      <c r="B318" s="1">
        <f>HYPERLINK("https://cordis.europa.eu/project/id/101028507", "101028507")</f>
        <v>0</v>
      </c>
      <c r="C318" t="s">
        <v>340</v>
      </c>
      <c r="D318" t="s">
        <v>1153</v>
      </c>
      <c r="E318" t="s">
        <v>1693</v>
      </c>
      <c r="F318" t="s">
        <v>2241</v>
      </c>
      <c r="G318" t="s">
        <v>2428</v>
      </c>
      <c r="H318" t="s">
        <v>2997</v>
      </c>
      <c r="I318" t="s">
        <v>3166</v>
      </c>
      <c r="J318" s="2">
        <v>0</v>
      </c>
      <c r="K318" s="2">
        <v>235490.4</v>
      </c>
      <c r="L318" t="s">
        <v>3368</v>
      </c>
      <c r="M318" t="s">
        <v>3623</v>
      </c>
    </row>
    <row r="319" spans="1:13">
      <c r="A319" t="s">
        <v>22</v>
      </c>
      <c r="B319" s="1">
        <f>HYPERLINK("https://cordis.europa.eu/project/id/645361", "645361")</f>
        <v>0</v>
      </c>
      <c r="C319" t="s">
        <v>341</v>
      </c>
      <c r="D319" t="s">
        <v>1154</v>
      </c>
      <c r="E319" t="s">
        <v>1756</v>
      </c>
      <c r="F319" t="s">
        <v>2242</v>
      </c>
      <c r="G319" t="s">
        <v>2455</v>
      </c>
      <c r="H319" t="s">
        <v>2993</v>
      </c>
      <c r="I319" t="s">
        <v>3197</v>
      </c>
      <c r="J319" s="2">
        <v>0</v>
      </c>
      <c r="K319" s="2">
        <v>2559405</v>
      </c>
      <c r="L319" t="s">
        <v>3368</v>
      </c>
      <c r="M319" t="s">
        <v>3676</v>
      </c>
    </row>
    <row r="320" spans="1:13">
      <c r="A320" t="s">
        <v>22</v>
      </c>
      <c r="B320" s="1">
        <f>HYPERLINK("https://cordis.europa.eu/project/id/656607", "656607")</f>
        <v>0</v>
      </c>
      <c r="C320" t="s">
        <v>342</v>
      </c>
      <c r="D320" t="s">
        <v>1155</v>
      </c>
      <c r="E320" t="s">
        <v>1757</v>
      </c>
      <c r="F320" t="s">
        <v>2188</v>
      </c>
      <c r="G320" t="s">
        <v>2387</v>
      </c>
      <c r="H320" t="s">
        <v>2998</v>
      </c>
      <c r="I320" t="s">
        <v>3165</v>
      </c>
      <c r="J320" s="2">
        <v>0</v>
      </c>
      <c r="K320" s="2">
        <v>255349.8</v>
      </c>
      <c r="L320" t="s">
        <v>3368</v>
      </c>
      <c r="M320" t="s">
        <v>3623</v>
      </c>
    </row>
    <row r="321" spans="1:13">
      <c r="A321" t="s">
        <v>22</v>
      </c>
      <c r="B321" s="1">
        <f>HYPERLINK("https://cordis.europa.eu/project/id/101027828", "101027828")</f>
        <v>0</v>
      </c>
      <c r="C321" t="s">
        <v>343</v>
      </c>
      <c r="D321" t="s">
        <v>1156</v>
      </c>
      <c r="E321" t="s">
        <v>1758</v>
      </c>
      <c r="F321" t="s">
        <v>2243</v>
      </c>
      <c r="G321" t="s">
        <v>2435</v>
      </c>
      <c r="H321" t="s">
        <v>2998</v>
      </c>
      <c r="I321" t="s">
        <v>3166</v>
      </c>
      <c r="J321" s="2">
        <v>0</v>
      </c>
      <c r="K321" s="2">
        <v>265606.08</v>
      </c>
      <c r="L321" t="s">
        <v>3368</v>
      </c>
      <c r="M321" t="s">
        <v>3620</v>
      </c>
    </row>
    <row r="322" spans="1:13">
      <c r="A322" t="s">
        <v>22</v>
      </c>
      <c r="B322" s="1">
        <f>HYPERLINK("https://cordis.europa.eu/project/id/869580", "869580")</f>
        <v>0</v>
      </c>
      <c r="C322" t="s">
        <v>344</v>
      </c>
      <c r="D322" t="s">
        <v>1157</v>
      </c>
      <c r="E322" t="s">
        <v>1759</v>
      </c>
      <c r="F322" t="s">
        <v>2231</v>
      </c>
      <c r="G322" t="s">
        <v>2456</v>
      </c>
      <c r="H322" t="s">
        <v>2993</v>
      </c>
      <c r="I322" t="s">
        <v>3198</v>
      </c>
      <c r="J322" s="2">
        <v>0</v>
      </c>
      <c r="K322" s="2">
        <v>5956083.75</v>
      </c>
      <c r="L322" t="s">
        <v>3368</v>
      </c>
      <c r="M322" t="s">
        <v>3677</v>
      </c>
    </row>
    <row r="323" spans="1:13">
      <c r="A323" t="s">
        <v>22</v>
      </c>
      <c r="B323" s="1">
        <f>HYPERLINK("https://cordis.europa.eu/project/id/825731", "825731")</f>
        <v>0</v>
      </c>
      <c r="C323" t="s">
        <v>345</v>
      </c>
      <c r="D323" t="s">
        <v>1158</v>
      </c>
      <c r="E323" t="s">
        <v>1760</v>
      </c>
      <c r="F323" t="s">
        <v>2189</v>
      </c>
      <c r="G323" t="s">
        <v>2417</v>
      </c>
      <c r="H323" t="s">
        <v>2993</v>
      </c>
      <c r="I323" t="s">
        <v>3152</v>
      </c>
      <c r="J323" s="2">
        <v>0</v>
      </c>
      <c r="K323" s="2">
        <v>4017817.5</v>
      </c>
      <c r="L323" t="s">
        <v>3369</v>
      </c>
      <c r="M323" t="s">
        <v>3678</v>
      </c>
    </row>
    <row r="324" spans="1:13">
      <c r="A324" t="s">
        <v>22</v>
      </c>
      <c r="B324" s="1">
        <f>HYPERLINK("https://cordis.europa.eu/project/id/636501", "636501")</f>
        <v>0</v>
      </c>
      <c r="C324" t="s">
        <v>346</v>
      </c>
      <c r="D324" t="s">
        <v>1159</v>
      </c>
      <c r="E324" t="s">
        <v>1761</v>
      </c>
      <c r="F324" t="s">
        <v>2179</v>
      </c>
      <c r="G324" t="s">
        <v>1884</v>
      </c>
      <c r="H324" t="s">
        <v>2993</v>
      </c>
      <c r="I324" t="s">
        <v>3199</v>
      </c>
      <c r="J324" s="2">
        <v>273807.5</v>
      </c>
      <c r="K324" s="2">
        <v>4535869</v>
      </c>
      <c r="L324" t="s">
        <v>3368</v>
      </c>
      <c r="M324" t="s">
        <v>3679</v>
      </c>
    </row>
    <row r="325" spans="1:13">
      <c r="A325" t="s">
        <v>22</v>
      </c>
      <c r="B325" s="1">
        <f>HYPERLINK("https://cordis.europa.eu/project/id/847441", "847441")</f>
        <v>0</v>
      </c>
      <c r="C325" t="s">
        <v>347</v>
      </c>
      <c r="D325" t="s">
        <v>1160</v>
      </c>
      <c r="E325" t="s">
        <v>1762</v>
      </c>
      <c r="F325" t="s">
        <v>2186</v>
      </c>
      <c r="G325" t="s">
        <v>2397</v>
      </c>
      <c r="H325" t="s">
        <v>2993</v>
      </c>
      <c r="I325" t="s">
        <v>3200</v>
      </c>
      <c r="J325" s="2">
        <v>0</v>
      </c>
      <c r="K325" s="2">
        <v>3186503.05</v>
      </c>
      <c r="L325" t="s">
        <v>3368</v>
      </c>
      <c r="M325" t="s">
        <v>3680</v>
      </c>
    </row>
    <row r="326" spans="1:13">
      <c r="A326" t="s">
        <v>22</v>
      </c>
      <c r="B326" s="1">
        <f>HYPERLINK("https://cordis.europa.eu/project/id/662284", "662284")</f>
        <v>0</v>
      </c>
      <c r="C326" t="s">
        <v>348</v>
      </c>
      <c r="D326" t="s">
        <v>1161</v>
      </c>
      <c r="E326" t="s">
        <v>1763</v>
      </c>
      <c r="F326" t="s">
        <v>2244</v>
      </c>
      <c r="G326" t="s">
        <v>2276</v>
      </c>
      <c r="H326" t="s">
        <v>2993</v>
      </c>
      <c r="I326" t="s">
        <v>3182</v>
      </c>
      <c r="J326" s="2">
        <v>0</v>
      </c>
      <c r="K326" s="2">
        <v>2831910</v>
      </c>
      <c r="L326" t="s">
        <v>3368</v>
      </c>
      <c r="M326" t="s">
        <v>3681</v>
      </c>
    </row>
    <row r="327" spans="1:13">
      <c r="A327" t="s">
        <v>22</v>
      </c>
      <c r="B327" s="1">
        <f>HYPERLINK("https://cordis.europa.eu/project/id/785459", "785459")</f>
        <v>0</v>
      </c>
      <c r="C327" t="s">
        <v>349</v>
      </c>
      <c r="D327" t="s">
        <v>1162</v>
      </c>
      <c r="E327" t="s">
        <v>1764</v>
      </c>
      <c r="F327" t="s">
        <v>2207</v>
      </c>
      <c r="G327" t="s">
        <v>2433</v>
      </c>
      <c r="H327" t="s">
        <v>2994</v>
      </c>
      <c r="I327" t="s">
        <v>3201</v>
      </c>
      <c r="J327" s="2">
        <v>0</v>
      </c>
      <c r="K327" s="2">
        <v>1919852.49</v>
      </c>
      <c r="L327" t="s">
        <v>3368</v>
      </c>
      <c r="M327" t="s">
        <v>3682</v>
      </c>
    </row>
    <row r="328" spans="1:13">
      <c r="A328" t="s">
        <v>22</v>
      </c>
      <c r="B328" s="1">
        <f>HYPERLINK("https://cordis.europa.eu/project/id/101003575", "101003575")</f>
        <v>0</v>
      </c>
      <c r="C328" t="s">
        <v>350</v>
      </c>
      <c r="D328" t="s">
        <v>1163</v>
      </c>
      <c r="E328" t="s">
        <v>1765</v>
      </c>
      <c r="F328" t="s">
        <v>1908</v>
      </c>
      <c r="G328" t="s">
        <v>2457</v>
      </c>
      <c r="H328" t="s">
        <v>2992</v>
      </c>
      <c r="I328" t="s">
        <v>3202</v>
      </c>
      <c r="J328" s="2">
        <v>0</v>
      </c>
      <c r="K328" s="2">
        <v>5000000</v>
      </c>
      <c r="L328" t="s">
        <v>3368</v>
      </c>
      <c r="M328" t="s">
        <v>3683</v>
      </c>
    </row>
    <row r="329" spans="1:13">
      <c r="A329" t="s">
        <v>22</v>
      </c>
      <c r="B329" s="1">
        <f>HYPERLINK("https://cordis.europa.eu/project/id/870231", "870231")</f>
        <v>0</v>
      </c>
      <c r="C329" t="s">
        <v>351</v>
      </c>
      <c r="D329" t="s">
        <v>1164</v>
      </c>
      <c r="E329" t="s">
        <v>1741</v>
      </c>
      <c r="F329" t="s">
        <v>2232</v>
      </c>
      <c r="G329" t="s">
        <v>2397</v>
      </c>
      <c r="H329" t="s">
        <v>2994</v>
      </c>
      <c r="I329" t="s">
        <v>3203</v>
      </c>
      <c r="J329" s="2">
        <v>100531.25</v>
      </c>
      <c r="K329" s="2">
        <v>2606317.51</v>
      </c>
      <c r="L329" t="s">
        <v>3368</v>
      </c>
      <c r="M329" t="s">
        <v>3684</v>
      </c>
    </row>
    <row r="330" spans="1:13">
      <c r="A330" t="s">
        <v>22</v>
      </c>
      <c r="B330" s="1">
        <f>HYPERLINK("https://cordis.europa.eu/project/id/779967", "779967")</f>
        <v>0</v>
      </c>
      <c r="C330" t="s">
        <v>352</v>
      </c>
      <c r="D330" t="s">
        <v>1165</v>
      </c>
      <c r="E330" t="s">
        <v>1766</v>
      </c>
      <c r="F330" t="s">
        <v>2199</v>
      </c>
      <c r="G330" t="s">
        <v>2458</v>
      </c>
      <c r="H330" t="s">
        <v>2993</v>
      </c>
      <c r="I330" t="s">
        <v>3204</v>
      </c>
      <c r="J330" s="2">
        <v>0</v>
      </c>
      <c r="K330" s="2">
        <v>7999961.25</v>
      </c>
      <c r="L330" t="s">
        <v>3368</v>
      </c>
      <c r="M330" t="s">
        <v>3685</v>
      </c>
    </row>
    <row r="331" spans="1:13">
      <c r="A331" t="s">
        <v>22</v>
      </c>
      <c r="B331" s="1">
        <f>HYPERLINK("https://cordis.europa.eu/project/id/101007084", "101007084")</f>
        <v>0</v>
      </c>
      <c r="C331" t="s">
        <v>353</v>
      </c>
      <c r="D331" t="s">
        <v>1166</v>
      </c>
      <c r="E331" t="s">
        <v>1767</v>
      </c>
      <c r="F331" t="s">
        <v>1908</v>
      </c>
      <c r="G331" t="s">
        <v>2430</v>
      </c>
      <c r="H331" t="s">
        <v>2993</v>
      </c>
      <c r="I331" t="s">
        <v>3180</v>
      </c>
      <c r="J331" s="2">
        <v>0</v>
      </c>
      <c r="K331" s="2">
        <v>3779242</v>
      </c>
      <c r="L331" t="s">
        <v>3368</v>
      </c>
      <c r="M331" t="s">
        <v>3686</v>
      </c>
    </row>
    <row r="332" spans="1:13">
      <c r="A332" t="s">
        <v>22</v>
      </c>
      <c r="B332" s="1">
        <f>HYPERLINK("https://cordis.europa.eu/project/id/778120", "778120")</f>
        <v>0</v>
      </c>
      <c r="C332" t="s">
        <v>354</v>
      </c>
      <c r="D332" t="s">
        <v>1167</v>
      </c>
      <c r="E332" t="s">
        <v>1768</v>
      </c>
      <c r="F332" t="s">
        <v>2207</v>
      </c>
      <c r="G332" t="s">
        <v>2412</v>
      </c>
      <c r="H332" t="s">
        <v>3003</v>
      </c>
      <c r="I332" t="s">
        <v>3173</v>
      </c>
      <c r="J332" s="2">
        <v>0</v>
      </c>
      <c r="K332" s="2">
        <v>886500</v>
      </c>
      <c r="L332" t="s">
        <v>3368</v>
      </c>
      <c r="M332" t="s">
        <v>3687</v>
      </c>
    </row>
    <row r="333" spans="1:13">
      <c r="A333" t="s">
        <v>22</v>
      </c>
      <c r="B333" s="1">
        <f>HYPERLINK("https://cordis.europa.eu/project/id/875156", "875156")</f>
        <v>0</v>
      </c>
      <c r="C333" t="s">
        <v>355</v>
      </c>
      <c r="D333" t="s">
        <v>1168</v>
      </c>
      <c r="E333" t="s">
        <v>1769</v>
      </c>
      <c r="F333" t="s">
        <v>2180</v>
      </c>
      <c r="G333" t="s">
        <v>2405</v>
      </c>
      <c r="H333" t="s">
        <v>2994</v>
      </c>
      <c r="I333" t="s">
        <v>3205</v>
      </c>
      <c r="J333" s="2">
        <v>67725</v>
      </c>
      <c r="K333" s="2">
        <v>9975477.5</v>
      </c>
      <c r="L333" t="s">
        <v>3378</v>
      </c>
      <c r="M333" t="s">
        <v>3688</v>
      </c>
    </row>
    <row r="334" spans="1:13">
      <c r="A334" t="s">
        <v>22</v>
      </c>
      <c r="B334" s="1">
        <f>HYPERLINK("https://cordis.europa.eu/project/id/734796", "734796")</f>
        <v>0</v>
      </c>
      <c r="C334" t="s">
        <v>356</v>
      </c>
      <c r="D334" t="s">
        <v>1169</v>
      </c>
      <c r="E334" t="s">
        <v>1770</v>
      </c>
      <c r="F334" t="s">
        <v>2183</v>
      </c>
      <c r="G334" t="s">
        <v>2459</v>
      </c>
      <c r="H334" t="s">
        <v>3003</v>
      </c>
      <c r="I334" t="s">
        <v>3177</v>
      </c>
      <c r="J334" s="2">
        <v>0</v>
      </c>
      <c r="K334" s="2">
        <v>279000</v>
      </c>
      <c r="L334" t="s">
        <v>3368</v>
      </c>
      <c r="M334" t="s">
        <v>3689</v>
      </c>
    </row>
    <row r="335" spans="1:13">
      <c r="A335" t="s">
        <v>22</v>
      </c>
      <c r="B335" s="1">
        <f>HYPERLINK("https://cordis.europa.eu/project/id/691246", "691246")</f>
        <v>0</v>
      </c>
      <c r="C335" t="s">
        <v>357</v>
      </c>
      <c r="D335" t="s">
        <v>1170</v>
      </c>
      <c r="E335" t="s">
        <v>1771</v>
      </c>
      <c r="F335" t="s">
        <v>2188</v>
      </c>
      <c r="G335" t="s">
        <v>2436</v>
      </c>
      <c r="H335" t="s">
        <v>3003</v>
      </c>
      <c r="I335" t="s">
        <v>3176</v>
      </c>
      <c r="J335" s="2">
        <v>0</v>
      </c>
      <c r="K335" s="2">
        <v>288000</v>
      </c>
      <c r="L335" t="s">
        <v>3371</v>
      </c>
      <c r="M335" t="s">
        <v>3690</v>
      </c>
    </row>
    <row r="336" spans="1:13">
      <c r="A336" t="s">
        <v>22</v>
      </c>
      <c r="B336" s="1">
        <f>HYPERLINK("https://cordis.europa.eu/project/id/101002086", "101002086")</f>
        <v>0</v>
      </c>
      <c r="C336" t="s">
        <v>358</v>
      </c>
      <c r="D336" t="s">
        <v>1171</v>
      </c>
      <c r="E336" t="s">
        <v>1772</v>
      </c>
      <c r="F336" t="s">
        <v>2187</v>
      </c>
      <c r="G336" t="s">
        <v>2398</v>
      </c>
      <c r="H336" t="s">
        <v>3001</v>
      </c>
      <c r="I336" t="s">
        <v>3206</v>
      </c>
      <c r="J336" s="2">
        <v>118798.75</v>
      </c>
      <c r="K336" s="2">
        <v>1999985</v>
      </c>
      <c r="L336" t="s">
        <v>3368</v>
      </c>
      <c r="M336" t="s">
        <v>3691</v>
      </c>
    </row>
    <row r="337" spans="1:13">
      <c r="A337" t="s">
        <v>22</v>
      </c>
      <c r="B337" s="1">
        <f>HYPERLINK("https://cordis.europa.eu/project/id/823748", "823748")</f>
        <v>0</v>
      </c>
      <c r="C337" t="s">
        <v>359</v>
      </c>
      <c r="D337" t="s">
        <v>1172</v>
      </c>
      <c r="E337" t="s">
        <v>1773</v>
      </c>
      <c r="F337" t="s">
        <v>2189</v>
      </c>
      <c r="G337" t="s">
        <v>2456</v>
      </c>
      <c r="H337" t="s">
        <v>3003</v>
      </c>
      <c r="I337" t="s">
        <v>3174</v>
      </c>
      <c r="J337" s="2">
        <v>0</v>
      </c>
      <c r="K337" s="2">
        <v>749800</v>
      </c>
      <c r="L337" t="s">
        <v>3368</v>
      </c>
      <c r="M337" t="s">
        <v>3692</v>
      </c>
    </row>
    <row r="338" spans="1:13">
      <c r="A338" t="s">
        <v>22</v>
      </c>
      <c r="B338" s="1">
        <f>HYPERLINK("https://cordis.europa.eu/project/id/690898", "690898")</f>
        <v>0</v>
      </c>
      <c r="C338" t="s">
        <v>360</v>
      </c>
      <c r="D338" t="s">
        <v>1173</v>
      </c>
      <c r="E338" t="s">
        <v>1774</v>
      </c>
      <c r="F338" t="s">
        <v>2188</v>
      </c>
      <c r="G338" t="s">
        <v>2436</v>
      </c>
      <c r="H338" t="s">
        <v>3003</v>
      </c>
      <c r="I338" t="s">
        <v>3176</v>
      </c>
      <c r="J338" s="2">
        <v>0</v>
      </c>
      <c r="K338" s="2">
        <v>1228500</v>
      </c>
      <c r="L338" t="s">
        <v>3368</v>
      </c>
      <c r="M338" t="s">
        <v>3693</v>
      </c>
    </row>
    <row r="339" spans="1:13">
      <c r="A339" t="s">
        <v>22</v>
      </c>
      <c r="B339" s="1">
        <f>HYPERLINK("https://cordis.europa.eu/project/id/101023337", "101023337")</f>
        <v>0</v>
      </c>
      <c r="C339" t="s">
        <v>361</v>
      </c>
      <c r="D339" t="s">
        <v>1174</v>
      </c>
      <c r="E339" t="s">
        <v>1775</v>
      </c>
      <c r="F339" t="s">
        <v>2245</v>
      </c>
      <c r="G339" t="s">
        <v>2460</v>
      </c>
      <c r="H339" t="s">
        <v>2997</v>
      </c>
      <c r="I339" t="s">
        <v>3166</v>
      </c>
      <c r="J339" s="2">
        <v>0</v>
      </c>
      <c r="K339" s="2">
        <v>262385.28</v>
      </c>
      <c r="L339" t="s">
        <v>3368</v>
      </c>
      <c r="M339" t="s">
        <v>3389</v>
      </c>
    </row>
    <row r="340" spans="1:13">
      <c r="A340" t="s">
        <v>22</v>
      </c>
      <c r="B340" s="1">
        <f>HYPERLINK("https://cordis.europa.eu/project/id/692739", "692739")</f>
        <v>0</v>
      </c>
      <c r="C340" t="s">
        <v>362</v>
      </c>
      <c r="D340" t="s">
        <v>1175</v>
      </c>
      <c r="E340" t="s">
        <v>1776</v>
      </c>
      <c r="F340" t="s">
        <v>2223</v>
      </c>
      <c r="G340" t="s">
        <v>2399</v>
      </c>
      <c r="H340" t="s">
        <v>2995</v>
      </c>
      <c r="I340" t="s">
        <v>3207</v>
      </c>
      <c r="J340" s="2">
        <v>50277.5</v>
      </c>
      <c r="K340" s="2">
        <v>1391134</v>
      </c>
      <c r="L340" t="s">
        <v>3369</v>
      </c>
      <c r="M340" t="s">
        <v>3447</v>
      </c>
    </row>
    <row r="341" spans="1:13">
      <c r="A341" t="s">
        <v>22</v>
      </c>
      <c r="B341" s="1">
        <f>HYPERLINK("https://cordis.europa.eu/project/id/804851", "804851")</f>
        <v>0</v>
      </c>
      <c r="C341" t="s">
        <v>363</v>
      </c>
      <c r="D341" t="s">
        <v>1176</v>
      </c>
      <c r="E341" t="s">
        <v>1777</v>
      </c>
      <c r="F341" t="s">
        <v>2180</v>
      </c>
      <c r="G341" t="s">
        <v>2403</v>
      </c>
      <c r="H341" t="s">
        <v>3006</v>
      </c>
      <c r="I341" t="s">
        <v>3208</v>
      </c>
      <c r="J341" s="2">
        <v>247334</v>
      </c>
      <c r="K341" s="2">
        <v>1498901</v>
      </c>
      <c r="L341" t="s">
        <v>3369</v>
      </c>
      <c r="M341" t="s">
        <v>3694</v>
      </c>
    </row>
    <row r="342" spans="1:13">
      <c r="A342" t="s">
        <v>22</v>
      </c>
      <c r="B342" s="1">
        <f>HYPERLINK("https://cordis.europa.eu/project/id/101004635", "101004635")</f>
        <v>0</v>
      </c>
      <c r="C342" t="s">
        <v>364</v>
      </c>
      <c r="D342" t="s">
        <v>1177</v>
      </c>
      <c r="E342" t="s">
        <v>1723</v>
      </c>
      <c r="F342" t="s">
        <v>2182</v>
      </c>
      <c r="G342" t="s">
        <v>2437</v>
      </c>
      <c r="H342" t="s">
        <v>2985</v>
      </c>
      <c r="I342" t="s">
        <v>3209</v>
      </c>
      <c r="J342" s="2">
        <v>0</v>
      </c>
      <c r="K342" s="2">
        <v>1999536.25</v>
      </c>
      <c r="L342" t="s">
        <v>3368</v>
      </c>
      <c r="M342" t="s">
        <v>3695</v>
      </c>
    </row>
    <row r="343" spans="1:13">
      <c r="A343" t="s">
        <v>22</v>
      </c>
      <c r="B343" s="1">
        <f>HYPERLINK("https://cordis.europa.eu/project/id/785799", "785799")</f>
        <v>0</v>
      </c>
      <c r="C343" t="s">
        <v>365</v>
      </c>
      <c r="D343" t="s">
        <v>1178</v>
      </c>
      <c r="E343" t="s">
        <v>1778</v>
      </c>
      <c r="F343" t="s">
        <v>1664</v>
      </c>
      <c r="G343" t="s">
        <v>2461</v>
      </c>
      <c r="H343" t="s">
        <v>2998</v>
      </c>
      <c r="I343" t="s">
        <v>3160</v>
      </c>
      <c r="J343" s="2">
        <v>0</v>
      </c>
      <c r="K343" s="2">
        <v>245719.8</v>
      </c>
      <c r="L343" t="s">
        <v>3368</v>
      </c>
      <c r="M343" t="s">
        <v>3696</v>
      </c>
    </row>
    <row r="344" spans="1:13">
      <c r="A344" t="s">
        <v>22</v>
      </c>
      <c r="B344" s="1">
        <f>HYPERLINK("https://cordis.europa.eu/project/id/778158", "778158")</f>
        <v>0</v>
      </c>
      <c r="C344" t="s">
        <v>366</v>
      </c>
      <c r="D344" t="s">
        <v>1179</v>
      </c>
      <c r="E344" t="s">
        <v>1779</v>
      </c>
      <c r="F344" t="s">
        <v>2199</v>
      </c>
      <c r="G344" t="s">
        <v>2451</v>
      </c>
      <c r="H344" t="s">
        <v>3003</v>
      </c>
      <c r="I344" t="s">
        <v>3173</v>
      </c>
      <c r="J344" s="2">
        <v>0</v>
      </c>
      <c r="K344" s="2">
        <v>832500</v>
      </c>
      <c r="L344" t="s">
        <v>3369</v>
      </c>
      <c r="M344" t="s">
        <v>3697</v>
      </c>
    </row>
    <row r="345" spans="1:13">
      <c r="A345" t="s">
        <v>22</v>
      </c>
      <c r="B345" s="1">
        <f>HYPERLINK("https://cordis.europa.eu/project/id/734227", "734227")</f>
        <v>0</v>
      </c>
      <c r="C345" t="s">
        <v>367</v>
      </c>
      <c r="D345" t="s">
        <v>1180</v>
      </c>
      <c r="E345" t="s">
        <v>1780</v>
      </c>
      <c r="F345" t="s">
        <v>2246</v>
      </c>
      <c r="G345" t="s">
        <v>2450</v>
      </c>
      <c r="H345" t="s">
        <v>3003</v>
      </c>
      <c r="I345" t="s">
        <v>3177</v>
      </c>
      <c r="J345" s="2">
        <v>0</v>
      </c>
      <c r="K345" s="2">
        <v>891000</v>
      </c>
      <c r="L345" t="s">
        <v>3368</v>
      </c>
      <c r="M345" t="s">
        <v>3698</v>
      </c>
    </row>
    <row r="346" spans="1:13">
      <c r="A346" t="s">
        <v>22</v>
      </c>
      <c r="B346" s="1">
        <f>HYPERLINK("https://cordis.europa.eu/project/id/795044", "795044")</f>
        <v>0</v>
      </c>
      <c r="C346" t="s">
        <v>368</v>
      </c>
      <c r="D346" t="s">
        <v>1181</v>
      </c>
      <c r="E346" t="s">
        <v>1781</v>
      </c>
      <c r="F346" t="s">
        <v>2247</v>
      </c>
      <c r="G346" t="s">
        <v>2462</v>
      </c>
      <c r="H346" t="s">
        <v>2997</v>
      </c>
      <c r="I346" t="s">
        <v>3160</v>
      </c>
      <c r="J346" s="2">
        <v>0</v>
      </c>
      <c r="K346" s="2">
        <v>243352.8</v>
      </c>
      <c r="L346" t="s">
        <v>3368</v>
      </c>
      <c r="M346" t="s">
        <v>3621</v>
      </c>
    </row>
    <row r="347" spans="1:13">
      <c r="A347" t="s">
        <v>22</v>
      </c>
      <c r="B347" s="1">
        <f>HYPERLINK("https://cordis.europa.eu/project/id/951974", "951974")</f>
        <v>0</v>
      </c>
      <c r="C347" t="s">
        <v>369</v>
      </c>
      <c r="D347" t="s">
        <v>1182</v>
      </c>
      <c r="E347" t="s">
        <v>1782</v>
      </c>
      <c r="F347" t="s">
        <v>2231</v>
      </c>
      <c r="G347" t="s">
        <v>2463</v>
      </c>
      <c r="H347" t="s">
        <v>2993</v>
      </c>
      <c r="I347" t="s">
        <v>3210</v>
      </c>
      <c r="J347" s="2">
        <v>0</v>
      </c>
      <c r="K347" s="2">
        <v>5509447.5</v>
      </c>
      <c r="L347" t="s">
        <v>3368</v>
      </c>
      <c r="M347" t="s">
        <v>3699</v>
      </c>
    </row>
    <row r="348" spans="1:13">
      <c r="A348" t="s">
        <v>22</v>
      </c>
      <c r="B348" s="1">
        <f>HYPERLINK("https://cordis.europa.eu/project/id/101028941", "101028941")</f>
        <v>0</v>
      </c>
      <c r="C348" t="s">
        <v>370</v>
      </c>
      <c r="D348" t="s">
        <v>1183</v>
      </c>
      <c r="E348" t="s">
        <v>1783</v>
      </c>
      <c r="F348" t="s">
        <v>2217</v>
      </c>
      <c r="G348" t="s">
        <v>2464</v>
      </c>
      <c r="H348" t="s">
        <v>2997</v>
      </c>
      <c r="I348" t="s">
        <v>3166</v>
      </c>
      <c r="J348" s="2">
        <v>0</v>
      </c>
      <c r="K348" s="2">
        <v>250497.6</v>
      </c>
      <c r="L348" t="s">
        <v>3368</v>
      </c>
      <c r="M348" t="s">
        <v>3616</v>
      </c>
    </row>
    <row r="349" spans="1:13">
      <c r="A349" t="s">
        <v>22</v>
      </c>
      <c r="B349" s="1">
        <f>HYPERLINK("https://cordis.europa.eu/project/id/696295", "696295")</f>
        <v>0</v>
      </c>
      <c r="C349" t="s">
        <v>371</v>
      </c>
      <c r="D349" t="s">
        <v>1184</v>
      </c>
      <c r="E349" t="s">
        <v>1784</v>
      </c>
      <c r="F349" t="s">
        <v>2185</v>
      </c>
      <c r="G349" t="s">
        <v>2459</v>
      </c>
      <c r="H349" t="s">
        <v>2992</v>
      </c>
      <c r="I349" t="s">
        <v>3148</v>
      </c>
      <c r="J349" s="2">
        <v>0</v>
      </c>
      <c r="K349" s="2">
        <v>4753237.5</v>
      </c>
      <c r="L349" t="s">
        <v>3368</v>
      </c>
      <c r="M349" t="s">
        <v>3700</v>
      </c>
    </row>
    <row r="350" spans="1:13">
      <c r="A350" t="s">
        <v>22</v>
      </c>
      <c r="B350" s="1">
        <f>HYPERLINK("https://cordis.europa.eu/project/id/765141", "765141")</f>
        <v>0</v>
      </c>
      <c r="C350" t="s">
        <v>372</v>
      </c>
      <c r="D350" t="s">
        <v>1185</v>
      </c>
      <c r="E350" t="s">
        <v>1785</v>
      </c>
      <c r="F350" t="s">
        <v>2199</v>
      </c>
      <c r="G350" t="s">
        <v>2465</v>
      </c>
      <c r="H350" t="s">
        <v>3002</v>
      </c>
      <c r="I350" t="s">
        <v>3163</v>
      </c>
      <c r="J350" s="2">
        <v>0</v>
      </c>
      <c r="K350" s="2">
        <v>3311746.5</v>
      </c>
      <c r="L350" t="s">
        <v>3368</v>
      </c>
      <c r="M350" t="s">
        <v>3701</v>
      </c>
    </row>
    <row r="351" spans="1:13">
      <c r="A351" t="s">
        <v>22</v>
      </c>
      <c r="B351" s="1">
        <f>HYPERLINK("https://cordis.europa.eu/project/id/829005", "829005")</f>
        <v>0</v>
      </c>
      <c r="C351" t="s">
        <v>373</v>
      </c>
      <c r="D351" t="s">
        <v>1186</v>
      </c>
      <c r="E351" t="s">
        <v>1786</v>
      </c>
      <c r="F351" t="s">
        <v>2189</v>
      </c>
      <c r="G351" t="s">
        <v>2430</v>
      </c>
      <c r="H351" t="s">
        <v>2993</v>
      </c>
      <c r="I351" t="s">
        <v>3211</v>
      </c>
      <c r="J351" s="2">
        <v>0</v>
      </c>
      <c r="K351" s="2">
        <v>2688375</v>
      </c>
      <c r="L351" t="s">
        <v>3368</v>
      </c>
      <c r="M351" t="s">
        <v>3702</v>
      </c>
    </row>
    <row r="352" spans="1:13">
      <c r="A352" t="s">
        <v>22</v>
      </c>
      <c r="B352" s="1">
        <f>HYPERLINK("https://cordis.europa.eu/project/id/731626", "731626")</f>
        <v>0</v>
      </c>
      <c r="C352" t="s">
        <v>374</v>
      </c>
      <c r="D352" t="s">
        <v>1187</v>
      </c>
      <c r="E352" t="s">
        <v>1787</v>
      </c>
      <c r="F352" t="s">
        <v>2223</v>
      </c>
      <c r="G352" t="s">
        <v>2068</v>
      </c>
      <c r="H352" t="s">
        <v>2993</v>
      </c>
      <c r="I352" t="s">
        <v>3212</v>
      </c>
      <c r="J352" s="2">
        <v>0</v>
      </c>
      <c r="K352" s="2">
        <v>6685111</v>
      </c>
      <c r="L352" t="s">
        <v>3368</v>
      </c>
      <c r="M352" t="s">
        <v>3703</v>
      </c>
    </row>
    <row r="353" spans="1:13">
      <c r="A353" t="s">
        <v>22</v>
      </c>
      <c r="B353" s="1">
        <f>HYPERLINK("https://cordis.europa.eu/project/id/958174", "958174")</f>
        <v>0</v>
      </c>
      <c r="C353" t="s">
        <v>375</v>
      </c>
      <c r="D353" t="s">
        <v>1189</v>
      </c>
      <c r="E353" t="s">
        <v>1789</v>
      </c>
      <c r="F353" t="s">
        <v>2182</v>
      </c>
      <c r="G353" t="s">
        <v>2393</v>
      </c>
      <c r="H353" t="s">
        <v>2992</v>
      </c>
      <c r="I353" t="s">
        <v>3214</v>
      </c>
      <c r="J353" s="2">
        <v>59812.5</v>
      </c>
      <c r="K353" s="2">
        <v>15000000</v>
      </c>
      <c r="L353" t="s">
        <v>3368</v>
      </c>
      <c r="M353" t="s">
        <v>3704</v>
      </c>
    </row>
    <row r="354" spans="1:13">
      <c r="A354" t="s">
        <v>22</v>
      </c>
      <c r="B354" s="1">
        <f>HYPERLINK("https://cordis.europa.eu/project/id/721019", "721019")</f>
        <v>0</v>
      </c>
      <c r="C354" t="s">
        <v>376</v>
      </c>
      <c r="D354" t="s">
        <v>1190</v>
      </c>
      <c r="E354" t="s">
        <v>1790</v>
      </c>
      <c r="F354" t="s">
        <v>2223</v>
      </c>
      <c r="G354" t="s">
        <v>1916</v>
      </c>
      <c r="H354" t="s">
        <v>2994</v>
      </c>
      <c r="I354" t="s">
        <v>3215</v>
      </c>
      <c r="J354" s="2">
        <v>319601.25</v>
      </c>
      <c r="K354" s="2">
        <v>7248235.42</v>
      </c>
      <c r="L354" t="s">
        <v>3368</v>
      </c>
      <c r="M354" t="s">
        <v>3705</v>
      </c>
    </row>
    <row r="355" spans="1:13">
      <c r="A355" t="s">
        <v>22</v>
      </c>
      <c r="B355" s="1">
        <f>HYPERLINK("https://cordis.europa.eu/project/id/843320", "843320")</f>
        <v>0</v>
      </c>
      <c r="C355" t="s">
        <v>377</v>
      </c>
      <c r="D355" t="s">
        <v>1191</v>
      </c>
      <c r="E355" t="s">
        <v>1791</v>
      </c>
      <c r="F355" t="s">
        <v>2248</v>
      </c>
      <c r="G355" t="s">
        <v>2417</v>
      </c>
      <c r="H355" t="s">
        <v>2997</v>
      </c>
      <c r="I355" t="s">
        <v>3158</v>
      </c>
      <c r="J355" s="2">
        <v>0</v>
      </c>
      <c r="K355" s="2">
        <v>242709.12</v>
      </c>
      <c r="L355" t="s">
        <v>3368</v>
      </c>
      <c r="M355" t="s">
        <v>3604</v>
      </c>
    </row>
    <row r="356" spans="1:13">
      <c r="A356" t="s">
        <v>22</v>
      </c>
      <c r="B356" s="1">
        <f>HYPERLINK("https://cordis.europa.eu/project/id/734331", "734331")</f>
        <v>0</v>
      </c>
      <c r="C356" t="s">
        <v>378</v>
      </c>
      <c r="D356" t="s">
        <v>1192</v>
      </c>
      <c r="E356" t="s">
        <v>1790</v>
      </c>
      <c r="F356" t="s">
        <v>2223</v>
      </c>
      <c r="G356" t="s">
        <v>2068</v>
      </c>
      <c r="H356" t="s">
        <v>3003</v>
      </c>
      <c r="I356" t="s">
        <v>3177</v>
      </c>
      <c r="J356" s="2">
        <v>0</v>
      </c>
      <c r="K356" s="2">
        <v>832500</v>
      </c>
      <c r="L356" t="s">
        <v>3368</v>
      </c>
      <c r="M356" t="s">
        <v>3706</v>
      </c>
    </row>
    <row r="357" spans="1:13">
      <c r="A357" t="s">
        <v>22</v>
      </c>
      <c r="B357" s="1">
        <f>HYPERLINK("https://cordis.europa.eu/project/id/101007976", "101007976")</f>
        <v>0</v>
      </c>
      <c r="C357" t="s">
        <v>379</v>
      </c>
      <c r="D357" t="s">
        <v>1193</v>
      </c>
      <c r="E357" t="s">
        <v>1792</v>
      </c>
      <c r="F357" t="s">
        <v>2187</v>
      </c>
      <c r="G357" t="s">
        <v>2398</v>
      </c>
      <c r="H357" t="s">
        <v>3003</v>
      </c>
      <c r="I357" t="s">
        <v>3216</v>
      </c>
      <c r="J357" s="2">
        <v>0</v>
      </c>
      <c r="K357" s="2">
        <v>639400</v>
      </c>
      <c r="L357" t="s">
        <v>3368</v>
      </c>
      <c r="M357" t="s">
        <v>3707</v>
      </c>
    </row>
    <row r="358" spans="1:13">
      <c r="A358" t="s">
        <v>22</v>
      </c>
      <c r="B358" s="1">
        <f>HYPERLINK("https://cordis.europa.eu/project/id/690857", "690857")</f>
        <v>0</v>
      </c>
      <c r="C358" t="s">
        <v>380</v>
      </c>
      <c r="D358" t="s">
        <v>1194</v>
      </c>
      <c r="E358" t="s">
        <v>1793</v>
      </c>
      <c r="F358" t="s">
        <v>2188</v>
      </c>
      <c r="G358" t="s">
        <v>2436</v>
      </c>
      <c r="H358" t="s">
        <v>3003</v>
      </c>
      <c r="I358" t="s">
        <v>3176</v>
      </c>
      <c r="J358" s="2">
        <v>0</v>
      </c>
      <c r="K358" s="2">
        <v>126000</v>
      </c>
      <c r="L358" t="s">
        <v>3369</v>
      </c>
      <c r="M358" t="s">
        <v>3708</v>
      </c>
    </row>
    <row r="359" spans="1:13">
      <c r="A359" t="s">
        <v>22</v>
      </c>
      <c r="B359" s="1">
        <f>HYPERLINK("https://cordis.europa.eu/project/id/846860", "846860")</f>
        <v>0</v>
      </c>
      <c r="C359" t="s">
        <v>381</v>
      </c>
      <c r="D359" t="s">
        <v>1195</v>
      </c>
      <c r="E359" t="s">
        <v>1794</v>
      </c>
      <c r="F359" t="s">
        <v>2180</v>
      </c>
      <c r="G359" t="s">
        <v>2000</v>
      </c>
      <c r="H359" t="s">
        <v>2997</v>
      </c>
      <c r="I359" t="s">
        <v>3158</v>
      </c>
      <c r="J359" s="2">
        <v>0</v>
      </c>
      <c r="K359" s="2">
        <v>273687.36</v>
      </c>
      <c r="L359" t="s">
        <v>3368</v>
      </c>
      <c r="M359" t="s">
        <v>3709</v>
      </c>
    </row>
    <row r="360" spans="1:13">
      <c r="A360" t="s">
        <v>22</v>
      </c>
      <c r="B360" s="1">
        <f>HYPERLINK("https://cordis.europa.eu/project/id/843094", "843094")</f>
        <v>0</v>
      </c>
      <c r="C360" t="s">
        <v>382</v>
      </c>
      <c r="D360" t="s">
        <v>1196</v>
      </c>
      <c r="E360" t="s">
        <v>1687</v>
      </c>
      <c r="F360" t="s">
        <v>2232</v>
      </c>
      <c r="G360" t="s">
        <v>2466</v>
      </c>
      <c r="H360" t="s">
        <v>2997</v>
      </c>
      <c r="I360" t="s">
        <v>3158</v>
      </c>
      <c r="J360" s="2">
        <v>0</v>
      </c>
      <c r="K360" s="2">
        <v>232497.6</v>
      </c>
      <c r="L360" t="s">
        <v>3368</v>
      </c>
      <c r="M360" t="s">
        <v>3710</v>
      </c>
    </row>
    <row r="361" spans="1:13">
      <c r="A361" t="s">
        <v>22</v>
      </c>
      <c r="B361" s="1">
        <f>HYPERLINK("https://cordis.europa.eu/project/id/681228", "681228")</f>
        <v>0</v>
      </c>
      <c r="C361" t="s">
        <v>383</v>
      </c>
      <c r="D361" t="s">
        <v>1197</v>
      </c>
      <c r="E361" t="s">
        <v>1663</v>
      </c>
      <c r="F361" t="s">
        <v>2210</v>
      </c>
      <c r="G361" t="s">
        <v>2442</v>
      </c>
      <c r="H361" t="s">
        <v>3003</v>
      </c>
      <c r="I361" t="s">
        <v>3176</v>
      </c>
      <c r="J361" s="2">
        <v>0</v>
      </c>
      <c r="K361" s="2">
        <v>2115000</v>
      </c>
      <c r="L361" t="s">
        <v>3371</v>
      </c>
      <c r="M361" t="s">
        <v>3711</v>
      </c>
    </row>
    <row r="362" spans="1:13">
      <c r="A362" t="s">
        <v>22</v>
      </c>
      <c r="B362" s="1">
        <f>HYPERLINK("https://cordis.europa.eu/project/id/101022829", "101022829")</f>
        <v>0</v>
      </c>
      <c r="C362" t="s">
        <v>384</v>
      </c>
      <c r="D362" t="s">
        <v>1198</v>
      </c>
      <c r="E362" t="s">
        <v>1699</v>
      </c>
      <c r="F362" t="s">
        <v>2243</v>
      </c>
      <c r="G362" t="s">
        <v>2429</v>
      </c>
      <c r="H362" t="s">
        <v>2993</v>
      </c>
      <c r="I362" t="s">
        <v>3167</v>
      </c>
      <c r="J362" s="2">
        <v>0</v>
      </c>
      <c r="K362" s="2">
        <v>3534033.75</v>
      </c>
      <c r="L362" t="s">
        <v>3368</v>
      </c>
      <c r="M362" t="s">
        <v>3712</v>
      </c>
    </row>
    <row r="363" spans="1:13">
      <c r="A363" t="s">
        <v>22</v>
      </c>
      <c r="B363" s="1">
        <f>HYPERLINK("https://cordis.europa.eu/project/id/804150", "804150")</f>
        <v>0</v>
      </c>
      <c r="C363" t="s">
        <v>385</v>
      </c>
      <c r="D363" t="s">
        <v>1199</v>
      </c>
      <c r="E363" t="s">
        <v>1795</v>
      </c>
      <c r="F363" t="s">
        <v>2189</v>
      </c>
      <c r="G363" t="s">
        <v>2467</v>
      </c>
      <c r="H363" t="s">
        <v>3006</v>
      </c>
      <c r="I363" t="s">
        <v>3208</v>
      </c>
      <c r="J363" s="2">
        <v>405405</v>
      </c>
      <c r="K363" s="2">
        <v>1489426</v>
      </c>
      <c r="L363" t="s">
        <v>3369</v>
      </c>
      <c r="M363" t="s">
        <v>3713</v>
      </c>
    </row>
    <row r="364" spans="1:13">
      <c r="A364" t="s">
        <v>22</v>
      </c>
      <c r="B364" s="1">
        <f>HYPERLINK("https://cordis.europa.eu/project/id/771271", "771271")</f>
        <v>0</v>
      </c>
      <c r="C364" t="s">
        <v>386</v>
      </c>
      <c r="D364" t="s">
        <v>1200</v>
      </c>
      <c r="E364" t="s">
        <v>1796</v>
      </c>
      <c r="F364" t="s">
        <v>2239</v>
      </c>
      <c r="G364" t="s">
        <v>2442</v>
      </c>
      <c r="H364" t="s">
        <v>2993</v>
      </c>
      <c r="I364" t="s">
        <v>3184</v>
      </c>
      <c r="J364" s="2">
        <v>0</v>
      </c>
      <c r="K364" s="2">
        <v>4999296.25</v>
      </c>
      <c r="L364" t="s">
        <v>3369</v>
      </c>
      <c r="M364" t="s">
        <v>3714</v>
      </c>
    </row>
    <row r="365" spans="1:13">
      <c r="A365" t="s">
        <v>22</v>
      </c>
      <c r="B365" s="1">
        <f>HYPERLINK("https://cordis.europa.eu/project/id/690952", "690952")</f>
        <v>0</v>
      </c>
      <c r="C365" t="s">
        <v>387</v>
      </c>
      <c r="D365" t="s">
        <v>1201</v>
      </c>
      <c r="E365" t="s">
        <v>1797</v>
      </c>
      <c r="F365" t="s">
        <v>2249</v>
      </c>
      <c r="G365" t="s">
        <v>2468</v>
      </c>
      <c r="H365" t="s">
        <v>3003</v>
      </c>
      <c r="I365" t="s">
        <v>3176</v>
      </c>
      <c r="J365" s="2">
        <v>0</v>
      </c>
      <c r="K365" s="2">
        <v>238500</v>
      </c>
      <c r="L365" t="s">
        <v>3368</v>
      </c>
      <c r="M365" t="s">
        <v>3715</v>
      </c>
    </row>
    <row r="366" spans="1:13">
      <c r="A366" t="s">
        <v>22</v>
      </c>
      <c r="B366" s="1">
        <f>HYPERLINK("https://cordis.europa.eu/project/id/101000349", "101000349")</f>
        <v>0</v>
      </c>
      <c r="C366" t="s">
        <v>388</v>
      </c>
      <c r="D366" t="s">
        <v>1202</v>
      </c>
      <c r="E366" t="s">
        <v>1798</v>
      </c>
      <c r="F366" t="s">
        <v>2208</v>
      </c>
      <c r="G366" t="s">
        <v>2451</v>
      </c>
      <c r="H366" t="s">
        <v>2985</v>
      </c>
      <c r="I366" t="s">
        <v>3217</v>
      </c>
      <c r="J366" s="2">
        <v>0</v>
      </c>
      <c r="K366" s="2">
        <v>2136174</v>
      </c>
      <c r="L366" t="s">
        <v>3368</v>
      </c>
      <c r="M366" t="s">
        <v>3716</v>
      </c>
    </row>
    <row r="367" spans="1:13">
      <c r="A367" t="s">
        <v>22</v>
      </c>
      <c r="B367" s="1">
        <f>HYPERLINK("https://cordis.europa.eu/project/id/892511", "892511")</f>
        <v>0</v>
      </c>
      <c r="C367" t="s">
        <v>389</v>
      </c>
      <c r="D367" t="s">
        <v>1203</v>
      </c>
      <c r="E367" t="s">
        <v>1680</v>
      </c>
      <c r="F367" t="s">
        <v>2212</v>
      </c>
      <c r="G367" t="s">
        <v>2469</v>
      </c>
      <c r="H367" t="s">
        <v>2997</v>
      </c>
      <c r="I367" t="s">
        <v>3162</v>
      </c>
      <c r="J367" s="2">
        <v>0</v>
      </c>
      <c r="K367" s="2">
        <v>258498.24</v>
      </c>
      <c r="L367" t="s">
        <v>3368</v>
      </c>
      <c r="M367" t="s">
        <v>3623</v>
      </c>
    </row>
    <row r="368" spans="1:13">
      <c r="A368" t="s">
        <v>22</v>
      </c>
      <c r="B368" s="1">
        <f>HYPERLINK("https://cordis.europa.eu/project/id/847527", "847527")</f>
        <v>0</v>
      </c>
      <c r="C368" t="s">
        <v>390</v>
      </c>
      <c r="D368" t="s">
        <v>1204</v>
      </c>
      <c r="E368" t="s">
        <v>1762</v>
      </c>
      <c r="F368" t="s">
        <v>2205</v>
      </c>
      <c r="G368" t="s">
        <v>2417</v>
      </c>
      <c r="H368" t="s">
        <v>2993</v>
      </c>
      <c r="I368" t="s">
        <v>3200</v>
      </c>
      <c r="J368" s="2">
        <v>0</v>
      </c>
      <c r="K368" s="2">
        <v>3498000</v>
      </c>
      <c r="L368" t="s">
        <v>3368</v>
      </c>
      <c r="M368" t="s">
        <v>3717</v>
      </c>
    </row>
    <row r="369" spans="1:13">
      <c r="A369" t="s">
        <v>22</v>
      </c>
      <c r="B369" s="1">
        <f>HYPERLINK("https://cordis.europa.eu/project/id/659359", "659359")</f>
        <v>0</v>
      </c>
      <c r="C369" t="s">
        <v>391</v>
      </c>
      <c r="D369" t="s">
        <v>1205</v>
      </c>
      <c r="E369" t="s">
        <v>1799</v>
      </c>
      <c r="F369" t="s">
        <v>2236</v>
      </c>
      <c r="G369" t="s">
        <v>2447</v>
      </c>
      <c r="H369" t="s">
        <v>2998</v>
      </c>
      <c r="I369" t="s">
        <v>3165</v>
      </c>
      <c r="J369" s="2">
        <v>0</v>
      </c>
      <c r="K369" s="2">
        <v>250160.4</v>
      </c>
      <c r="L369" t="s">
        <v>3368</v>
      </c>
      <c r="M369" t="s">
        <v>3389</v>
      </c>
    </row>
    <row r="370" spans="1:13">
      <c r="A370" t="s">
        <v>22</v>
      </c>
      <c r="B370" s="1">
        <f>HYPERLINK("https://cordis.europa.eu/project/id/872690", "872690")</f>
        <v>0</v>
      </c>
      <c r="C370" t="s">
        <v>392</v>
      </c>
      <c r="D370" t="s">
        <v>1206</v>
      </c>
      <c r="E370" t="s">
        <v>1800</v>
      </c>
      <c r="F370" t="s">
        <v>2180</v>
      </c>
      <c r="G370" t="s">
        <v>2470</v>
      </c>
      <c r="H370" t="s">
        <v>3003</v>
      </c>
      <c r="I370" t="s">
        <v>3189</v>
      </c>
      <c r="J370" s="2">
        <v>0</v>
      </c>
      <c r="K370" s="2">
        <v>1771000</v>
      </c>
      <c r="L370" t="s">
        <v>3368</v>
      </c>
      <c r="M370" t="s">
        <v>3718</v>
      </c>
    </row>
    <row r="371" spans="1:13">
      <c r="A371" t="s">
        <v>22</v>
      </c>
      <c r="B371" s="1">
        <f>HYPERLINK("https://cordis.europa.eu/project/id/734928", "734928")</f>
        <v>0</v>
      </c>
      <c r="C371" t="s">
        <v>393</v>
      </c>
      <c r="D371" t="s">
        <v>1207</v>
      </c>
      <c r="E371" t="s">
        <v>1801</v>
      </c>
      <c r="F371" t="s">
        <v>2223</v>
      </c>
      <c r="G371" t="s">
        <v>2436</v>
      </c>
      <c r="H371" t="s">
        <v>3003</v>
      </c>
      <c r="I371" t="s">
        <v>3177</v>
      </c>
      <c r="J371" s="2">
        <v>0</v>
      </c>
      <c r="K371" s="2">
        <v>67500</v>
      </c>
      <c r="L371" t="s">
        <v>3369</v>
      </c>
      <c r="M371" t="s">
        <v>3719</v>
      </c>
    </row>
    <row r="372" spans="1:13">
      <c r="A372" t="s">
        <v>22</v>
      </c>
      <c r="B372" s="1">
        <f>HYPERLINK("https://cordis.europa.eu/project/id/656514", "656514")</f>
        <v>0</v>
      </c>
      <c r="C372" t="s">
        <v>394</v>
      </c>
      <c r="D372" t="s">
        <v>1208</v>
      </c>
      <c r="E372" t="s">
        <v>1802</v>
      </c>
      <c r="F372" t="s">
        <v>2194</v>
      </c>
      <c r="G372" t="s">
        <v>2320</v>
      </c>
      <c r="H372" t="s">
        <v>2997</v>
      </c>
      <c r="I372" t="s">
        <v>3165</v>
      </c>
      <c r="J372" s="2">
        <v>0</v>
      </c>
      <c r="K372" s="2">
        <v>238354.2</v>
      </c>
      <c r="L372" t="s">
        <v>3369</v>
      </c>
      <c r="M372" t="s">
        <v>3720</v>
      </c>
    </row>
    <row r="373" spans="1:13">
      <c r="A373" t="s">
        <v>22</v>
      </c>
      <c r="B373" s="1">
        <f>HYPERLINK("https://cordis.europa.eu/project/id/772787", "772787")</f>
        <v>0</v>
      </c>
      <c r="C373" t="s">
        <v>395</v>
      </c>
      <c r="D373" t="s">
        <v>1209</v>
      </c>
      <c r="E373" t="s">
        <v>1740</v>
      </c>
      <c r="F373" t="s">
        <v>2237</v>
      </c>
      <c r="G373" t="s">
        <v>2411</v>
      </c>
      <c r="H373" t="s">
        <v>2993</v>
      </c>
      <c r="I373" t="s">
        <v>3184</v>
      </c>
      <c r="J373" s="2">
        <v>0</v>
      </c>
      <c r="K373" s="2">
        <v>6998911.25</v>
      </c>
      <c r="L373" t="s">
        <v>3371</v>
      </c>
      <c r="M373" t="s">
        <v>3721</v>
      </c>
    </row>
    <row r="374" spans="1:13">
      <c r="A374" t="s">
        <v>22</v>
      </c>
      <c r="B374" s="1">
        <f>HYPERLINK("https://cordis.europa.eu/project/id/634486", "634486")</f>
        <v>0</v>
      </c>
      <c r="C374" t="s">
        <v>396</v>
      </c>
      <c r="D374" t="s">
        <v>1210</v>
      </c>
      <c r="E374" t="s">
        <v>1803</v>
      </c>
      <c r="F374" t="s">
        <v>1757</v>
      </c>
      <c r="G374" t="s">
        <v>2471</v>
      </c>
      <c r="H374" t="s">
        <v>2994</v>
      </c>
      <c r="I374" t="s">
        <v>3218</v>
      </c>
      <c r="J374" s="2">
        <v>0</v>
      </c>
      <c r="K374" s="2">
        <v>5999557.13</v>
      </c>
      <c r="L374" t="s">
        <v>3368</v>
      </c>
      <c r="M374" t="s">
        <v>3722</v>
      </c>
    </row>
    <row r="375" spans="1:13">
      <c r="A375" t="s">
        <v>22</v>
      </c>
      <c r="B375" s="1">
        <f>HYPERLINK("https://cordis.europa.eu/project/id/785910", "785910")</f>
        <v>0</v>
      </c>
      <c r="C375" t="s">
        <v>397</v>
      </c>
      <c r="D375" t="s">
        <v>1211</v>
      </c>
      <c r="E375" t="s">
        <v>1804</v>
      </c>
      <c r="F375" t="s">
        <v>2227</v>
      </c>
      <c r="G375" t="s">
        <v>2472</v>
      </c>
      <c r="H375" t="s">
        <v>2997</v>
      </c>
      <c r="I375" t="s">
        <v>3160</v>
      </c>
      <c r="J375" s="2">
        <v>0</v>
      </c>
      <c r="K375" s="2">
        <v>251332.2</v>
      </c>
      <c r="L375" t="s">
        <v>3368</v>
      </c>
      <c r="M375" t="s">
        <v>3723</v>
      </c>
    </row>
    <row r="376" spans="1:13">
      <c r="A376" t="s">
        <v>22</v>
      </c>
      <c r="B376" s="1">
        <f>HYPERLINK("https://cordis.europa.eu/project/id/638273", "638273")</f>
        <v>0</v>
      </c>
      <c r="C376" t="s">
        <v>398</v>
      </c>
      <c r="D376" t="s">
        <v>1212</v>
      </c>
      <c r="E376" t="s">
        <v>1805</v>
      </c>
      <c r="F376" t="s">
        <v>2221</v>
      </c>
      <c r="G376" t="s">
        <v>2473</v>
      </c>
      <c r="H376" t="s">
        <v>3006</v>
      </c>
      <c r="I376" t="s">
        <v>3219</v>
      </c>
      <c r="J376" s="2">
        <v>60352.5</v>
      </c>
      <c r="K376" s="2">
        <v>1436292.5</v>
      </c>
      <c r="L376" t="s">
        <v>3368</v>
      </c>
      <c r="M376" t="s">
        <v>3724</v>
      </c>
    </row>
    <row r="377" spans="1:13">
      <c r="A377" t="s">
        <v>22</v>
      </c>
      <c r="B377" s="1">
        <f>HYPERLINK("https://cordis.europa.eu/project/id/825775", "825775")</f>
        <v>0</v>
      </c>
      <c r="C377" t="s">
        <v>399</v>
      </c>
      <c r="D377" t="s">
        <v>1213</v>
      </c>
      <c r="E377" t="s">
        <v>1806</v>
      </c>
      <c r="F377" t="s">
        <v>2189</v>
      </c>
      <c r="G377" t="s">
        <v>2411</v>
      </c>
      <c r="H377" t="s">
        <v>2993</v>
      </c>
      <c r="I377" t="s">
        <v>3152</v>
      </c>
      <c r="J377" s="2">
        <v>0</v>
      </c>
      <c r="K377" s="2">
        <v>5998456.25</v>
      </c>
      <c r="L377" t="s">
        <v>3368</v>
      </c>
      <c r="M377" t="s">
        <v>3725</v>
      </c>
    </row>
    <row r="378" spans="1:13">
      <c r="A378" t="s">
        <v>22</v>
      </c>
      <c r="B378" s="1">
        <f>HYPERLINK("https://cordis.europa.eu/project/id/679849", "679849")</f>
        <v>0</v>
      </c>
      <c r="C378" t="s">
        <v>400</v>
      </c>
      <c r="D378" t="s">
        <v>1214</v>
      </c>
      <c r="E378" t="s">
        <v>1807</v>
      </c>
      <c r="F378" t="s">
        <v>2249</v>
      </c>
      <c r="G378" t="s">
        <v>2410</v>
      </c>
      <c r="H378" t="s">
        <v>2993</v>
      </c>
      <c r="I378" t="s">
        <v>3220</v>
      </c>
      <c r="J378" s="2">
        <v>0</v>
      </c>
      <c r="K378" s="2">
        <v>9994302.75</v>
      </c>
      <c r="L378" t="s">
        <v>3368</v>
      </c>
      <c r="M378" t="s">
        <v>3726</v>
      </c>
    </row>
    <row r="379" spans="1:13">
      <c r="A379" t="s">
        <v>22</v>
      </c>
      <c r="B379" s="1">
        <f>HYPERLINK("https://cordis.europa.eu/project/id/823995", "823995")</f>
        <v>0</v>
      </c>
      <c r="C379" t="s">
        <v>401</v>
      </c>
      <c r="D379" t="s">
        <v>1215</v>
      </c>
      <c r="E379" t="s">
        <v>1808</v>
      </c>
      <c r="F379" t="s">
        <v>2235</v>
      </c>
      <c r="G379" t="s">
        <v>2428</v>
      </c>
      <c r="H379" t="s">
        <v>3003</v>
      </c>
      <c r="I379" t="s">
        <v>3174</v>
      </c>
      <c r="J379" s="2">
        <v>0</v>
      </c>
      <c r="K379" s="2">
        <v>1090200</v>
      </c>
      <c r="L379" t="s">
        <v>3368</v>
      </c>
      <c r="M379" t="s">
        <v>3727</v>
      </c>
    </row>
    <row r="380" spans="1:13">
      <c r="A380" t="s">
        <v>22</v>
      </c>
      <c r="B380" s="1">
        <f>HYPERLINK("https://cordis.europa.eu/project/id/734317", "734317")</f>
        <v>0</v>
      </c>
      <c r="C380" t="s">
        <v>402</v>
      </c>
      <c r="D380" t="s">
        <v>1216</v>
      </c>
      <c r="E380" t="s">
        <v>1714</v>
      </c>
      <c r="F380" t="s">
        <v>2250</v>
      </c>
      <c r="G380" t="s">
        <v>2416</v>
      </c>
      <c r="H380" t="s">
        <v>3003</v>
      </c>
      <c r="I380" t="s">
        <v>3177</v>
      </c>
      <c r="J380" s="2">
        <v>0</v>
      </c>
      <c r="K380" s="2">
        <v>2115000</v>
      </c>
      <c r="L380" t="s">
        <v>3370</v>
      </c>
      <c r="M380" t="s">
        <v>3728</v>
      </c>
    </row>
    <row r="381" spans="1:13">
      <c r="A381" t="s">
        <v>22</v>
      </c>
      <c r="B381" s="1">
        <f>HYPERLINK("https://cordis.europa.eu/project/id/777911", "777911")</f>
        <v>0</v>
      </c>
      <c r="C381" t="s">
        <v>403</v>
      </c>
      <c r="D381" t="s">
        <v>1217</v>
      </c>
      <c r="E381" t="s">
        <v>1809</v>
      </c>
      <c r="F381" t="s">
        <v>2247</v>
      </c>
      <c r="G381" t="s">
        <v>2435</v>
      </c>
      <c r="H381" t="s">
        <v>3003</v>
      </c>
      <c r="I381" t="s">
        <v>3173</v>
      </c>
      <c r="J381" s="2">
        <v>0</v>
      </c>
      <c r="K381" s="2">
        <v>1012500</v>
      </c>
      <c r="L381" t="s">
        <v>3368</v>
      </c>
      <c r="M381" t="s">
        <v>3729</v>
      </c>
    </row>
    <row r="382" spans="1:13">
      <c r="A382" t="s">
        <v>22</v>
      </c>
      <c r="B382" s="1">
        <f>HYPERLINK("https://cordis.europa.eu/project/id/733274", "733274")</f>
        <v>0</v>
      </c>
      <c r="C382" t="s">
        <v>404</v>
      </c>
      <c r="D382" t="s">
        <v>1218</v>
      </c>
      <c r="E382" t="s">
        <v>1714</v>
      </c>
      <c r="F382" t="s">
        <v>2250</v>
      </c>
      <c r="G382" t="s">
        <v>2474</v>
      </c>
      <c r="H382" t="s">
        <v>2985</v>
      </c>
      <c r="I382" t="s">
        <v>3212</v>
      </c>
      <c r="J382" s="2">
        <v>0</v>
      </c>
      <c r="K382" s="2">
        <v>1960996</v>
      </c>
      <c r="L382" t="s">
        <v>3368</v>
      </c>
      <c r="M382" t="s">
        <v>3730</v>
      </c>
    </row>
    <row r="383" spans="1:13">
      <c r="A383" t="s">
        <v>22</v>
      </c>
      <c r="B383" s="1">
        <f>HYPERLINK("https://cordis.europa.eu/project/id/101007666", "101007666")</f>
        <v>0</v>
      </c>
      <c r="C383" t="s">
        <v>405</v>
      </c>
      <c r="D383" t="s">
        <v>1219</v>
      </c>
      <c r="E383" t="s">
        <v>1810</v>
      </c>
      <c r="F383" t="s">
        <v>2193</v>
      </c>
      <c r="G383" t="s">
        <v>2405</v>
      </c>
      <c r="H383" t="s">
        <v>3003</v>
      </c>
      <c r="I383" t="s">
        <v>3216</v>
      </c>
      <c r="J383" s="2">
        <v>0</v>
      </c>
      <c r="K383" s="2">
        <v>1191400</v>
      </c>
      <c r="L383" t="s">
        <v>3368</v>
      </c>
      <c r="M383" t="s">
        <v>3731</v>
      </c>
    </row>
    <row r="384" spans="1:13">
      <c r="A384" t="s">
        <v>22</v>
      </c>
      <c r="B384" s="1">
        <f>HYPERLINK("https://cordis.europa.eu/project/id/823815", "823815")</f>
        <v>0</v>
      </c>
      <c r="C384" t="s">
        <v>406</v>
      </c>
      <c r="D384" t="s">
        <v>1220</v>
      </c>
      <c r="E384" t="s">
        <v>1724</v>
      </c>
      <c r="F384" t="s">
        <v>2251</v>
      </c>
      <c r="G384" t="s">
        <v>2443</v>
      </c>
      <c r="H384" t="s">
        <v>3003</v>
      </c>
      <c r="I384" t="s">
        <v>3174</v>
      </c>
      <c r="J384" s="2">
        <v>0</v>
      </c>
      <c r="K384" s="2">
        <v>772800</v>
      </c>
      <c r="L384" t="s">
        <v>3368</v>
      </c>
      <c r="M384" t="s">
        <v>3732</v>
      </c>
    </row>
    <row r="385" spans="1:13">
      <c r="A385" t="s">
        <v>22</v>
      </c>
      <c r="B385" s="1">
        <f>HYPERLINK("https://cordis.europa.eu/project/id/797805", "797805")</f>
        <v>0</v>
      </c>
      <c r="C385" t="s">
        <v>407</v>
      </c>
      <c r="D385" t="s">
        <v>1221</v>
      </c>
      <c r="E385" t="s">
        <v>1811</v>
      </c>
      <c r="F385" t="s">
        <v>2192</v>
      </c>
      <c r="G385" t="s">
        <v>2421</v>
      </c>
      <c r="H385" t="s">
        <v>2997</v>
      </c>
      <c r="I385" t="s">
        <v>3160</v>
      </c>
      <c r="J385" s="2">
        <v>0</v>
      </c>
      <c r="K385" s="2">
        <v>171349.2</v>
      </c>
      <c r="L385" t="s">
        <v>3368</v>
      </c>
      <c r="M385" t="s">
        <v>3662</v>
      </c>
    </row>
    <row r="386" spans="1:13">
      <c r="A386" t="s">
        <v>22</v>
      </c>
      <c r="B386" s="1">
        <f>HYPERLINK("https://cordis.europa.eu/project/id/874477", "874477")</f>
        <v>0</v>
      </c>
      <c r="C386" t="s">
        <v>408</v>
      </c>
      <c r="D386" t="s">
        <v>1222</v>
      </c>
      <c r="E386" t="s">
        <v>1812</v>
      </c>
      <c r="F386" t="s">
        <v>2232</v>
      </c>
      <c r="G386" t="s">
        <v>2411</v>
      </c>
      <c r="H386" t="s">
        <v>2993</v>
      </c>
      <c r="I386" t="s">
        <v>3179</v>
      </c>
      <c r="J386" s="2">
        <v>0</v>
      </c>
      <c r="K386" s="2">
        <v>16212101.21</v>
      </c>
      <c r="L386" t="s">
        <v>3368</v>
      </c>
      <c r="M386" t="s">
        <v>3733</v>
      </c>
    </row>
    <row r="387" spans="1:13">
      <c r="A387" t="s">
        <v>22</v>
      </c>
      <c r="B387" s="1">
        <f>HYPERLINK("https://cordis.europa.eu/project/id/734153", "734153")</f>
        <v>0</v>
      </c>
      <c r="C387" t="s">
        <v>409</v>
      </c>
      <c r="D387" t="s">
        <v>1223</v>
      </c>
      <c r="E387" t="s">
        <v>1813</v>
      </c>
      <c r="F387" t="s">
        <v>2250</v>
      </c>
      <c r="G387" t="s">
        <v>2436</v>
      </c>
      <c r="H387" t="s">
        <v>3007</v>
      </c>
      <c r="I387" t="s">
        <v>3221</v>
      </c>
      <c r="J387" s="2">
        <v>0</v>
      </c>
      <c r="K387" s="2">
        <v>12721436.68</v>
      </c>
      <c r="L387" t="s">
        <v>3368</v>
      </c>
      <c r="M387" t="s">
        <v>3734</v>
      </c>
    </row>
    <row r="388" spans="1:13">
      <c r="A388" t="s">
        <v>22</v>
      </c>
      <c r="B388" s="1">
        <f>HYPERLINK("https://cordis.europa.eu/project/id/730195", "730195")</f>
        <v>0</v>
      </c>
      <c r="C388" t="s">
        <v>410</v>
      </c>
      <c r="D388" t="s">
        <v>1224</v>
      </c>
      <c r="E388" t="s">
        <v>1814</v>
      </c>
      <c r="F388" t="s">
        <v>2194</v>
      </c>
      <c r="G388" t="s">
        <v>2475</v>
      </c>
      <c r="H388" t="s">
        <v>3007</v>
      </c>
      <c r="I388" t="s">
        <v>3221</v>
      </c>
      <c r="J388" s="2">
        <v>0</v>
      </c>
      <c r="K388" s="2">
        <v>9013121.169999998</v>
      </c>
      <c r="L388" t="s">
        <v>3368</v>
      </c>
      <c r="M388" t="s">
        <v>3735</v>
      </c>
    </row>
    <row r="389" spans="1:13">
      <c r="A389" t="s">
        <v>22</v>
      </c>
      <c r="B389" s="1">
        <f>HYPERLINK("https://cordis.europa.eu/project/id/101016848", "101016848")</f>
        <v>0</v>
      </c>
      <c r="C389" t="s">
        <v>411</v>
      </c>
      <c r="D389" t="s">
        <v>1225</v>
      </c>
      <c r="E389" t="s">
        <v>1815</v>
      </c>
      <c r="F389" t="s">
        <v>2193</v>
      </c>
      <c r="G389" t="s">
        <v>2443</v>
      </c>
      <c r="H389" t="s">
        <v>2993</v>
      </c>
      <c r="I389" t="s">
        <v>3222</v>
      </c>
      <c r="J389" s="2">
        <v>0</v>
      </c>
      <c r="K389" s="2">
        <v>3990792</v>
      </c>
      <c r="L389" t="s">
        <v>3368</v>
      </c>
      <c r="M389" t="s">
        <v>3736</v>
      </c>
    </row>
    <row r="390" spans="1:13">
      <c r="A390" t="s">
        <v>22</v>
      </c>
      <c r="B390" s="1">
        <f>HYPERLINK("https://cordis.europa.eu/project/id/731781", "731781")</f>
        <v>0</v>
      </c>
      <c r="C390" t="s">
        <v>412</v>
      </c>
      <c r="D390" t="s">
        <v>1226</v>
      </c>
      <c r="E390" t="s">
        <v>1790</v>
      </c>
      <c r="F390" t="s">
        <v>2250</v>
      </c>
      <c r="G390" t="s">
        <v>1679</v>
      </c>
      <c r="H390" t="s">
        <v>2993</v>
      </c>
      <c r="I390" t="s">
        <v>3221</v>
      </c>
      <c r="J390" s="2">
        <v>0</v>
      </c>
      <c r="K390" s="2">
        <v>15592782.56</v>
      </c>
      <c r="L390" t="s">
        <v>3368</v>
      </c>
      <c r="M390" t="s">
        <v>3737</v>
      </c>
    </row>
    <row r="391" spans="1:13">
      <c r="A391" t="s">
        <v>22</v>
      </c>
      <c r="B391" s="1">
        <f>HYPERLINK("https://cordis.europa.eu/project/id/824077", "824077")</f>
        <v>0</v>
      </c>
      <c r="C391" t="s">
        <v>413</v>
      </c>
      <c r="D391" t="s">
        <v>1227</v>
      </c>
      <c r="E391" t="s">
        <v>1816</v>
      </c>
      <c r="F391" t="s">
        <v>2233</v>
      </c>
      <c r="G391" t="s">
        <v>2451</v>
      </c>
      <c r="H391" t="s">
        <v>2993</v>
      </c>
      <c r="I391" t="s">
        <v>3223</v>
      </c>
      <c r="J391" s="2">
        <v>642722.5</v>
      </c>
      <c r="K391" s="2">
        <v>9999360.580000002</v>
      </c>
      <c r="L391" t="s">
        <v>3370</v>
      </c>
      <c r="M391" t="s">
        <v>3738</v>
      </c>
    </row>
    <row r="392" spans="1:13">
      <c r="A392" t="s">
        <v>22</v>
      </c>
      <c r="B392" s="1">
        <f>HYPERLINK("https://cordis.europa.eu/project/id/795792", "795792")</f>
        <v>0</v>
      </c>
      <c r="C392" t="s">
        <v>414</v>
      </c>
      <c r="D392" t="s">
        <v>1229</v>
      </c>
      <c r="E392" t="s">
        <v>1818</v>
      </c>
      <c r="F392" t="s">
        <v>2227</v>
      </c>
      <c r="G392" t="s">
        <v>2476</v>
      </c>
      <c r="H392" t="s">
        <v>2997</v>
      </c>
      <c r="I392" t="s">
        <v>3160</v>
      </c>
      <c r="J392" s="2">
        <v>0</v>
      </c>
      <c r="K392" s="2">
        <v>255349.8</v>
      </c>
      <c r="L392" t="s">
        <v>3368</v>
      </c>
      <c r="M392" t="s">
        <v>3739</v>
      </c>
    </row>
    <row r="393" spans="1:13">
      <c r="A393" t="s">
        <v>22</v>
      </c>
      <c r="B393" s="1">
        <f>HYPERLINK("https://cordis.europa.eu/project/id/731016", "731016")</f>
        <v>0</v>
      </c>
      <c r="C393" t="s">
        <v>415</v>
      </c>
      <c r="D393" t="s">
        <v>1230</v>
      </c>
      <c r="E393" t="s">
        <v>1819</v>
      </c>
      <c r="F393" t="s">
        <v>2223</v>
      </c>
      <c r="G393" t="s">
        <v>2436</v>
      </c>
      <c r="H393" t="s">
        <v>2993</v>
      </c>
      <c r="I393" t="s">
        <v>3225</v>
      </c>
      <c r="J393" s="2">
        <v>0</v>
      </c>
      <c r="K393" s="2">
        <v>2999995</v>
      </c>
      <c r="L393" t="s">
        <v>3369</v>
      </c>
      <c r="M393" t="s">
        <v>3740</v>
      </c>
    </row>
    <row r="394" spans="1:13">
      <c r="A394" t="s">
        <v>22</v>
      </c>
      <c r="B394" s="1">
        <f>HYPERLINK("https://cordis.europa.eu/project/id/691070", "691070")</f>
        <v>0</v>
      </c>
      <c r="C394" t="s">
        <v>416</v>
      </c>
      <c r="D394" t="s">
        <v>1231</v>
      </c>
      <c r="E394" t="s">
        <v>1820</v>
      </c>
      <c r="F394" t="s">
        <v>2188</v>
      </c>
      <c r="G394" t="s">
        <v>2436</v>
      </c>
      <c r="H394" t="s">
        <v>3003</v>
      </c>
      <c r="I394" t="s">
        <v>3176</v>
      </c>
      <c r="J394" s="2">
        <v>0</v>
      </c>
      <c r="K394" s="2">
        <v>387000</v>
      </c>
      <c r="L394" t="s">
        <v>3369</v>
      </c>
      <c r="M394" t="s">
        <v>3741</v>
      </c>
    </row>
    <row r="395" spans="1:13">
      <c r="A395" t="s">
        <v>22</v>
      </c>
      <c r="B395" s="1">
        <f>HYPERLINK("https://cordis.europa.eu/project/id/825410", "825410")</f>
        <v>0</v>
      </c>
      <c r="C395" t="s">
        <v>417</v>
      </c>
      <c r="D395" t="s">
        <v>1232</v>
      </c>
      <c r="E395" t="s">
        <v>1664</v>
      </c>
      <c r="F395" t="s">
        <v>2189</v>
      </c>
      <c r="G395" t="s">
        <v>2467</v>
      </c>
      <c r="H395" t="s">
        <v>2993</v>
      </c>
      <c r="I395" t="s">
        <v>3152</v>
      </c>
      <c r="J395" s="2">
        <v>0</v>
      </c>
      <c r="K395" s="2">
        <v>14994551.25</v>
      </c>
      <c r="L395" t="s">
        <v>3368</v>
      </c>
      <c r="M395" t="s">
        <v>3742</v>
      </c>
    </row>
    <row r="396" spans="1:13">
      <c r="A396" t="s">
        <v>22</v>
      </c>
      <c r="B396" s="1">
        <f>HYPERLINK("https://cordis.europa.eu/project/id/690904", "690904")</f>
        <v>0</v>
      </c>
      <c r="C396" t="s">
        <v>418</v>
      </c>
      <c r="D396" t="s">
        <v>1233</v>
      </c>
      <c r="E396" t="s">
        <v>1821</v>
      </c>
      <c r="F396" t="s">
        <v>2188</v>
      </c>
      <c r="G396" t="s">
        <v>2436</v>
      </c>
      <c r="H396" t="s">
        <v>3003</v>
      </c>
      <c r="I396" t="s">
        <v>3176</v>
      </c>
      <c r="J396" s="2">
        <v>0</v>
      </c>
      <c r="K396" s="2">
        <v>288000</v>
      </c>
      <c r="L396" t="s">
        <v>3368</v>
      </c>
      <c r="M396" t="s">
        <v>3743</v>
      </c>
    </row>
    <row r="397" spans="1:13">
      <c r="A397" t="s">
        <v>22</v>
      </c>
      <c r="B397" s="1">
        <f>HYPERLINK("https://cordis.europa.eu/project/id/765911", "765911")</f>
        <v>0</v>
      </c>
      <c r="C397" t="s">
        <v>419</v>
      </c>
      <c r="D397" t="s">
        <v>1234</v>
      </c>
      <c r="E397" t="s">
        <v>1822</v>
      </c>
      <c r="F397" t="s">
        <v>2199</v>
      </c>
      <c r="G397" t="s">
        <v>2068</v>
      </c>
      <c r="H397" t="s">
        <v>3005</v>
      </c>
      <c r="I397" t="s">
        <v>3163</v>
      </c>
      <c r="J397" s="2">
        <v>0</v>
      </c>
      <c r="K397" s="2">
        <v>4076702.28</v>
      </c>
      <c r="L397" t="s">
        <v>3368</v>
      </c>
      <c r="M397" t="s">
        <v>3744</v>
      </c>
    </row>
    <row r="398" spans="1:13">
      <c r="A398" t="s">
        <v>22</v>
      </c>
      <c r="B398" s="1">
        <f>HYPERLINK("https://cordis.europa.eu/project/id/681109", "681109")</f>
        <v>0</v>
      </c>
      <c r="C398" t="s">
        <v>420</v>
      </c>
      <c r="D398" t="s">
        <v>1235</v>
      </c>
      <c r="E398" t="s">
        <v>1823</v>
      </c>
      <c r="F398" t="s">
        <v>2188</v>
      </c>
      <c r="G398" t="s">
        <v>2387</v>
      </c>
      <c r="H398" t="s">
        <v>2993</v>
      </c>
      <c r="I398" t="s">
        <v>3226</v>
      </c>
      <c r="J398" s="2">
        <v>0</v>
      </c>
      <c r="K398" s="2">
        <v>2325545</v>
      </c>
      <c r="L398" t="s">
        <v>3368</v>
      </c>
      <c r="M398" t="s">
        <v>3745</v>
      </c>
    </row>
    <row r="399" spans="1:13">
      <c r="A399" t="s">
        <v>22</v>
      </c>
      <c r="B399" s="1">
        <f>HYPERLINK("https://cordis.europa.eu/project/id/101007922", "101007922")</f>
        <v>0</v>
      </c>
      <c r="C399" t="s">
        <v>421</v>
      </c>
      <c r="D399" t="s">
        <v>1236</v>
      </c>
      <c r="E399" t="s">
        <v>1824</v>
      </c>
      <c r="F399" t="s">
        <v>2216</v>
      </c>
      <c r="G399" t="s">
        <v>2405</v>
      </c>
      <c r="H399" t="s">
        <v>3003</v>
      </c>
      <c r="I399" t="s">
        <v>3216</v>
      </c>
      <c r="J399" s="2">
        <v>0</v>
      </c>
      <c r="K399" s="2">
        <v>446200</v>
      </c>
      <c r="L399" t="s">
        <v>3368</v>
      </c>
      <c r="M399" t="s">
        <v>3746</v>
      </c>
    </row>
    <row r="400" spans="1:13">
      <c r="A400" t="s">
        <v>22</v>
      </c>
      <c r="B400" s="1">
        <f>HYPERLINK("https://cordis.europa.eu/project/id/633784", "633784")</f>
        <v>0</v>
      </c>
      <c r="C400" t="s">
        <v>422</v>
      </c>
      <c r="D400" t="s">
        <v>1237</v>
      </c>
      <c r="E400" t="s">
        <v>1825</v>
      </c>
      <c r="F400" t="s">
        <v>2236</v>
      </c>
      <c r="G400" t="s">
        <v>2458</v>
      </c>
      <c r="H400" t="s">
        <v>2993</v>
      </c>
      <c r="I400" t="s">
        <v>3227</v>
      </c>
      <c r="J400" s="2">
        <v>0</v>
      </c>
      <c r="K400" s="2">
        <v>5983356.25</v>
      </c>
      <c r="L400" t="s">
        <v>3368</v>
      </c>
      <c r="M400" t="s">
        <v>3747</v>
      </c>
    </row>
    <row r="401" spans="1:13">
      <c r="A401" t="s">
        <v>22</v>
      </c>
      <c r="B401" s="1">
        <f>HYPERLINK("https://cordis.europa.eu/project/id/773701", "773701")</f>
        <v>0</v>
      </c>
      <c r="C401" t="s">
        <v>423</v>
      </c>
      <c r="D401" t="s">
        <v>1238</v>
      </c>
      <c r="E401" t="s">
        <v>1826</v>
      </c>
      <c r="F401" t="s">
        <v>2253</v>
      </c>
      <c r="G401" t="s">
        <v>2401</v>
      </c>
      <c r="H401" t="s">
        <v>2993</v>
      </c>
      <c r="I401" t="s">
        <v>3184</v>
      </c>
      <c r="J401" s="2">
        <v>0</v>
      </c>
      <c r="K401" s="2">
        <v>5599999.500000001</v>
      </c>
      <c r="L401" t="s">
        <v>3368</v>
      </c>
      <c r="M401" t="s">
        <v>3748</v>
      </c>
    </row>
    <row r="402" spans="1:13">
      <c r="A402" t="s">
        <v>22</v>
      </c>
      <c r="B402" s="1">
        <f>HYPERLINK("https://cordis.europa.eu/project/id/750969", "750969")</f>
        <v>0</v>
      </c>
      <c r="C402" t="s">
        <v>424</v>
      </c>
      <c r="D402" t="s">
        <v>1239</v>
      </c>
      <c r="E402" t="s">
        <v>1827</v>
      </c>
      <c r="F402" t="s">
        <v>2209</v>
      </c>
      <c r="G402" t="s">
        <v>2477</v>
      </c>
      <c r="H402" t="s">
        <v>2997</v>
      </c>
      <c r="I402" t="s">
        <v>3159</v>
      </c>
      <c r="J402" s="2">
        <v>0</v>
      </c>
      <c r="K402" s="2">
        <v>255349.8</v>
      </c>
      <c r="L402" t="s">
        <v>3368</v>
      </c>
      <c r="M402" t="s">
        <v>3739</v>
      </c>
    </row>
    <row r="403" spans="1:13">
      <c r="A403" t="s">
        <v>22</v>
      </c>
      <c r="B403" s="1">
        <f>HYPERLINK("https://cordis.europa.eu/project/id/101024772", "101024772")</f>
        <v>0</v>
      </c>
      <c r="C403" t="s">
        <v>425</v>
      </c>
      <c r="D403" t="s">
        <v>1240</v>
      </c>
      <c r="E403" t="s">
        <v>1775</v>
      </c>
      <c r="F403" t="s">
        <v>2254</v>
      </c>
      <c r="G403" t="s">
        <v>2478</v>
      </c>
      <c r="H403" t="s">
        <v>2997</v>
      </c>
      <c r="I403" t="s">
        <v>3166</v>
      </c>
      <c r="J403" s="2">
        <v>0</v>
      </c>
      <c r="K403" s="2">
        <v>273687.36</v>
      </c>
      <c r="L403" t="s">
        <v>3368</v>
      </c>
      <c r="M403" t="s">
        <v>3709</v>
      </c>
    </row>
    <row r="404" spans="1:13">
      <c r="A404" t="s">
        <v>22</v>
      </c>
      <c r="B404" s="1">
        <f>HYPERLINK("https://cordis.europa.eu/project/id/667421", "667421")</f>
        <v>0</v>
      </c>
      <c r="C404" t="s">
        <v>426</v>
      </c>
      <c r="D404" t="s">
        <v>1241</v>
      </c>
      <c r="E404" t="s">
        <v>1713</v>
      </c>
      <c r="F404" t="s">
        <v>2255</v>
      </c>
      <c r="G404" t="s">
        <v>2198</v>
      </c>
      <c r="H404" t="s">
        <v>2993</v>
      </c>
      <c r="I404" t="s">
        <v>3228</v>
      </c>
      <c r="J404" s="2">
        <v>944177.5</v>
      </c>
      <c r="K404" s="2">
        <v>5564395</v>
      </c>
      <c r="L404" t="s">
        <v>3368</v>
      </c>
      <c r="M404" t="s">
        <v>3749</v>
      </c>
    </row>
    <row r="405" spans="1:13">
      <c r="A405" t="s">
        <v>22</v>
      </c>
      <c r="B405" s="1">
        <f>HYPERLINK("https://cordis.europa.eu/project/id/101000224", "101000224")</f>
        <v>0</v>
      </c>
      <c r="C405" t="s">
        <v>427</v>
      </c>
      <c r="D405" t="s">
        <v>1242</v>
      </c>
      <c r="E405" t="s">
        <v>1743</v>
      </c>
      <c r="F405" t="s">
        <v>2213</v>
      </c>
      <c r="G405" t="s">
        <v>2403</v>
      </c>
      <c r="H405" t="s">
        <v>2993</v>
      </c>
      <c r="I405" t="s">
        <v>3229</v>
      </c>
      <c r="J405" s="2">
        <v>0</v>
      </c>
      <c r="K405" s="2">
        <v>4978240.52</v>
      </c>
      <c r="L405" t="s">
        <v>3369</v>
      </c>
      <c r="M405" t="s">
        <v>3750</v>
      </c>
    </row>
    <row r="406" spans="1:13">
      <c r="A406" t="s">
        <v>22</v>
      </c>
      <c r="B406" s="1">
        <f>HYPERLINK("https://cordis.europa.eu/project/id/643238", "643238")</f>
        <v>0</v>
      </c>
      <c r="C406" t="s">
        <v>428</v>
      </c>
      <c r="D406" t="s">
        <v>1243</v>
      </c>
      <c r="E406" t="s">
        <v>1828</v>
      </c>
      <c r="F406" t="s">
        <v>2222</v>
      </c>
      <c r="G406" t="s">
        <v>2436</v>
      </c>
      <c r="H406" t="s">
        <v>3002</v>
      </c>
      <c r="I406" t="s">
        <v>3188</v>
      </c>
      <c r="J406" s="2">
        <v>0</v>
      </c>
      <c r="K406" s="2">
        <v>3650589</v>
      </c>
      <c r="L406" t="s">
        <v>3368</v>
      </c>
      <c r="M406" t="s">
        <v>3751</v>
      </c>
    </row>
    <row r="407" spans="1:13">
      <c r="A407" t="s">
        <v>22</v>
      </c>
      <c r="B407" s="1">
        <f>HYPERLINK("https://cordis.europa.eu/project/id/795206", "795206")</f>
        <v>0</v>
      </c>
      <c r="C407" t="s">
        <v>429</v>
      </c>
      <c r="D407" t="s">
        <v>1244</v>
      </c>
      <c r="E407" t="s">
        <v>1829</v>
      </c>
      <c r="F407" t="s">
        <v>2247</v>
      </c>
      <c r="G407" t="s">
        <v>2206</v>
      </c>
      <c r="H407" t="s">
        <v>2998</v>
      </c>
      <c r="I407" t="s">
        <v>3160</v>
      </c>
      <c r="J407" s="2">
        <v>0</v>
      </c>
      <c r="K407" s="2">
        <v>208963.5</v>
      </c>
      <c r="L407" t="s">
        <v>3368</v>
      </c>
      <c r="M407" t="s">
        <v>3752</v>
      </c>
    </row>
    <row r="408" spans="1:13">
      <c r="A408" t="s">
        <v>22</v>
      </c>
      <c r="B408" s="1">
        <f>HYPERLINK("https://cordis.europa.eu/project/id/641822", "641822")</f>
        <v>0</v>
      </c>
      <c r="C408" t="s">
        <v>430</v>
      </c>
      <c r="D408" t="s">
        <v>1245</v>
      </c>
      <c r="E408" t="s">
        <v>1659</v>
      </c>
      <c r="F408" t="s">
        <v>2222</v>
      </c>
      <c r="G408" t="s">
        <v>2387</v>
      </c>
      <c r="H408" t="s">
        <v>3002</v>
      </c>
      <c r="I408" t="s">
        <v>3188</v>
      </c>
      <c r="J408" s="2">
        <v>0</v>
      </c>
      <c r="K408" s="2">
        <v>3300160.68</v>
      </c>
      <c r="L408" t="s">
        <v>3370</v>
      </c>
      <c r="M408" t="s">
        <v>3753</v>
      </c>
    </row>
    <row r="409" spans="1:13">
      <c r="A409" t="s">
        <v>22</v>
      </c>
      <c r="B409" s="1">
        <f>HYPERLINK("https://cordis.europa.eu/project/id/690323", "690323")</f>
        <v>0</v>
      </c>
      <c r="C409" t="s">
        <v>431</v>
      </c>
      <c r="D409" t="s">
        <v>1246</v>
      </c>
      <c r="E409" t="s">
        <v>1830</v>
      </c>
      <c r="F409" t="s">
        <v>2256</v>
      </c>
      <c r="G409" t="s">
        <v>2449</v>
      </c>
      <c r="H409" t="s">
        <v>2994</v>
      </c>
      <c r="I409" t="s">
        <v>3230</v>
      </c>
      <c r="J409" s="2">
        <v>0</v>
      </c>
      <c r="K409" s="2">
        <v>7536300.02</v>
      </c>
      <c r="L409" t="s">
        <v>3368</v>
      </c>
      <c r="M409" t="s">
        <v>3754</v>
      </c>
    </row>
    <row r="410" spans="1:13">
      <c r="A410" t="s">
        <v>22</v>
      </c>
      <c r="B410" s="1">
        <f>HYPERLINK("https://cordis.europa.eu/project/id/773330", "773330")</f>
        <v>0</v>
      </c>
      <c r="C410" t="s">
        <v>432</v>
      </c>
      <c r="D410" t="s">
        <v>1247</v>
      </c>
      <c r="E410" t="s">
        <v>1796</v>
      </c>
      <c r="F410" t="s">
        <v>2257</v>
      </c>
      <c r="G410" t="s">
        <v>2402</v>
      </c>
      <c r="H410" t="s">
        <v>2993</v>
      </c>
      <c r="I410" t="s">
        <v>3184</v>
      </c>
      <c r="J410" s="2">
        <v>0</v>
      </c>
      <c r="K410" s="2">
        <v>5998795</v>
      </c>
      <c r="L410" t="s">
        <v>3368</v>
      </c>
      <c r="M410" t="s">
        <v>3755</v>
      </c>
    </row>
    <row r="411" spans="1:13">
      <c r="A411" t="s">
        <v>22</v>
      </c>
      <c r="B411" s="1">
        <f>HYPERLINK("https://cordis.europa.eu/project/id/101029688", "101029688")</f>
        <v>0</v>
      </c>
      <c r="C411" t="s">
        <v>433</v>
      </c>
      <c r="D411" t="s">
        <v>1248</v>
      </c>
      <c r="E411" t="s">
        <v>1831</v>
      </c>
      <c r="F411" t="s">
        <v>2258</v>
      </c>
      <c r="G411" t="s">
        <v>2292</v>
      </c>
      <c r="H411" t="s">
        <v>2997</v>
      </c>
      <c r="I411" t="s">
        <v>3166</v>
      </c>
      <c r="J411" s="2">
        <v>0</v>
      </c>
      <c r="K411" s="2">
        <v>255768</v>
      </c>
      <c r="L411" t="s">
        <v>3368</v>
      </c>
      <c r="M411" t="s">
        <v>3756</v>
      </c>
    </row>
    <row r="412" spans="1:13">
      <c r="A412" t="s">
        <v>22</v>
      </c>
      <c r="B412" s="1">
        <f>HYPERLINK("https://cordis.europa.eu/project/id/778068", "778068")</f>
        <v>0</v>
      </c>
      <c r="C412" t="s">
        <v>434</v>
      </c>
      <c r="D412" t="s">
        <v>1249</v>
      </c>
      <c r="E412" t="s">
        <v>1832</v>
      </c>
      <c r="F412" t="s">
        <v>2207</v>
      </c>
      <c r="G412" t="s">
        <v>2417</v>
      </c>
      <c r="H412" t="s">
        <v>3003</v>
      </c>
      <c r="I412" t="s">
        <v>3173</v>
      </c>
      <c r="J412" s="2">
        <v>0</v>
      </c>
      <c r="K412" s="2">
        <v>1426500</v>
      </c>
      <c r="L412" t="s">
        <v>3369</v>
      </c>
      <c r="M412" t="s">
        <v>3757</v>
      </c>
    </row>
    <row r="413" spans="1:13">
      <c r="A413" t="s">
        <v>22</v>
      </c>
      <c r="B413" s="1">
        <f>HYPERLINK("https://cordis.europa.eu/project/id/776622", "776622")</f>
        <v>0</v>
      </c>
      <c r="C413" t="s">
        <v>435</v>
      </c>
      <c r="D413" t="s">
        <v>1250</v>
      </c>
      <c r="E413" t="s">
        <v>1740</v>
      </c>
      <c r="F413" t="s">
        <v>2253</v>
      </c>
      <c r="G413" t="s">
        <v>2479</v>
      </c>
      <c r="H413" t="s">
        <v>2993</v>
      </c>
      <c r="I413" t="s">
        <v>3231</v>
      </c>
      <c r="J413" s="2">
        <v>0</v>
      </c>
      <c r="K413" s="2">
        <v>3200066</v>
      </c>
      <c r="L413" t="s">
        <v>3368</v>
      </c>
      <c r="M413" t="s">
        <v>3758</v>
      </c>
    </row>
    <row r="414" spans="1:13">
      <c r="A414" t="s">
        <v>22</v>
      </c>
      <c r="B414" s="1">
        <f>HYPERLINK("https://cordis.europa.eu/project/id/730038", "730038")</f>
        <v>0</v>
      </c>
      <c r="C414" t="s">
        <v>436</v>
      </c>
      <c r="D414" t="s">
        <v>1251</v>
      </c>
      <c r="E414" t="s">
        <v>1833</v>
      </c>
      <c r="F414" t="s">
        <v>2250</v>
      </c>
      <c r="G414" t="s">
        <v>2399</v>
      </c>
      <c r="H414" t="s">
        <v>2993</v>
      </c>
      <c r="I414" t="s">
        <v>3232</v>
      </c>
      <c r="J414" s="2">
        <v>24250</v>
      </c>
      <c r="K414" s="2">
        <v>1544160</v>
      </c>
      <c r="L414" t="s">
        <v>3368</v>
      </c>
      <c r="M414" t="s">
        <v>3759</v>
      </c>
    </row>
    <row r="415" spans="1:13">
      <c r="A415" t="s">
        <v>22</v>
      </c>
      <c r="B415" s="1">
        <f>HYPERLINK("https://cordis.europa.eu/project/id/722401", "722401")</f>
        <v>0</v>
      </c>
      <c r="C415" t="s">
        <v>437</v>
      </c>
      <c r="D415" t="s">
        <v>1252</v>
      </c>
      <c r="E415" t="s">
        <v>1834</v>
      </c>
      <c r="F415" t="s">
        <v>2223</v>
      </c>
      <c r="G415" t="s">
        <v>2410</v>
      </c>
      <c r="H415" t="s">
        <v>3002</v>
      </c>
      <c r="I415" t="s">
        <v>3171</v>
      </c>
      <c r="J415" s="2">
        <v>0</v>
      </c>
      <c r="K415" s="2">
        <v>3842110.32</v>
      </c>
      <c r="L415" t="s">
        <v>3368</v>
      </c>
      <c r="M415" t="s">
        <v>3760</v>
      </c>
    </row>
    <row r="416" spans="1:13">
      <c r="A416" t="s">
        <v>22</v>
      </c>
      <c r="B416" s="1">
        <f>HYPERLINK("https://cordis.europa.eu/project/id/734720", "734720")</f>
        <v>0</v>
      </c>
      <c r="C416" t="s">
        <v>438</v>
      </c>
      <c r="D416" t="s">
        <v>1253</v>
      </c>
      <c r="E416" t="s">
        <v>1835</v>
      </c>
      <c r="F416" t="s">
        <v>2223</v>
      </c>
      <c r="G416" t="s">
        <v>2480</v>
      </c>
      <c r="H416" t="s">
        <v>3003</v>
      </c>
      <c r="I416" t="s">
        <v>3177</v>
      </c>
      <c r="J416" s="2">
        <v>0</v>
      </c>
      <c r="K416" s="2">
        <v>531000</v>
      </c>
      <c r="L416" t="s">
        <v>3368</v>
      </c>
      <c r="M416" t="s">
        <v>3761</v>
      </c>
    </row>
    <row r="417" spans="1:13">
      <c r="A417" t="s">
        <v>22</v>
      </c>
      <c r="B417" s="1">
        <f>HYPERLINK("https://cordis.europa.eu/project/id/823937", "823937")</f>
        <v>0</v>
      </c>
      <c r="C417" t="s">
        <v>439</v>
      </c>
      <c r="D417" t="s">
        <v>1254</v>
      </c>
      <c r="E417" t="s">
        <v>1836</v>
      </c>
      <c r="F417" t="s">
        <v>2259</v>
      </c>
      <c r="G417" t="s">
        <v>2443</v>
      </c>
      <c r="H417" t="s">
        <v>3003</v>
      </c>
      <c r="I417" t="s">
        <v>3174</v>
      </c>
      <c r="J417" s="2">
        <v>0</v>
      </c>
      <c r="K417" s="2">
        <v>243800</v>
      </c>
      <c r="L417" t="s">
        <v>3369</v>
      </c>
      <c r="M417" t="s">
        <v>3762</v>
      </c>
    </row>
    <row r="418" spans="1:13">
      <c r="A418" t="s">
        <v>22</v>
      </c>
      <c r="B418" s="1">
        <f>HYPERLINK("https://cordis.europa.eu/project/id/872539", "872539")</f>
        <v>0</v>
      </c>
      <c r="C418" t="s">
        <v>440</v>
      </c>
      <c r="D418" t="s">
        <v>1255</v>
      </c>
      <c r="E418" t="s">
        <v>1837</v>
      </c>
      <c r="F418" t="s">
        <v>2180</v>
      </c>
      <c r="G418" t="s">
        <v>2403</v>
      </c>
      <c r="H418" t="s">
        <v>3003</v>
      </c>
      <c r="I418" t="s">
        <v>3189</v>
      </c>
      <c r="J418" s="2">
        <v>0</v>
      </c>
      <c r="K418" s="2">
        <v>1140800</v>
      </c>
      <c r="L418" t="s">
        <v>3368</v>
      </c>
      <c r="M418" t="s">
        <v>3763</v>
      </c>
    </row>
    <row r="419" spans="1:13">
      <c r="A419" t="s">
        <v>22</v>
      </c>
      <c r="B419" s="1">
        <f>HYPERLINK("https://cordis.europa.eu/project/id/846181", "846181")</f>
        <v>0</v>
      </c>
      <c r="C419" t="s">
        <v>441</v>
      </c>
      <c r="D419" t="s">
        <v>1256</v>
      </c>
      <c r="E419" t="s">
        <v>1838</v>
      </c>
      <c r="F419" t="s">
        <v>2260</v>
      </c>
      <c r="G419" t="s">
        <v>2481</v>
      </c>
      <c r="H419" t="s">
        <v>2998</v>
      </c>
      <c r="I419" t="s">
        <v>3158</v>
      </c>
      <c r="J419" s="2">
        <v>0</v>
      </c>
      <c r="K419" s="2">
        <v>232497.6</v>
      </c>
      <c r="L419" t="s">
        <v>3368</v>
      </c>
      <c r="M419" t="s">
        <v>3616</v>
      </c>
    </row>
    <row r="420" spans="1:13">
      <c r="A420" t="s">
        <v>22</v>
      </c>
      <c r="B420" s="1">
        <f>HYPERLINK("https://cordis.europa.eu/project/id/645722", "645722")</f>
        <v>0</v>
      </c>
      <c r="C420" t="s">
        <v>442</v>
      </c>
      <c r="D420" t="s">
        <v>1257</v>
      </c>
      <c r="E420" t="s">
        <v>1839</v>
      </c>
      <c r="F420" t="s">
        <v>2226</v>
      </c>
      <c r="G420" t="s">
        <v>2482</v>
      </c>
      <c r="H420" t="s">
        <v>3003</v>
      </c>
      <c r="I420" t="s">
        <v>3175</v>
      </c>
      <c r="J420" s="2">
        <v>0</v>
      </c>
      <c r="K420" s="2">
        <v>301500</v>
      </c>
      <c r="L420" t="s">
        <v>3368</v>
      </c>
      <c r="M420" t="s">
        <v>3764</v>
      </c>
    </row>
    <row r="421" spans="1:13">
      <c r="A421" t="s">
        <v>22</v>
      </c>
      <c r="B421" s="1">
        <f>HYPERLINK("https://cordis.europa.eu/project/id/825575", "825575")</f>
        <v>0</v>
      </c>
      <c r="C421" t="s">
        <v>443</v>
      </c>
      <c r="D421" t="s">
        <v>1258</v>
      </c>
      <c r="E421" t="s">
        <v>1667</v>
      </c>
      <c r="F421" t="s">
        <v>2189</v>
      </c>
      <c r="G421" t="s">
        <v>2428</v>
      </c>
      <c r="H421" t="s">
        <v>3008</v>
      </c>
      <c r="I421" t="s">
        <v>3152</v>
      </c>
      <c r="J421" s="2">
        <v>0</v>
      </c>
      <c r="K421" s="2">
        <v>55073831.17000001</v>
      </c>
      <c r="L421" t="s">
        <v>3368</v>
      </c>
      <c r="M421" t="s">
        <v>3765</v>
      </c>
    </row>
    <row r="422" spans="1:13">
      <c r="A422" t="s">
        <v>22</v>
      </c>
      <c r="B422" s="1">
        <f>HYPERLINK("https://cordis.europa.eu/project/id/823745", "823745")</f>
        <v>0</v>
      </c>
      <c r="C422" t="s">
        <v>444</v>
      </c>
      <c r="D422" t="s">
        <v>1259</v>
      </c>
      <c r="E422" t="s">
        <v>1840</v>
      </c>
      <c r="F422" t="s">
        <v>2189</v>
      </c>
      <c r="G422" t="s">
        <v>2417</v>
      </c>
      <c r="H422" t="s">
        <v>3003</v>
      </c>
      <c r="I422" t="s">
        <v>3174</v>
      </c>
      <c r="J422" s="2">
        <v>0</v>
      </c>
      <c r="K422" s="2">
        <v>846400</v>
      </c>
      <c r="L422" t="s">
        <v>3368</v>
      </c>
      <c r="M422" t="s">
        <v>3766</v>
      </c>
    </row>
    <row r="423" spans="1:13">
      <c r="A423" t="s">
        <v>22</v>
      </c>
      <c r="B423" s="1">
        <f>HYPERLINK("https://cordis.europa.eu/project/id/679266", "679266")</f>
        <v>0</v>
      </c>
      <c r="C423" t="s">
        <v>445</v>
      </c>
      <c r="D423" t="s">
        <v>1260</v>
      </c>
      <c r="E423" t="s">
        <v>1807</v>
      </c>
      <c r="F423" t="s">
        <v>2249</v>
      </c>
      <c r="G423" t="s">
        <v>2351</v>
      </c>
      <c r="H423" t="s">
        <v>2993</v>
      </c>
      <c r="I423" t="s">
        <v>3220</v>
      </c>
      <c r="J423" s="2">
        <v>0</v>
      </c>
      <c r="K423" s="2">
        <v>5277554</v>
      </c>
      <c r="L423" t="s">
        <v>3368</v>
      </c>
      <c r="M423" t="s">
        <v>3767</v>
      </c>
    </row>
    <row r="424" spans="1:13">
      <c r="A424" t="s">
        <v>22</v>
      </c>
      <c r="B424" s="1">
        <f>HYPERLINK("https://cordis.europa.eu/project/id/101037564", "101037564")</f>
        <v>0</v>
      </c>
      <c r="C424" t="s">
        <v>446</v>
      </c>
      <c r="D424" t="s">
        <v>1261</v>
      </c>
      <c r="E424" t="s">
        <v>1841</v>
      </c>
      <c r="F424" t="s">
        <v>2187</v>
      </c>
      <c r="G424" t="s">
        <v>2398</v>
      </c>
      <c r="H424" t="s">
        <v>2994</v>
      </c>
      <c r="I424" t="s">
        <v>3233</v>
      </c>
      <c r="J424" s="2">
        <v>0</v>
      </c>
      <c r="K424" s="2">
        <v>24999997.26</v>
      </c>
      <c r="L424" t="s">
        <v>3368</v>
      </c>
      <c r="M424" t="s">
        <v>3768</v>
      </c>
    </row>
    <row r="425" spans="1:13">
      <c r="A425" t="s">
        <v>22</v>
      </c>
      <c r="B425" s="1">
        <f>HYPERLINK("https://cordis.europa.eu/project/id/649439", "649439")</f>
        <v>0</v>
      </c>
      <c r="C425" t="s">
        <v>447</v>
      </c>
      <c r="D425" t="s">
        <v>1262</v>
      </c>
      <c r="E425" t="s">
        <v>1842</v>
      </c>
      <c r="F425" t="s">
        <v>2179</v>
      </c>
      <c r="G425" t="s">
        <v>2468</v>
      </c>
      <c r="H425" t="s">
        <v>2993</v>
      </c>
      <c r="I425" t="s">
        <v>3234</v>
      </c>
      <c r="J425" s="2">
        <v>0</v>
      </c>
      <c r="K425" s="2">
        <v>2472750</v>
      </c>
      <c r="L425" t="s">
        <v>3368</v>
      </c>
      <c r="M425" t="s">
        <v>3769</v>
      </c>
    </row>
    <row r="426" spans="1:13">
      <c r="A426" t="s">
        <v>22</v>
      </c>
      <c r="B426" s="1">
        <f>HYPERLINK("https://cordis.europa.eu/project/id/869154", "869154")</f>
        <v>0</v>
      </c>
      <c r="C426" t="s">
        <v>448</v>
      </c>
      <c r="D426" t="s">
        <v>1263</v>
      </c>
      <c r="E426" t="s">
        <v>1843</v>
      </c>
      <c r="F426" t="s">
        <v>2208</v>
      </c>
      <c r="G426" t="s">
        <v>2483</v>
      </c>
      <c r="H426" t="s">
        <v>2993</v>
      </c>
      <c r="I426" t="s">
        <v>3198</v>
      </c>
      <c r="J426" s="2">
        <v>0</v>
      </c>
      <c r="K426" s="2">
        <v>6399272.99</v>
      </c>
      <c r="L426" t="s">
        <v>3368</v>
      </c>
      <c r="M426" t="s">
        <v>3770</v>
      </c>
    </row>
    <row r="427" spans="1:13">
      <c r="A427" t="s">
        <v>22</v>
      </c>
      <c r="B427" s="1">
        <f>HYPERLINK("https://cordis.europa.eu/project/id/823862", "823862")</f>
        <v>0</v>
      </c>
      <c r="C427" t="s">
        <v>449</v>
      </c>
      <c r="D427" t="s">
        <v>1264</v>
      </c>
      <c r="E427" t="s">
        <v>1668</v>
      </c>
      <c r="F427" t="s">
        <v>2189</v>
      </c>
      <c r="G427" t="s">
        <v>2433</v>
      </c>
      <c r="H427" t="s">
        <v>3003</v>
      </c>
      <c r="I427" t="s">
        <v>3174</v>
      </c>
      <c r="J427" s="2">
        <v>0</v>
      </c>
      <c r="K427" s="2">
        <v>299000</v>
      </c>
      <c r="L427" t="s">
        <v>3368</v>
      </c>
      <c r="M427" t="s">
        <v>3771</v>
      </c>
    </row>
    <row r="428" spans="1:13">
      <c r="A428" t="s">
        <v>22</v>
      </c>
      <c r="B428" s="1">
        <f>HYPERLINK("https://cordis.europa.eu/project/id/633190", "633190")</f>
        <v>0</v>
      </c>
      <c r="C428" t="s">
        <v>450</v>
      </c>
      <c r="D428" t="s">
        <v>1265</v>
      </c>
      <c r="E428" t="s">
        <v>1844</v>
      </c>
      <c r="F428" t="s">
        <v>2221</v>
      </c>
      <c r="G428" t="s">
        <v>2402</v>
      </c>
      <c r="H428" t="s">
        <v>2993</v>
      </c>
      <c r="I428" t="s">
        <v>3227</v>
      </c>
      <c r="J428" s="2">
        <v>0</v>
      </c>
      <c r="K428" s="2">
        <v>5998994</v>
      </c>
      <c r="L428" t="s">
        <v>3368</v>
      </c>
      <c r="M428" t="s">
        <v>3772</v>
      </c>
    </row>
    <row r="429" spans="1:13">
      <c r="A429" t="s">
        <v>22</v>
      </c>
      <c r="B429" s="1">
        <f>HYPERLINK("https://cordis.europa.eu/project/id/730970", "730970")</f>
        <v>0</v>
      </c>
      <c r="C429" t="s">
        <v>451</v>
      </c>
      <c r="D429" t="s">
        <v>1266</v>
      </c>
      <c r="E429" t="s">
        <v>1845</v>
      </c>
      <c r="F429" t="s">
        <v>2199</v>
      </c>
      <c r="G429" t="s">
        <v>2406</v>
      </c>
      <c r="H429" t="s">
        <v>2993</v>
      </c>
      <c r="I429" t="s">
        <v>3194</v>
      </c>
      <c r="J429" s="2">
        <v>0</v>
      </c>
      <c r="K429" s="2">
        <v>4991211.25</v>
      </c>
      <c r="L429" t="s">
        <v>3368</v>
      </c>
      <c r="M429" t="s">
        <v>3773</v>
      </c>
    </row>
    <row r="430" spans="1:13">
      <c r="A430" t="s">
        <v>22</v>
      </c>
      <c r="B430" s="1">
        <f>HYPERLINK("https://cordis.europa.eu/project/id/711859", "711859")</f>
        <v>0</v>
      </c>
      <c r="C430" t="s">
        <v>452</v>
      </c>
      <c r="D430" t="s">
        <v>1267</v>
      </c>
      <c r="E430" t="s">
        <v>1846</v>
      </c>
      <c r="F430" t="s">
        <v>2194</v>
      </c>
      <c r="G430" t="s">
        <v>2459</v>
      </c>
      <c r="H430" t="s">
        <v>2999</v>
      </c>
      <c r="I430" t="s">
        <v>3235</v>
      </c>
      <c r="J430" s="2">
        <v>0</v>
      </c>
      <c r="K430" s="2">
        <v>2302080</v>
      </c>
      <c r="L430" t="s">
        <v>3368</v>
      </c>
      <c r="M430" t="s">
        <v>3774</v>
      </c>
    </row>
    <row r="431" spans="1:13">
      <c r="A431" t="s">
        <v>22</v>
      </c>
      <c r="B431" s="1">
        <f>HYPERLINK("https://cordis.europa.eu/project/id/818123", "818123")</f>
        <v>0</v>
      </c>
      <c r="C431" t="s">
        <v>453</v>
      </c>
      <c r="D431" t="s">
        <v>1268</v>
      </c>
      <c r="E431" t="s">
        <v>1847</v>
      </c>
      <c r="F431" t="s">
        <v>2186</v>
      </c>
      <c r="G431" t="s">
        <v>2435</v>
      </c>
      <c r="H431" t="s">
        <v>2993</v>
      </c>
      <c r="I431" t="s">
        <v>3236</v>
      </c>
      <c r="J431" s="2">
        <v>0</v>
      </c>
      <c r="K431" s="2">
        <v>10631224</v>
      </c>
      <c r="L431" t="s">
        <v>3368</v>
      </c>
      <c r="M431" t="s">
        <v>3775</v>
      </c>
    </row>
    <row r="432" spans="1:13">
      <c r="A432" t="s">
        <v>22</v>
      </c>
      <c r="B432" s="1">
        <f>HYPERLINK("https://cordis.europa.eu/project/id/713600", "713600")</f>
        <v>0</v>
      </c>
      <c r="C432" t="s">
        <v>454</v>
      </c>
      <c r="D432" t="s">
        <v>1269</v>
      </c>
      <c r="E432" t="s">
        <v>1848</v>
      </c>
      <c r="F432" t="s">
        <v>2225</v>
      </c>
      <c r="G432" t="s">
        <v>2465</v>
      </c>
      <c r="H432" t="s">
        <v>2999</v>
      </c>
      <c r="I432" t="s">
        <v>3235</v>
      </c>
      <c r="J432" s="2">
        <v>0</v>
      </c>
      <c r="K432" s="2">
        <v>2354400</v>
      </c>
      <c r="L432" t="s">
        <v>3368</v>
      </c>
      <c r="M432" t="s">
        <v>3776</v>
      </c>
    </row>
    <row r="433" spans="1:13">
      <c r="A433" t="s">
        <v>22</v>
      </c>
      <c r="B433" s="1">
        <f>HYPERLINK("https://cordis.europa.eu/project/id/734922", "734922")</f>
        <v>0</v>
      </c>
      <c r="C433" t="s">
        <v>455</v>
      </c>
      <c r="D433" t="s">
        <v>1270</v>
      </c>
      <c r="E433" t="s">
        <v>1849</v>
      </c>
      <c r="F433" t="s">
        <v>2223</v>
      </c>
      <c r="G433" t="s">
        <v>2472</v>
      </c>
      <c r="H433" t="s">
        <v>3003</v>
      </c>
      <c r="I433" t="s">
        <v>3177</v>
      </c>
      <c r="J433" s="2">
        <v>0</v>
      </c>
      <c r="K433" s="2">
        <v>324000</v>
      </c>
      <c r="L433" t="s">
        <v>3368</v>
      </c>
      <c r="M433" t="s">
        <v>3777</v>
      </c>
    </row>
    <row r="434" spans="1:13">
      <c r="A434" t="s">
        <v>22</v>
      </c>
      <c r="B434" s="1">
        <f>HYPERLINK("https://cordis.europa.eu/project/id/847593", "847593")</f>
        <v>0</v>
      </c>
      <c r="C434" t="s">
        <v>456</v>
      </c>
      <c r="D434" t="s">
        <v>1271</v>
      </c>
      <c r="E434" t="s">
        <v>1850</v>
      </c>
      <c r="F434" t="s">
        <v>2186</v>
      </c>
      <c r="G434" t="s">
        <v>2445</v>
      </c>
      <c r="H434" t="s">
        <v>3008</v>
      </c>
      <c r="I434" t="s">
        <v>3200</v>
      </c>
      <c r="J434" s="2">
        <v>0</v>
      </c>
      <c r="K434" s="2">
        <v>32500000</v>
      </c>
      <c r="L434" t="s">
        <v>3368</v>
      </c>
      <c r="M434" t="s">
        <v>3778</v>
      </c>
    </row>
    <row r="435" spans="1:13">
      <c r="A435" t="s">
        <v>22</v>
      </c>
      <c r="B435" s="1">
        <f>HYPERLINK("https://cordis.europa.eu/project/id/101008126", "101008126")</f>
        <v>0</v>
      </c>
      <c r="C435" t="s">
        <v>457</v>
      </c>
      <c r="D435" t="s">
        <v>1272</v>
      </c>
      <c r="E435" t="s">
        <v>1851</v>
      </c>
      <c r="F435" t="s">
        <v>2261</v>
      </c>
      <c r="G435" t="s">
        <v>2413</v>
      </c>
      <c r="H435" t="s">
        <v>2993</v>
      </c>
      <c r="I435" t="s">
        <v>3237</v>
      </c>
      <c r="J435" s="2">
        <v>143925</v>
      </c>
      <c r="K435" s="2">
        <v>4999999.75</v>
      </c>
      <c r="L435" t="s">
        <v>3368</v>
      </c>
      <c r="M435" t="s">
        <v>3779</v>
      </c>
    </row>
    <row r="436" spans="1:13">
      <c r="A436" t="s">
        <v>22</v>
      </c>
      <c r="B436" s="1">
        <f>HYPERLINK("https://cordis.europa.eu/project/id/951541", "951541")</f>
        <v>0</v>
      </c>
      <c r="C436" t="s">
        <v>458</v>
      </c>
      <c r="D436" t="s">
        <v>1273</v>
      </c>
      <c r="E436" t="s">
        <v>1852</v>
      </c>
      <c r="F436" t="s">
        <v>2213</v>
      </c>
      <c r="G436" t="s">
        <v>2484</v>
      </c>
      <c r="H436" t="s">
        <v>3009</v>
      </c>
      <c r="I436" t="s">
        <v>3238</v>
      </c>
      <c r="J436" s="2">
        <v>2663750</v>
      </c>
      <c r="K436" s="2">
        <v>13476506</v>
      </c>
      <c r="L436" t="s">
        <v>3368</v>
      </c>
      <c r="M436" t="s">
        <v>3780</v>
      </c>
    </row>
    <row r="437" spans="1:13">
      <c r="A437" t="s">
        <v>22</v>
      </c>
      <c r="B437" s="1">
        <f>HYPERLINK("https://cordis.europa.eu/project/id/727852", "727852")</f>
        <v>0</v>
      </c>
      <c r="C437" t="s">
        <v>459</v>
      </c>
      <c r="D437" t="s">
        <v>1274</v>
      </c>
      <c r="E437" t="s">
        <v>1853</v>
      </c>
      <c r="F437" t="s">
        <v>2250</v>
      </c>
      <c r="G437" t="s">
        <v>2399</v>
      </c>
      <c r="H437" t="s">
        <v>2993</v>
      </c>
      <c r="I437" t="s">
        <v>3239</v>
      </c>
      <c r="J437" s="2">
        <v>0</v>
      </c>
      <c r="K437" s="2">
        <v>7500000</v>
      </c>
      <c r="L437" t="s">
        <v>3368</v>
      </c>
      <c r="M437" t="s">
        <v>3781</v>
      </c>
    </row>
    <row r="438" spans="1:13">
      <c r="A438" t="s">
        <v>22</v>
      </c>
      <c r="B438" s="1">
        <f>HYPERLINK("https://cordis.europa.eu/project/id/869367", "869367")</f>
        <v>0</v>
      </c>
      <c r="C438" t="s">
        <v>460</v>
      </c>
      <c r="D438" t="s">
        <v>1275</v>
      </c>
      <c r="E438" t="s">
        <v>1759</v>
      </c>
      <c r="F438" t="s">
        <v>2262</v>
      </c>
      <c r="G438" t="s">
        <v>2467</v>
      </c>
      <c r="H438" t="s">
        <v>2993</v>
      </c>
      <c r="I438" t="s">
        <v>3198</v>
      </c>
      <c r="J438" s="2">
        <v>0</v>
      </c>
      <c r="K438" s="2">
        <v>6999988.75</v>
      </c>
      <c r="L438" t="s">
        <v>3368</v>
      </c>
      <c r="M438" t="s">
        <v>3782</v>
      </c>
    </row>
    <row r="439" spans="1:13">
      <c r="A439" t="s">
        <v>22</v>
      </c>
      <c r="B439" s="1">
        <f>HYPERLINK("https://cordis.europa.eu/project/id/634453", "634453")</f>
        <v>0</v>
      </c>
      <c r="C439" t="s">
        <v>461</v>
      </c>
      <c r="D439" t="s">
        <v>1276</v>
      </c>
      <c r="E439" t="s">
        <v>1854</v>
      </c>
      <c r="F439" t="s">
        <v>2226</v>
      </c>
      <c r="G439" t="s">
        <v>2396</v>
      </c>
      <c r="H439" t="s">
        <v>2993</v>
      </c>
      <c r="I439" t="s">
        <v>3227</v>
      </c>
      <c r="J439" s="2">
        <v>13973.58</v>
      </c>
      <c r="K439" s="2">
        <v>2999949</v>
      </c>
      <c r="L439" t="s">
        <v>3368</v>
      </c>
      <c r="M439" t="s">
        <v>3783</v>
      </c>
    </row>
    <row r="440" spans="1:13">
      <c r="A440" t="s">
        <v>22</v>
      </c>
      <c r="B440" s="1">
        <f>HYPERLINK("https://cordis.europa.eu/project/id/101022791", "101022791")</f>
        <v>0</v>
      </c>
      <c r="C440" t="s">
        <v>462</v>
      </c>
      <c r="D440" t="s">
        <v>1277</v>
      </c>
      <c r="E440" t="s">
        <v>1855</v>
      </c>
      <c r="F440" t="s">
        <v>2261</v>
      </c>
      <c r="G440" t="s">
        <v>2445</v>
      </c>
      <c r="H440" t="s">
        <v>2993</v>
      </c>
      <c r="I440" t="s">
        <v>3167</v>
      </c>
      <c r="J440" s="2">
        <v>0</v>
      </c>
      <c r="K440" s="2">
        <v>2882057.5</v>
      </c>
      <c r="L440" t="s">
        <v>3368</v>
      </c>
      <c r="M440" t="s">
        <v>3784</v>
      </c>
    </row>
    <row r="441" spans="1:13">
      <c r="A441" t="s">
        <v>22</v>
      </c>
      <c r="B441" s="1">
        <f>HYPERLINK("https://cordis.europa.eu/project/id/870245", "870245")</f>
        <v>0</v>
      </c>
      <c r="C441" t="s">
        <v>463</v>
      </c>
      <c r="D441" t="s">
        <v>1278</v>
      </c>
      <c r="E441" t="s">
        <v>1800</v>
      </c>
      <c r="F441" t="s">
        <v>2254</v>
      </c>
      <c r="G441" t="s">
        <v>2485</v>
      </c>
      <c r="H441" t="s">
        <v>3003</v>
      </c>
      <c r="I441" t="s">
        <v>3189</v>
      </c>
      <c r="J441" s="2">
        <v>0</v>
      </c>
      <c r="K441" s="2">
        <v>2254000</v>
      </c>
      <c r="L441" t="s">
        <v>3371</v>
      </c>
      <c r="M441" t="s">
        <v>3785</v>
      </c>
    </row>
    <row r="442" spans="1:13">
      <c r="A442" t="s">
        <v>22</v>
      </c>
      <c r="B442" s="1">
        <f>HYPERLINK("https://cordis.europa.eu/project/id/815668", "815668")</f>
        <v>0</v>
      </c>
      <c r="C442" t="s">
        <v>464</v>
      </c>
      <c r="D442" t="s">
        <v>1279</v>
      </c>
      <c r="E442" t="s">
        <v>1856</v>
      </c>
      <c r="F442" t="s">
        <v>2227</v>
      </c>
      <c r="G442" t="s">
        <v>2404</v>
      </c>
      <c r="H442" t="s">
        <v>2993</v>
      </c>
      <c r="I442" t="s">
        <v>3240</v>
      </c>
      <c r="J442" s="2">
        <v>46625</v>
      </c>
      <c r="K442" s="2">
        <v>5993458.83</v>
      </c>
      <c r="L442" t="s">
        <v>3368</v>
      </c>
      <c r="M442" t="s">
        <v>3786</v>
      </c>
    </row>
    <row r="443" spans="1:13">
      <c r="A443" t="s">
        <v>22</v>
      </c>
      <c r="B443" s="1">
        <f>HYPERLINK("https://cordis.europa.eu/project/id/101003722", "101003722")</f>
        <v>0</v>
      </c>
      <c r="C443" t="s">
        <v>465</v>
      </c>
      <c r="D443" t="s">
        <v>1280</v>
      </c>
      <c r="E443" t="s">
        <v>1857</v>
      </c>
      <c r="F443" t="s">
        <v>2261</v>
      </c>
      <c r="G443" t="s">
        <v>2413</v>
      </c>
      <c r="H443" t="s">
        <v>2993</v>
      </c>
      <c r="I443" t="s">
        <v>3241</v>
      </c>
      <c r="J443" s="2">
        <v>0</v>
      </c>
      <c r="K443" s="2">
        <v>4999813.75</v>
      </c>
      <c r="L443" t="s">
        <v>3368</v>
      </c>
      <c r="M443" t="s">
        <v>3787</v>
      </c>
    </row>
    <row r="444" spans="1:13">
      <c r="A444" t="s">
        <v>22</v>
      </c>
      <c r="B444" s="1">
        <f>HYPERLINK("https://cordis.europa.eu/project/id/835466", "835466")</f>
        <v>0</v>
      </c>
      <c r="C444" t="s">
        <v>466</v>
      </c>
      <c r="D444" t="s">
        <v>1281</v>
      </c>
      <c r="E444" t="s">
        <v>1838</v>
      </c>
      <c r="F444" t="s">
        <v>2205</v>
      </c>
      <c r="G444" t="s">
        <v>2442</v>
      </c>
      <c r="H444" t="s">
        <v>2997</v>
      </c>
      <c r="I444" t="s">
        <v>3158</v>
      </c>
      <c r="J444" s="2">
        <v>0</v>
      </c>
      <c r="K444" s="2">
        <v>255768</v>
      </c>
      <c r="L444" t="s">
        <v>3368</v>
      </c>
      <c r="M444" t="s">
        <v>3608</v>
      </c>
    </row>
    <row r="445" spans="1:13">
      <c r="A445" t="s">
        <v>22</v>
      </c>
      <c r="B445" s="1">
        <f>HYPERLINK("https://cordis.europa.eu/project/id/796197", "796197")</f>
        <v>0</v>
      </c>
      <c r="C445" t="s">
        <v>467</v>
      </c>
      <c r="D445" t="s">
        <v>1282</v>
      </c>
      <c r="E445" t="s">
        <v>1858</v>
      </c>
      <c r="F445" t="s">
        <v>2251</v>
      </c>
      <c r="G445" t="s">
        <v>2479</v>
      </c>
      <c r="H445" t="s">
        <v>2998</v>
      </c>
      <c r="I445" t="s">
        <v>3160</v>
      </c>
      <c r="J445" s="2">
        <v>0</v>
      </c>
      <c r="K445" s="2">
        <v>242683.2</v>
      </c>
      <c r="L445" t="s">
        <v>3368</v>
      </c>
      <c r="M445" t="s">
        <v>3616</v>
      </c>
    </row>
    <row r="446" spans="1:13">
      <c r="A446" t="s">
        <v>22</v>
      </c>
      <c r="B446" s="1">
        <f>HYPERLINK("https://cordis.europa.eu/project/id/101032326", "101032326")</f>
        <v>0</v>
      </c>
      <c r="C446" t="s">
        <v>468</v>
      </c>
      <c r="D446" t="s">
        <v>1283</v>
      </c>
      <c r="E446" t="s">
        <v>1783</v>
      </c>
      <c r="F446" t="s">
        <v>2187</v>
      </c>
      <c r="G446" t="s">
        <v>2443</v>
      </c>
      <c r="H446" t="s">
        <v>2997</v>
      </c>
      <c r="I446" t="s">
        <v>3166</v>
      </c>
      <c r="J446" s="2">
        <v>0</v>
      </c>
      <c r="K446" s="2">
        <v>244385.28</v>
      </c>
      <c r="L446" t="s">
        <v>3368</v>
      </c>
      <c r="M446" t="s">
        <v>3389</v>
      </c>
    </row>
    <row r="447" spans="1:13">
      <c r="A447" t="s">
        <v>22</v>
      </c>
      <c r="B447" s="1">
        <f>HYPERLINK("https://cordis.europa.eu/project/id/101004714", "101004714")</f>
        <v>0</v>
      </c>
      <c r="C447" t="s">
        <v>469</v>
      </c>
      <c r="D447" t="s">
        <v>1284</v>
      </c>
      <c r="E447" t="s">
        <v>1859</v>
      </c>
      <c r="F447" t="s">
        <v>2193</v>
      </c>
      <c r="G447" t="s">
        <v>2467</v>
      </c>
      <c r="H447" t="s">
        <v>2993</v>
      </c>
      <c r="I447" t="s">
        <v>3209</v>
      </c>
      <c r="J447" s="2">
        <v>0</v>
      </c>
      <c r="K447" s="2">
        <v>2998550</v>
      </c>
      <c r="L447" t="s">
        <v>3368</v>
      </c>
      <c r="M447" t="s">
        <v>3788</v>
      </c>
    </row>
    <row r="448" spans="1:13">
      <c r="A448" t="s">
        <v>22</v>
      </c>
      <c r="B448" s="1">
        <f>HYPERLINK("https://cordis.europa.eu/project/id/870761", "870761")</f>
        <v>0</v>
      </c>
      <c r="C448" t="s">
        <v>470</v>
      </c>
      <c r="D448" t="s">
        <v>1285</v>
      </c>
      <c r="E448" t="s">
        <v>1687</v>
      </c>
      <c r="F448" t="s">
        <v>2196</v>
      </c>
      <c r="G448" t="s">
        <v>2450</v>
      </c>
      <c r="H448" t="s">
        <v>2993</v>
      </c>
      <c r="I448" t="s">
        <v>3242</v>
      </c>
      <c r="J448" s="2">
        <v>0</v>
      </c>
      <c r="K448" s="2">
        <v>3238002.5</v>
      </c>
      <c r="L448" t="s">
        <v>3368</v>
      </c>
      <c r="M448" t="s">
        <v>3789</v>
      </c>
    </row>
    <row r="449" spans="1:13">
      <c r="A449" t="s">
        <v>22</v>
      </c>
      <c r="B449" s="1">
        <f>HYPERLINK("https://cordis.europa.eu/project/id/870299", "870299")</f>
        <v>0</v>
      </c>
      <c r="C449" t="s">
        <v>471</v>
      </c>
      <c r="D449" t="s">
        <v>1286</v>
      </c>
      <c r="E449" t="s">
        <v>1687</v>
      </c>
      <c r="F449" t="s">
        <v>2196</v>
      </c>
      <c r="G449" t="s">
        <v>2486</v>
      </c>
      <c r="H449" t="s">
        <v>2993</v>
      </c>
      <c r="I449" t="s">
        <v>3242</v>
      </c>
      <c r="J449" s="2">
        <v>0</v>
      </c>
      <c r="K449" s="2">
        <v>3174860</v>
      </c>
      <c r="L449" t="s">
        <v>3368</v>
      </c>
      <c r="M449" t="s">
        <v>3790</v>
      </c>
    </row>
    <row r="450" spans="1:13">
      <c r="A450" t="s">
        <v>22</v>
      </c>
      <c r="B450" s="1">
        <f>HYPERLINK("https://cordis.europa.eu/project/id/101022484", "101022484")</f>
        <v>0</v>
      </c>
      <c r="C450" t="s">
        <v>472</v>
      </c>
      <c r="D450" t="s">
        <v>1287</v>
      </c>
      <c r="E450" t="s">
        <v>1860</v>
      </c>
      <c r="F450" t="s">
        <v>2218</v>
      </c>
      <c r="G450" t="s">
        <v>2487</v>
      </c>
      <c r="H450" t="s">
        <v>2994</v>
      </c>
      <c r="I450" t="s">
        <v>3243</v>
      </c>
      <c r="J450" s="2">
        <v>0</v>
      </c>
      <c r="K450" s="2">
        <v>12862331.88</v>
      </c>
      <c r="L450" t="s">
        <v>3368</v>
      </c>
      <c r="M450" t="s">
        <v>3791</v>
      </c>
    </row>
    <row r="451" spans="1:13">
      <c r="A451" t="s">
        <v>22</v>
      </c>
      <c r="B451" s="1">
        <f>HYPERLINK("https://cordis.europa.eu/project/id/690917", "690917")</f>
        <v>0</v>
      </c>
      <c r="C451" t="s">
        <v>473</v>
      </c>
      <c r="D451" t="s">
        <v>1288</v>
      </c>
      <c r="E451" t="s">
        <v>1861</v>
      </c>
      <c r="F451" t="s">
        <v>2185</v>
      </c>
      <c r="G451" t="s">
        <v>2438</v>
      </c>
      <c r="H451" t="s">
        <v>3003</v>
      </c>
      <c r="I451" t="s">
        <v>3176</v>
      </c>
      <c r="J451" s="2">
        <v>0</v>
      </c>
      <c r="K451" s="2">
        <v>139500</v>
      </c>
      <c r="L451" t="s">
        <v>3368</v>
      </c>
      <c r="M451" t="s">
        <v>3792</v>
      </c>
    </row>
    <row r="452" spans="1:13">
      <c r="A452" t="s">
        <v>22</v>
      </c>
      <c r="B452" s="1">
        <f>HYPERLINK("https://cordis.europa.eu/project/id/101007584", "101007584")</f>
        <v>0</v>
      </c>
      <c r="C452" t="s">
        <v>474</v>
      </c>
      <c r="D452" t="s">
        <v>1289</v>
      </c>
      <c r="E452" t="s">
        <v>1792</v>
      </c>
      <c r="F452" t="s">
        <v>2218</v>
      </c>
      <c r="G452" t="s">
        <v>2488</v>
      </c>
      <c r="H452" t="s">
        <v>3003</v>
      </c>
      <c r="I452" t="s">
        <v>3216</v>
      </c>
      <c r="J452" s="2">
        <v>0</v>
      </c>
      <c r="K452" s="2">
        <v>303600</v>
      </c>
      <c r="L452" t="s">
        <v>3369</v>
      </c>
      <c r="M452" t="s">
        <v>3793</v>
      </c>
    </row>
    <row r="453" spans="1:13">
      <c r="A453" t="s">
        <v>22</v>
      </c>
      <c r="B453" s="1">
        <f>HYPERLINK("https://cordis.europa.eu/project/id/798205", "798205")</f>
        <v>0</v>
      </c>
      <c r="C453" t="s">
        <v>475</v>
      </c>
      <c r="D453" t="s">
        <v>1290</v>
      </c>
      <c r="E453" t="s">
        <v>1740</v>
      </c>
      <c r="F453" t="s">
        <v>2263</v>
      </c>
      <c r="G453" t="s">
        <v>2391</v>
      </c>
      <c r="H453" t="s">
        <v>2997</v>
      </c>
      <c r="I453" t="s">
        <v>3160</v>
      </c>
      <c r="J453" s="2">
        <v>0</v>
      </c>
      <c r="K453" s="2">
        <v>232160.4</v>
      </c>
      <c r="L453" t="s">
        <v>3368</v>
      </c>
      <c r="M453" t="s">
        <v>3662</v>
      </c>
    </row>
    <row r="454" spans="1:13">
      <c r="A454" t="s">
        <v>22</v>
      </c>
      <c r="B454" s="1">
        <f>HYPERLINK("https://cordis.europa.eu/project/id/676338", "676338")</f>
        <v>0</v>
      </c>
      <c r="C454" t="s">
        <v>476</v>
      </c>
      <c r="D454" t="s">
        <v>1291</v>
      </c>
      <c r="E454" t="s">
        <v>1862</v>
      </c>
      <c r="F454" t="s">
        <v>2185</v>
      </c>
      <c r="G454" t="s">
        <v>2438</v>
      </c>
      <c r="H454" t="s">
        <v>3002</v>
      </c>
      <c r="I454" t="s">
        <v>3195</v>
      </c>
      <c r="J454" s="2">
        <v>0</v>
      </c>
      <c r="K454" s="2">
        <v>3876965.64</v>
      </c>
      <c r="L454" t="s">
        <v>3368</v>
      </c>
      <c r="M454" t="s">
        <v>3794</v>
      </c>
    </row>
    <row r="455" spans="1:13">
      <c r="A455" t="s">
        <v>22</v>
      </c>
      <c r="B455" s="1">
        <f>HYPERLINK("https://cordis.europa.eu/project/id/645551", "645551")</f>
        <v>0</v>
      </c>
      <c r="C455" t="s">
        <v>477</v>
      </c>
      <c r="D455" t="s">
        <v>1292</v>
      </c>
      <c r="E455" t="s">
        <v>1863</v>
      </c>
      <c r="F455" t="s">
        <v>2222</v>
      </c>
      <c r="G455" t="s">
        <v>2387</v>
      </c>
      <c r="H455" t="s">
        <v>3003</v>
      </c>
      <c r="I455" t="s">
        <v>3175</v>
      </c>
      <c r="J455" s="2">
        <v>0</v>
      </c>
      <c r="K455" s="2">
        <v>630000</v>
      </c>
      <c r="L455" t="s">
        <v>3368</v>
      </c>
      <c r="M455" t="s">
        <v>3795</v>
      </c>
    </row>
    <row r="456" spans="1:13">
      <c r="A456" t="s">
        <v>22</v>
      </c>
      <c r="B456" s="1">
        <f>HYPERLINK("https://cordis.europa.eu/project/id/873077", "873077")</f>
        <v>0</v>
      </c>
      <c r="C456" t="s">
        <v>478</v>
      </c>
      <c r="D456" t="s">
        <v>1293</v>
      </c>
      <c r="E456" t="s">
        <v>1800</v>
      </c>
      <c r="F456" t="s">
        <v>2180</v>
      </c>
      <c r="G456" t="s">
        <v>2489</v>
      </c>
      <c r="H456" t="s">
        <v>3003</v>
      </c>
      <c r="I456" t="s">
        <v>3189</v>
      </c>
      <c r="J456" s="2">
        <v>0</v>
      </c>
      <c r="K456" s="2">
        <v>542800</v>
      </c>
      <c r="L456" t="s">
        <v>3370</v>
      </c>
      <c r="M456" t="s">
        <v>3796</v>
      </c>
    </row>
    <row r="457" spans="1:13">
      <c r="A457" t="s">
        <v>22</v>
      </c>
      <c r="B457" s="1">
        <f>HYPERLINK("https://cordis.europa.eu/project/id/875006", "875006")</f>
        <v>0</v>
      </c>
      <c r="C457" t="s">
        <v>479</v>
      </c>
      <c r="D457" t="s">
        <v>1294</v>
      </c>
      <c r="E457" t="s">
        <v>1864</v>
      </c>
      <c r="F457" t="s">
        <v>2180</v>
      </c>
      <c r="G457" t="s">
        <v>2467</v>
      </c>
      <c r="H457" t="s">
        <v>2993</v>
      </c>
      <c r="I457" t="s">
        <v>3244</v>
      </c>
      <c r="J457" s="2">
        <v>0</v>
      </c>
      <c r="K457" s="2">
        <v>10392845</v>
      </c>
      <c r="L457" t="s">
        <v>3368</v>
      </c>
      <c r="M457" t="s">
        <v>3797</v>
      </c>
    </row>
    <row r="458" spans="1:13">
      <c r="A458" t="s">
        <v>22</v>
      </c>
      <c r="B458" s="1">
        <f>HYPERLINK("https://cordis.europa.eu/project/id/820989", "820989")</f>
        <v>0</v>
      </c>
      <c r="C458" t="s">
        <v>480</v>
      </c>
      <c r="D458" t="s">
        <v>1295</v>
      </c>
      <c r="E458" t="s">
        <v>1847</v>
      </c>
      <c r="F458" t="s">
        <v>2227</v>
      </c>
      <c r="G458" t="s">
        <v>2412</v>
      </c>
      <c r="H458" t="s">
        <v>2993</v>
      </c>
      <c r="I458" t="s">
        <v>3245</v>
      </c>
      <c r="J458" s="2">
        <v>0</v>
      </c>
      <c r="K458" s="2">
        <v>8191663.75</v>
      </c>
      <c r="L458" t="s">
        <v>3368</v>
      </c>
      <c r="M458" t="s">
        <v>3798</v>
      </c>
    </row>
    <row r="459" spans="1:13">
      <c r="A459" t="s">
        <v>22</v>
      </c>
      <c r="B459" s="1">
        <f>HYPERLINK("https://cordis.europa.eu/project/id/900009", "900009")</f>
        <v>0</v>
      </c>
      <c r="C459" t="s">
        <v>481</v>
      </c>
      <c r="D459" t="s">
        <v>1296</v>
      </c>
      <c r="E459" t="s">
        <v>1865</v>
      </c>
      <c r="F459" t="s">
        <v>2201</v>
      </c>
      <c r="G459" t="s">
        <v>2424</v>
      </c>
      <c r="H459" t="s">
        <v>2993</v>
      </c>
      <c r="I459" t="s">
        <v>3192</v>
      </c>
      <c r="J459" s="2">
        <v>0</v>
      </c>
      <c r="K459" s="2">
        <v>18000000</v>
      </c>
      <c r="L459" t="s">
        <v>3368</v>
      </c>
      <c r="M459" t="s">
        <v>3799</v>
      </c>
    </row>
    <row r="460" spans="1:13">
      <c r="A460" t="s">
        <v>22</v>
      </c>
      <c r="B460" s="1">
        <f>HYPERLINK("https://cordis.europa.eu/project/id/707726", "707726")</f>
        <v>0</v>
      </c>
      <c r="C460" t="s">
        <v>482</v>
      </c>
      <c r="D460" t="s">
        <v>1297</v>
      </c>
      <c r="E460" t="s">
        <v>1866</v>
      </c>
      <c r="F460" t="s">
        <v>2264</v>
      </c>
      <c r="G460" t="s">
        <v>2490</v>
      </c>
      <c r="H460" t="s">
        <v>2998</v>
      </c>
      <c r="I460" t="s">
        <v>3164</v>
      </c>
      <c r="J460" s="2">
        <v>0</v>
      </c>
      <c r="K460" s="2">
        <v>193355.4</v>
      </c>
      <c r="L460" t="s">
        <v>3368</v>
      </c>
      <c r="M460" t="s">
        <v>3609</v>
      </c>
    </row>
    <row r="461" spans="1:13">
      <c r="A461" t="s">
        <v>22</v>
      </c>
      <c r="B461" s="1">
        <f>HYPERLINK("https://cordis.europa.eu/project/id/749154", "749154")</f>
        <v>0</v>
      </c>
      <c r="C461" t="s">
        <v>483</v>
      </c>
      <c r="D461" t="s">
        <v>1298</v>
      </c>
      <c r="E461" t="s">
        <v>1867</v>
      </c>
      <c r="F461" t="s">
        <v>2209</v>
      </c>
      <c r="G461" t="s">
        <v>2421</v>
      </c>
      <c r="H461" t="s">
        <v>2998</v>
      </c>
      <c r="I461" t="s">
        <v>3159</v>
      </c>
      <c r="J461" s="2">
        <v>0</v>
      </c>
      <c r="K461" s="2">
        <v>255349.8</v>
      </c>
      <c r="L461" t="s">
        <v>3368</v>
      </c>
      <c r="M461" t="s">
        <v>3800</v>
      </c>
    </row>
    <row r="462" spans="1:13">
      <c r="A462" t="s">
        <v>22</v>
      </c>
      <c r="B462" s="1">
        <f>HYPERLINK("https://cordis.europa.eu/project/id/894029", "894029")</f>
        <v>0</v>
      </c>
      <c r="C462" t="s">
        <v>484</v>
      </c>
      <c r="D462" t="s">
        <v>1299</v>
      </c>
      <c r="E462" t="s">
        <v>1868</v>
      </c>
      <c r="F462" t="s">
        <v>2187</v>
      </c>
      <c r="G462" t="s">
        <v>2443</v>
      </c>
      <c r="H462" t="s">
        <v>2997</v>
      </c>
      <c r="I462" t="s">
        <v>3162</v>
      </c>
      <c r="J462" s="2">
        <v>0</v>
      </c>
      <c r="K462" s="2">
        <v>239956.8</v>
      </c>
      <c r="L462" t="s">
        <v>3368</v>
      </c>
      <c r="M462" t="s">
        <v>3801</v>
      </c>
    </row>
    <row r="463" spans="1:13">
      <c r="A463" t="s">
        <v>22</v>
      </c>
      <c r="B463" s="1">
        <f>HYPERLINK("https://cordis.europa.eu/project/id/642130", "642130")</f>
        <v>0</v>
      </c>
      <c r="C463" t="s">
        <v>485</v>
      </c>
      <c r="D463" t="s">
        <v>1300</v>
      </c>
      <c r="E463" t="s">
        <v>1659</v>
      </c>
      <c r="F463" t="s">
        <v>2242</v>
      </c>
      <c r="G463" t="s">
        <v>2377</v>
      </c>
      <c r="H463" t="s">
        <v>2985</v>
      </c>
      <c r="I463" t="s">
        <v>3246</v>
      </c>
      <c r="J463" s="2">
        <v>0</v>
      </c>
      <c r="K463" s="2">
        <v>2104800.88</v>
      </c>
      <c r="L463" t="s">
        <v>3368</v>
      </c>
      <c r="M463" t="s">
        <v>3802</v>
      </c>
    </row>
    <row r="464" spans="1:13">
      <c r="A464" t="s">
        <v>22</v>
      </c>
      <c r="B464" s="1">
        <f>HYPERLINK("https://cordis.europa.eu/project/id/753537", "753537")</f>
        <v>0</v>
      </c>
      <c r="C464" t="s">
        <v>486</v>
      </c>
      <c r="D464" t="s">
        <v>1301</v>
      </c>
      <c r="E464" t="s">
        <v>1869</v>
      </c>
      <c r="F464" t="s">
        <v>2197</v>
      </c>
      <c r="G464" t="s">
        <v>2394</v>
      </c>
      <c r="H464" t="s">
        <v>2998</v>
      </c>
      <c r="I464" t="s">
        <v>3159</v>
      </c>
      <c r="J464" s="2">
        <v>0</v>
      </c>
      <c r="K464" s="2">
        <v>157734</v>
      </c>
      <c r="L464" t="s">
        <v>3368</v>
      </c>
      <c r="M464" t="s">
        <v>3803</v>
      </c>
    </row>
    <row r="465" spans="1:13">
      <c r="A465" t="s">
        <v>22</v>
      </c>
      <c r="B465" s="1">
        <f>HYPERLINK("https://cordis.europa.eu/project/id/892293", "892293")</f>
        <v>0</v>
      </c>
      <c r="C465" t="s">
        <v>487</v>
      </c>
      <c r="D465" t="s">
        <v>1302</v>
      </c>
      <c r="E465" t="s">
        <v>1698</v>
      </c>
      <c r="F465" t="s">
        <v>2208</v>
      </c>
      <c r="G465" t="s">
        <v>2491</v>
      </c>
      <c r="H465" t="s">
        <v>2997</v>
      </c>
      <c r="I465" t="s">
        <v>3162</v>
      </c>
      <c r="J465" s="2">
        <v>0</v>
      </c>
      <c r="K465" s="2">
        <v>237768</v>
      </c>
      <c r="L465" t="s">
        <v>3368</v>
      </c>
      <c r="M465" t="s">
        <v>3804</v>
      </c>
    </row>
    <row r="466" spans="1:13">
      <c r="A466" t="s">
        <v>22</v>
      </c>
      <c r="B466" s="1">
        <f>HYPERLINK("https://cordis.europa.eu/project/id/824310", "824310")</f>
        <v>0</v>
      </c>
      <c r="C466" t="s">
        <v>488</v>
      </c>
      <c r="D466" t="s">
        <v>1303</v>
      </c>
      <c r="E466" t="s">
        <v>1870</v>
      </c>
      <c r="F466" t="s">
        <v>2189</v>
      </c>
      <c r="G466" t="s">
        <v>2417</v>
      </c>
      <c r="H466" t="s">
        <v>2993</v>
      </c>
      <c r="I466" t="s">
        <v>3247</v>
      </c>
      <c r="J466" s="2">
        <v>0</v>
      </c>
      <c r="K466" s="2">
        <v>11964300</v>
      </c>
      <c r="L466" t="s">
        <v>3368</v>
      </c>
      <c r="M466" t="s">
        <v>3805</v>
      </c>
    </row>
    <row r="467" spans="1:13">
      <c r="A467" t="s">
        <v>22</v>
      </c>
      <c r="B467" s="1">
        <f>HYPERLINK("https://cordis.europa.eu/project/id/824253", "824253")</f>
        <v>0</v>
      </c>
      <c r="C467" t="s">
        <v>489</v>
      </c>
      <c r="D467" t="s">
        <v>1304</v>
      </c>
      <c r="E467" t="s">
        <v>1870</v>
      </c>
      <c r="F467" t="s">
        <v>2189</v>
      </c>
      <c r="G467" t="s">
        <v>2417</v>
      </c>
      <c r="H467" t="s">
        <v>2993</v>
      </c>
      <c r="I467" t="s">
        <v>3247</v>
      </c>
      <c r="J467" s="2">
        <v>0</v>
      </c>
      <c r="K467" s="2">
        <v>6587808.74</v>
      </c>
      <c r="L467" t="s">
        <v>3368</v>
      </c>
      <c r="M467" t="s">
        <v>3806</v>
      </c>
    </row>
    <row r="468" spans="1:13">
      <c r="A468" t="s">
        <v>22</v>
      </c>
      <c r="B468" s="1">
        <f>HYPERLINK("https://cordis.europa.eu/project/id/734303", "734303")</f>
        <v>0</v>
      </c>
      <c r="C468" t="s">
        <v>490</v>
      </c>
      <c r="D468" t="s">
        <v>1305</v>
      </c>
      <c r="E468" t="s">
        <v>1871</v>
      </c>
      <c r="F468" t="s">
        <v>2246</v>
      </c>
      <c r="G468" t="s">
        <v>2411</v>
      </c>
      <c r="H468" t="s">
        <v>3003</v>
      </c>
      <c r="I468" t="s">
        <v>3177</v>
      </c>
      <c r="J468" s="2">
        <v>0</v>
      </c>
      <c r="K468" s="2">
        <v>1566000</v>
      </c>
      <c r="L468" t="s">
        <v>3368</v>
      </c>
      <c r="M468" t="s">
        <v>3807</v>
      </c>
    </row>
    <row r="469" spans="1:13">
      <c r="A469" t="s">
        <v>22</v>
      </c>
      <c r="B469" s="1">
        <f>HYPERLINK("https://cordis.europa.eu/project/id/645471", "645471")</f>
        <v>0</v>
      </c>
      <c r="C469" t="s">
        <v>491</v>
      </c>
      <c r="D469" t="s">
        <v>491</v>
      </c>
      <c r="E469" t="s">
        <v>1761</v>
      </c>
      <c r="F469" t="s">
        <v>2242</v>
      </c>
      <c r="G469" t="s">
        <v>2322</v>
      </c>
      <c r="H469" t="s">
        <v>3003</v>
      </c>
      <c r="I469" t="s">
        <v>3175</v>
      </c>
      <c r="J469" s="2">
        <v>0</v>
      </c>
      <c r="K469" s="2">
        <v>571500</v>
      </c>
      <c r="L469" t="s">
        <v>3368</v>
      </c>
      <c r="M469" t="s">
        <v>3808</v>
      </c>
    </row>
    <row r="470" spans="1:13">
      <c r="A470" t="s">
        <v>22</v>
      </c>
      <c r="B470" s="1">
        <f>HYPERLINK("https://cordis.europa.eu/project/id/101003826", "101003826")</f>
        <v>0</v>
      </c>
      <c r="C470" t="s">
        <v>492</v>
      </c>
      <c r="D470" t="s">
        <v>1306</v>
      </c>
      <c r="E470" t="s">
        <v>1872</v>
      </c>
      <c r="F470" t="s">
        <v>2216</v>
      </c>
      <c r="G470" t="s">
        <v>2424</v>
      </c>
      <c r="H470" t="s">
        <v>2993</v>
      </c>
      <c r="I470" t="s">
        <v>3241</v>
      </c>
      <c r="J470" s="2">
        <v>0</v>
      </c>
      <c r="K470" s="2">
        <v>7999266.25</v>
      </c>
      <c r="L470" t="s">
        <v>3368</v>
      </c>
      <c r="M470" t="s">
        <v>3809</v>
      </c>
    </row>
    <row r="471" spans="1:13">
      <c r="A471" t="s">
        <v>22</v>
      </c>
      <c r="B471" s="1">
        <f>HYPERLINK("https://cordis.europa.eu/project/id/731143", "731143")</f>
        <v>0</v>
      </c>
      <c r="C471" t="s">
        <v>493</v>
      </c>
      <c r="D471" t="s">
        <v>1307</v>
      </c>
      <c r="E471" t="s">
        <v>1714</v>
      </c>
      <c r="F471" t="s">
        <v>2225</v>
      </c>
      <c r="G471" t="s">
        <v>2395</v>
      </c>
      <c r="H471" t="s">
        <v>3003</v>
      </c>
      <c r="I471" t="s">
        <v>3177</v>
      </c>
      <c r="J471" s="2">
        <v>0</v>
      </c>
      <c r="K471" s="2">
        <v>958500</v>
      </c>
      <c r="L471" t="s">
        <v>3371</v>
      </c>
      <c r="M471" t="s">
        <v>3810</v>
      </c>
    </row>
    <row r="472" spans="1:13">
      <c r="A472" t="s">
        <v>22</v>
      </c>
      <c r="B472" s="1">
        <f>HYPERLINK("https://cordis.europa.eu/project/id/101024588", "101024588")</f>
        <v>0</v>
      </c>
      <c r="C472" t="s">
        <v>494</v>
      </c>
      <c r="D472" t="s">
        <v>1308</v>
      </c>
      <c r="E472" t="s">
        <v>1873</v>
      </c>
      <c r="F472" t="s">
        <v>2217</v>
      </c>
      <c r="G472" t="s">
        <v>2429</v>
      </c>
      <c r="H472" t="s">
        <v>2997</v>
      </c>
      <c r="I472" t="s">
        <v>3166</v>
      </c>
      <c r="J472" s="2">
        <v>0</v>
      </c>
      <c r="K472" s="2">
        <v>265957.44</v>
      </c>
      <c r="L472" t="s">
        <v>3368</v>
      </c>
      <c r="M472" t="s">
        <v>3416</v>
      </c>
    </row>
    <row r="473" spans="1:13">
      <c r="A473" t="s">
        <v>22</v>
      </c>
      <c r="B473" s="1">
        <f>HYPERLINK("https://cordis.europa.eu/project/id/821115", "821115")</f>
        <v>0</v>
      </c>
      <c r="C473" t="s">
        <v>495</v>
      </c>
      <c r="D473" t="s">
        <v>1309</v>
      </c>
      <c r="E473" t="s">
        <v>1847</v>
      </c>
      <c r="F473" t="s">
        <v>2227</v>
      </c>
      <c r="G473" t="s">
        <v>2397</v>
      </c>
      <c r="H473" t="s">
        <v>2993</v>
      </c>
      <c r="I473" t="s">
        <v>3248</v>
      </c>
      <c r="J473" s="2">
        <v>0</v>
      </c>
      <c r="K473" s="2">
        <v>8000000</v>
      </c>
      <c r="L473" t="s">
        <v>3369</v>
      </c>
      <c r="M473" t="s">
        <v>3811</v>
      </c>
    </row>
    <row r="474" spans="1:13">
      <c r="A474" t="s">
        <v>22</v>
      </c>
      <c r="B474" s="1">
        <f>HYPERLINK("https://cordis.europa.eu/project/id/633476", "633476")</f>
        <v>0</v>
      </c>
      <c r="C474" t="s">
        <v>496</v>
      </c>
      <c r="D474" t="s">
        <v>1310</v>
      </c>
      <c r="E474" t="s">
        <v>1874</v>
      </c>
      <c r="F474" t="s">
        <v>2179</v>
      </c>
      <c r="G474" t="s">
        <v>2354</v>
      </c>
      <c r="H474" t="s">
        <v>2993</v>
      </c>
      <c r="I474" t="s">
        <v>3249</v>
      </c>
      <c r="J474" s="2">
        <v>0</v>
      </c>
      <c r="K474" s="2">
        <v>2989814.5</v>
      </c>
      <c r="L474" t="s">
        <v>3368</v>
      </c>
      <c r="M474" t="s">
        <v>3812</v>
      </c>
    </row>
    <row r="475" spans="1:13">
      <c r="A475" t="s">
        <v>22</v>
      </c>
      <c r="B475" s="1">
        <f>HYPERLINK("https://cordis.europa.eu/project/id/689271", "689271")</f>
        <v>0</v>
      </c>
      <c r="C475" t="s">
        <v>497</v>
      </c>
      <c r="D475" t="s">
        <v>1311</v>
      </c>
      <c r="E475" t="s">
        <v>1875</v>
      </c>
      <c r="F475" t="s">
        <v>2188</v>
      </c>
      <c r="G475" t="s">
        <v>2446</v>
      </c>
      <c r="H475" t="s">
        <v>2992</v>
      </c>
      <c r="I475" t="s">
        <v>3250</v>
      </c>
      <c r="J475" s="2">
        <v>23925</v>
      </c>
      <c r="K475" s="2">
        <v>6267994.920000001</v>
      </c>
      <c r="L475" t="s">
        <v>3368</v>
      </c>
      <c r="M475" t="s">
        <v>3813</v>
      </c>
    </row>
    <row r="476" spans="1:13">
      <c r="A476" t="s">
        <v>22</v>
      </c>
      <c r="B476" s="1">
        <f>HYPERLINK("https://cordis.europa.eu/project/id/862862", "862862")</f>
        <v>0</v>
      </c>
      <c r="C476" t="s">
        <v>498</v>
      </c>
      <c r="D476" t="s">
        <v>1312</v>
      </c>
      <c r="E476" t="s">
        <v>1876</v>
      </c>
      <c r="F476" t="s">
        <v>2265</v>
      </c>
      <c r="G476" t="s">
        <v>2488</v>
      </c>
      <c r="H476" t="s">
        <v>2993</v>
      </c>
      <c r="I476" t="s">
        <v>3251</v>
      </c>
      <c r="J476" s="2">
        <v>0</v>
      </c>
      <c r="K476" s="2">
        <v>6999999.5</v>
      </c>
      <c r="L476" t="s">
        <v>3368</v>
      </c>
      <c r="M476" t="s">
        <v>3814</v>
      </c>
    </row>
    <row r="477" spans="1:13">
      <c r="A477" t="s">
        <v>22</v>
      </c>
      <c r="B477" s="1">
        <f>HYPERLINK("https://cordis.europa.eu/project/id/895209", "895209")</f>
        <v>0</v>
      </c>
      <c r="C477" t="s">
        <v>499</v>
      </c>
      <c r="D477" t="s">
        <v>1313</v>
      </c>
      <c r="E477" t="s">
        <v>1877</v>
      </c>
      <c r="F477" t="s">
        <v>2266</v>
      </c>
      <c r="G477" t="s">
        <v>2492</v>
      </c>
      <c r="H477" t="s">
        <v>2997</v>
      </c>
      <c r="I477" t="s">
        <v>3162</v>
      </c>
      <c r="J477" s="2">
        <v>0</v>
      </c>
      <c r="K477" s="2">
        <v>273687.36</v>
      </c>
      <c r="L477" t="s">
        <v>3368</v>
      </c>
      <c r="M477" t="s">
        <v>3442</v>
      </c>
    </row>
    <row r="478" spans="1:13">
      <c r="A478" t="s">
        <v>22</v>
      </c>
      <c r="B478" s="1">
        <f>HYPERLINK("https://cordis.europa.eu/project/id/747120", "747120")</f>
        <v>0</v>
      </c>
      <c r="C478" t="s">
        <v>500</v>
      </c>
      <c r="D478" t="s">
        <v>1314</v>
      </c>
      <c r="E478" t="s">
        <v>1675</v>
      </c>
      <c r="F478" t="s">
        <v>2190</v>
      </c>
      <c r="G478" t="s">
        <v>1916</v>
      </c>
      <c r="H478" t="s">
        <v>2997</v>
      </c>
      <c r="I478" t="s">
        <v>3159</v>
      </c>
      <c r="J478" s="2">
        <v>0</v>
      </c>
      <c r="K478" s="2">
        <v>263943</v>
      </c>
      <c r="L478" t="s">
        <v>3369</v>
      </c>
      <c r="M478" t="s">
        <v>3447</v>
      </c>
    </row>
    <row r="479" spans="1:13">
      <c r="A479" t="s">
        <v>22</v>
      </c>
      <c r="B479" s="1">
        <f>HYPERLINK("https://cordis.europa.eu/project/id/872195", "872195")</f>
        <v>0</v>
      </c>
      <c r="C479" t="s">
        <v>501</v>
      </c>
      <c r="D479" t="s">
        <v>1315</v>
      </c>
      <c r="E479" t="s">
        <v>1878</v>
      </c>
      <c r="F479" t="s">
        <v>2180</v>
      </c>
      <c r="G479" t="s">
        <v>2403</v>
      </c>
      <c r="H479" t="s">
        <v>3003</v>
      </c>
      <c r="I479" t="s">
        <v>3189</v>
      </c>
      <c r="J479" s="2">
        <v>0</v>
      </c>
      <c r="K479" s="2">
        <v>1237400</v>
      </c>
      <c r="L479" t="s">
        <v>3368</v>
      </c>
      <c r="M479" t="s">
        <v>3815</v>
      </c>
    </row>
    <row r="480" spans="1:13">
      <c r="A480" t="s">
        <v>22</v>
      </c>
      <c r="B480" s="1">
        <f>HYPERLINK("https://cordis.europa.eu/project/id/862957", "862957")</f>
        <v>0</v>
      </c>
      <c r="C480" t="s">
        <v>502</v>
      </c>
      <c r="D480" t="s">
        <v>1316</v>
      </c>
      <c r="E480" t="s">
        <v>1879</v>
      </c>
      <c r="F480" t="s">
        <v>2180</v>
      </c>
      <c r="G480" t="s">
        <v>2467</v>
      </c>
      <c r="H480" t="s">
        <v>2994</v>
      </c>
      <c r="I480" t="s">
        <v>3252</v>
      </c>
      <c r="J480" s="2">
        <v>0</v>
      </c>
      <c r="K480" s="2">
        <v>8179214.26</v>
      </c>
      <c r="L480" t="s">
        <v>3369</v>
      </c>
      <c r="M480" t="s">
        <v>3816</v>
      </c>
    </row>
    <row r="481" spans="1:13">
      <c r="A481" t="s">
        <v>22</v>
      </c>
      <c r="B481" s="1">
        <f>HYPERLINK("https://cordis.europa.eu/project/id/769929", "769929")</f>
        <v>0</v>
      </c>
      <c r="C481" t="s">
        <v>503</v>
      </c>
      <c r="D481" t="s">
        <v>1317</v>
      </c>
      <c r="E481" t="s">
        <v>1880</v>
      </c>
      <c r="F481" t="s">
        <v>2264</v>
      </c>
      <c r="G481" t="s">
        <v>2402</v>
      </c>
      <c r="H481" t="s">
        <v>2993</v>
      </c>
      <c r="I481" t="s">
        <v>3253</v>
      </c>
      <c r="J481" s="2">
        <v>339593.75</v>
      </c>
      <c r="K481" s="2">
        <v>4948026.25</v>
      </c>
      <c r="L481" t="s">
        <v>3368</v>
      </c>
      <c r="M481" t="s">
        <v>3817</v>
      </c>
    </row>
    <row r="482" spans="1:13">
      <c r="A482" t="s">
        <v>22</v>
      </c>
      <c r="B482" s="1">
        <f>HYPERLINK("https://cordis.europa.eu/project/id/676480", "676480")</f>
        <v>0</v>
      </c>
      <c r="C482" t="s">
        <v>504</v>
      </c>
      <c r="D482" t="s">
        <v>1318</v>
      </c>
      <c r="E482" t="s">
        <v>1881</v>
      </c>
      <c r="F482" t="s">
        <v>2236</v>
      </c>
      <c r="G482" t="s">
        <v>2475</v>
      </c>
      <c r="H482" t="s">
        <v>3002</v>
      </c>
      <c r="I482" t="s">
        <v>3195</v>
      </c>
      <c r="J482" s="2">
        <v>0</v>
      </c>
      <c r="K482" s="2">
        <v>3907754.64</v>
      </c>
      <c r="L482" t="s">
        <v>3369</v>
      </c>
      <c r="M482" t="s">
        <v>3818</v>
      </c>
    </row>
    <row r="483" spans="1:13">
      <c r="A483" t="s">
        <v>22</v>
      </c>
      <c r="B483" s="1">
        <f>HYPERLINK("https://cordis.europa.eu/project/id/101007299", "101007299")</f>
        <v>0</v>
      </c>
      <c r="C483" t="s">
        <v>505</v>
      </c>
      <c r="D483" t="s">
        <v>1319</v>
      </c>
      <c r="E483" t="s">
        <v>1882</v>
      </c>
      <c r="F483" t="s">
        <v>2218</v>
      </c>
      <c r="G483" t="s">
        <v>2487</v>
      </c>
      <c r="H483" t="s">
        <v>3003</v>
      </c>
      <c r="I483" t="s">
        <v>3216</v>
      </c>
      <c r="J483" s="2">
        <v>0</v>
      </c>
      <c r="K483" s="2">
        <v>1016600</v>
      </c>
      <c r="L483" t="s">
        <v>3368</v>
      </c>
      <c r="M483" t="s">
        <v>3819</v>
      </c>
    </row>
    <row r="484" spans="1:13">
      <c r="A484" t="s">
        <v>22</v>
      </c>
      <c r="B484" s="1">
        <f>HYPERLINK("https://cordis.europa.eu/project/id/796345", "796345")</f>
        <v>0</v>
      </c>
      <c r="C484" t="s">
        <v>506</v>
      </c>
      <c r="D484" t="s">
        <v>1320</v>
      </c>
      <c r="E484" t="s">
        <v>1883</v>
      </c>
      <c r="F484" t="s">
        <v>2253</v>
      </c>
      <c r="G484" t="s">
        <v>2474</v>
      </c>
      <c r="H484" t="s">
        <v>2998</v>
      </c>
      <c r="I484" t="s">
        <v>3160</v>
      </c>
      <c r="J484" s="2">
        <v>0</v>
      </c>
      <c r="K484" s="2">
        <v>228421.8</v>
      </c>
      <c r="L484" t="s">
        <v>3368</v>
      </c>
      <c r="M484" t="s">
        <v>3624</v>
      </c>
    </row>
    <row r="485" spans="1:13">
      <c r="A485" t="s">
        <v>22</v>
      </c>
      <c r="B485" s="1">
        <f>HYPERLINK("https://cordis.europa.eu/project/id/815439", "815439")</f>
        <v>0</v>
      </c>
      <c r="C485" t="s">
        <v>507</v>
      </c>
      <c r="D485" t="s">
        <v>1321</v>
      </c>
      <c r="E485" t="s">
        <v>1884</v>
      </c>
      <c r="F485" t="s">
        <v>2205</v>
      </c>
      <c r="G485" t="s">
        <v>2443</v>
      </c>
      <c r="H485" t="s">
        <v>2993</v>
      </c>
      <c r="I485" t="s">
        <v>3254</v>
      </c>
      <c r="J485" s="2">
        <v>50000</v>
      </c>
      <c r="K485" s="2">
        <v>6871188.73</v>
      </c>
      <c r="L485" t="s">
        <v>3369</v>
      </c>
      <c r="M485" t="s">
        <v>3820</v>
      </c>
    </row>
    <row r="486" spans="1:13">
      <c r="A486" t="s">
        <v>22</v>
      </c>
      <c r="B486" s="1">
        <f>HYPERLINK("https://cordis.europa.eu/project/id/101000213", "101000213")</f>
        <v>0</v>
      </c>
      <c r="C486" t="s">
        <v>508</v>
      </c>
      <c r="D486" t="s">
        <v>1322</v>
      </c>
      <c r="E486" t="s">
        <v>1885</v>
      </c>
      <c r="F486" t="s">
        <v>2187</v>
      </c>
      <c r="G486" t="s">
        <v>2398</v>
      </c>
      <c r="H486" t="s">
        <v>2993</v>
      </c>
      <c r="I486" t="s">
        <v>3229</v>
      </c>
      <c r="J486" s="2">
        <v>0</v>
      </c>
      <c r="K486" s="2">
        <v>9724763.75</v>
      </c>
      <c r="L486" t="s">
        <v>3371</v>
      </c>
      <c r="M486" t="s">
        <v>3821</v>
      </c>
    </row>
    <row r="487" spans="1:13">
      <c r="A487" t="s">
        <v>22</v>
      </c>
      <c r="B487" s="1">
        <f>HYPERLINK("https://cordis.europa.eu/project/id/746189", "746189")</f>
        <v>0</v>
      </c>
      <c r="C487" t="s">
        <v>509</v>
      </c>
      <c r="D487" t="s">
        <v>1323</v>
      </c>
      <c r="E487" t="s">
        <v>1886</v>
      </c>
      <c r="F487" t="s">
        <v>2267</v>
      </c>
      <c r="G487" t="s">
        <v>2493</v>
      </c>
      <c r="H487" t="s">
        <v>2998</v>
      </c>
      <c r="I487" t="s">
        <v>3159</v>
      </c>
      <c r="J487" s="2">
        <v>0</v>
      </c>
      <c r="K487" s="2">
        <v>171349.2</v>
      </c>
      <c r="L487" t="s">
        <v>3368</v>
      </c>
      <c r="M487" t="s">
        <v>3662</v>
      </c>
    </row>
    <row r="488" spans="1:13">
      <c r="A488" t="s">
        <v>22</v>
      </c>
      <c r="B488" s="1">
        <f>HYPERLINK("https://cordis.europa.eu/project/id/716515", "716515")</f>
        <v>0</v>
      </c>
      <c r="C488" t="s">
        <v>510</v>
      </c>
      <c r="D488" t="s">
        <v>1324</v>
      </c>
      <c r="E488" t="s">
        <v>1887</v>
      </c>
      <c r="F488" t="s">
        <v>2183</v>
      </c>
      <c r="G488" t="s">
        <v>2408</v>
      </c>
      <c r="H488" t="s">
        <v>3006</v>
      </c>
      <c r="I488" t="s">
        <v>3255</v>
      </c>
      <c r="J488" s="2">
        <v>131250</v>
      </c>
      <c r="K488" s="2">
        <v>1848685</v>
      </c>
      <c r="L488" t="s">
        <v>3368</v>
      </c>
      <c r="M488" t="s">
        <v>3389</v>
      </c>
    </row>
    <row r="489" spans="1:13">
      <c r="A489" t="s">
        <v>22</v>
      </c>
      <c r="B489" s="1">
        <f>HYPERLINK("https://cordis.europa.eu/project/id/798739", "798739")</f>
        <v>0</v>
      </c>
      <c r="C489" t="s">
        <v>511</v>
      </c>
      <c r="D489" t="s">
        <v>1325</v>
      </c>
      <c r="E489" t="s">
        <v>1674</v>
      </c>
      <c r="F489" t="s">
        <v>2239</v>
      </c>
      <c r="G489" t="s">
        <v>2474</v>
      </c>
      <c r="H489" t="s">
        <v>2998</v>
      </c>
      <c r="I489" t="s">
        <v>3160</v>
      </c>
      <c r="J489" s="2">
        <v>0</v>
      </c>
      <c r="K489" s="2">
        <v>204430.4</v>
      </c>
      <c r="L489" t="s">
        <v>3368</v>
      </c>
      <c r="M489" t="s">
        <v>3822</v>
      </c>
    </row>
    <row r="490" spans="1:13">
      <c r="A490" t="s">
        <v>22</v>
      </c>
      <c r="B490" s="1">
        <f>HYPERLINK("https://cordis.europa.eu/project/id/734708", "734708")</f>
        <v>0</v>
      </c>
      <c r="C490" t="s">
        <v>512</v>
      </c>
      <c r="D490" t="s">
        <v>1326</v>
      </c>
      <c r="E490" t="s">
        <v>1888</v>
      </c>
      <c r="F490" t="s">
        <v>1688</v>
      </c>
      <c r="G490" t="s">
        <v>2472</v>
      </c>
      <c r="H490" t="s">
        <v>3003</v>
      </c>
      <c r="I490" t="s">
        <v>3177</v>
      </c>
      <c r="J490" s="2">
        <v>0</v>
      </c>
      <c r="K490" s="2">
        <v>1602000</v>
      </c>
      <c r="L490" t="s">
        <v>3368</v>
      </c>
      <c r="M490" t="s">
        <v>3823</v>
      </c>
    </row>
    <row r="491" spans="1:13">
      <c r="A491" t="s">
        <v>22</v>
      </c>
      <c r="B491" s="1">
        <f>HYPERLINK("https://cordis.europa.eu/project/id/676876", "676876")</f>
        <v>0</v>
      </c>
      <c r="C491" t="s">
        <v>513</v>
      </c>
      <c r="D491" t="s">
        <v>1327</v>
      </c>
      <c r="E491" t="s">
        <v>1807</v>
      </c>
      <c r="F491" t="s">
        <v>2249</v>
      </c>
      <c r="G491" t="s">
        <v>2390</v>
      </c>
      <c r="H491" t="s">
        <v>2993</v>
      </c>
      <c r="I491" t="s">
        <v>3256</v>
      </c>
      <c r="J491" s="2">
        <v>0</v>
      </c>
      <c r="K491" s="2">
        <v>6700000</v>
      </c>
      <c r="L491" t="s">
        <v>3369</v>
      </c>
      <c r="M491" t="s">
        <v>3824</v>
      </c>
    </row>
    <row r="492" spans="1:13">
      <c r="A492" t="s">
        <v>22</v>
      </c>
      <c r="B492" s="1">
        <f>HYPERLINK("https://cordis.europa.eu/project/id/101007950", "101007950")</f>
        <v>0</v>
      </c>
      <c r="C492" t="s">
        <v>514</v>
      </c>
      <c r="D492" t="s">
        <v>1328</v>
      </c>
      <c r="E492" t="s">
        <v>1889</v>
      </c>
      <c r="F492" t="s">
        <v>2213</v>
      </c>
      <c r="G492" t="s">
        <v>2494</v>
      </c>
      <c r="H492" t="s">
        <v>3003</v>
      </c>
      <c r="I492" t="s">
        <v>3216</v>
      </c>
      <c r="J492" s="2">
        <v>0</v>
      </c>
      <c r="K492" s="2">
        <v>2212600</v>
      </c>
      <c r="L492" t="s">
        <v>3368</v>
      </c>
      <c r="M492" t="s">
        <v>3825</v>
      </c>
    </row>
    <row r="493" spans="1:13">
      <c r="A493" t="s">
        <v>22</v>
      </c>
      <c r="B493" s="1">
        <f>HYPERLINK("https://cordis.europa.eu/project/id/101031553", "101031553")</f>
        <v>0</v>
      </c>
      <c r="C493" t="s">
        <v>515</v>
      </c>
      <c r="D493" t="s">
        <v>1329</v>
      </c>
      <c r="E493" t="s">
        <v>1855</v>
      </c>
      <c r="F493" t="s">
        <v>2241</v>
      </c>
      <c r="G493" t="s">
        <v>2428</v>
      </c>
      <c r="H493" t="s">
        <v>2997</v>
      </c>
      <c r="I493" t="s">
        <v>3166</v>
      </c>
      <c r="J493" s="2">
        <v>0</v>
      </c>
      <c r="K493" s="2">
        <v>214760.16</v>
      </c>
      <c r="L493" t="s">
        <v>3368</v>
      </c>
      <c r="M493" t="s">
        <v>3609</v>
      </c>
    </row>
    <row r="494" spans="1:13">
      <c r="A494" t="s">
        <v>22</v>
      </c>
      <c r="B494" s="1">
        <f>HYPERLINK("https://cordis.europa.eu/project/id/951477", "951477")</f>
        <v>0</v>
      </c>
      <c r="C494" t="s">
        <v>516</v>
      </c>
      <c r="D494" t="s">
        <v>1330</v>
      </c>
      <c r="E494" t="s">
        <v>1890</v>
      </c>
      <c r="F494" t="s">
        <v>2216</v>
      </c>
      <c r="G494" t="s">
        <v>2495</v>
      </c>
      <c r="H494" t="s">
        <v>3009</v>
      </c>
      <c r="I494" t="s">
        <v>3238</v>
      </c>
      <c r="J494" s="2">
        <v>3179640</v>
      </c>
      <c r="K494" s="2">
        <v>9559650</v>
      </c>
      <c r="L494" t="s">
        <v>3368</v>
      </c>
      <c r="M494" t="s">
        <v>3826</v>
      </c>
    </row>
    <row r="495" spans="1:13">
      <c r="A495" t="s">
        <v>22</v>
      </c>
      <c r="B495" s="1">
        <f>HYPERLINK("https://cordis.europa.eu/project/id/680966", "680966")</f>
        <v>0</v>
      </c>
      <c r="C495" t="s">
        <v>517</v>
      </c>
      <c r="D495" t="s">
        <v>1331</v>
      </c>
      <c r="E495" t="s">
        <v>1891</v>
      </c>
      <c r="F495" t="s">
        <v>2188</v>
      </c>
      <c r="G495" t="s">
        <v>2433</v>
      </c>
      <c r="H495" t="s">
        <v>2992</v>
      </c>
      <c r="I495" t="s">
        <v>3226</v>
      </c>
      <c r="J495" s="2">
        <v>0</v>
      </c>
      <c r="K495" s="2">
        <v>6772342.5</v>
      </c>
      <c r="L495" t="s">
        <v>3368</v>
      </c>
      <c r="M495" t="s">
        <v>3827</v>
      </c>
    </row>
    <row r="496" spans="1:13">
      <c r="A496" t="s">
        <v>22</v>
      </c>
      <c r="B496" s="1">
        <f>HYPERLINK("https://cordis.europa.eu/project/id/643417", "643417")</f>
        <v>0</v>
      </c>
      <c r="C496" t="s">
        <v>518</v>
      </c>
      <c r="D496" t="s">
        <v>1332</v>
      </c>
      <c r="E496" t="s">
        <v>1658</v>
      </c>
      <c r="F496" t="s">
        <v>2222</v>
      </c>
      <c r="G496" t="s">
        <v>2399</v>
      </c>
      <c r="H496" t="s">
        <v>2992</v>
      </c>
      <c r="I496" t="s">
        <v>3147</v>
      </c>
      <c r="J496" s="2">
        <v>0</v>
      </c>
      <c r="K496" s="2">
        <v>9999999.98</v>
      </c>
      <c r="L496" t="s">
        <v>3368</v>
      </c>
      <c r="M496" t="s">
        <v>3828</v>
      </c>
    </row>
    <row r="497" spans="1:13">
      <c r="A497" t="s">
        <v>22</v>
      </c>
      <c r="B497" s="1">
        <f>HYPERLINK("https://cordis.europa.eu/project/id/839511", "839511")</f>
        <v>0</v>
      </c>
      <c r="C497" t="s">
        <v>519</v>
      </c>
      <c r="D497" t="s">
        <v>1333</v>
      </c>
      <c r="E497" t="s">
        <v>1678</v>
      </c>
      <c r="F497" t="s">
        <v>2268</v>
      </c>
      <c r="G497" t="s">
        <v>2496</v>
      </c>
      <c r="H497" t="s">
        <v>2997</v>
      </c>
      <c r="I497" t="s">
        <v>3158</v>
      </c>
      <c r="J497" s="2">
        <v>0</v>
      </c>
      <c r="K497" s="2">
        <v>251353.92</v>
      </c>
      <c r="L497" t="s">
        <v>3369</v>
      </c>
      <c r="M497" t="s">
        <v>3829</v>
      </c>
    </row>
    <row r="498" spans="1:13">
      <c r="A498" t="s">
        <v>22</v>
      </c>
      <c r="B498" s="1">
        <f>HYPERLINK("https://cordis.europa.eu/project/id/704951", "704951")</f>
        <v>0</v>
      </c>
      <c r="C498" t="s">
        <v>520</v>
      </c>
      <c r="D498" t="s">
        <v>1334</v>
      </c>
      <c r="E498" t="s">
        <v>1892</v>
      </c>
      <c r="F498" t="s">
        <v>2210</v>
      </c>
      <c r="G498" t="s">
        <v>2321</v>
      </c>
      <c r="H498" t="s">
        <v>2998</v>
      </c>
      <c r="I498" t="s">
        <v>3164</v>
      </c>
      <c r="J498" s="2">
        <v>0</v>
      </c>
      <c r="K498" s="2">
        <v>165211.2</v>
      </c>
      <c r="L498" t="s">
        <v>3368</v>
      </c>
      <c r="M498" t="s">
        <v>3603</v>
      </c>
    </row>
    <row r="499" spans="1:13">
      <c r="A499" t="s">
        <v>22</v>
      </c>
      <c r="B499" s="1">
        <f>HYPERLINK("https://cordis.europa.eu/project/id/838296", "838296")</f>
        <v>0</v>
      </c>
      <c r="C499" t="s">
        <v>521</v>
      </c>
      <c r="D499" t="s">
        <v>1335</v>
      </c>
      <c r="E499" t="s">
        <v>1719</v>
      </c>
      <c r="F499" t="s">
        <v>2269</v>
      </c>
      <c r="G499" t="s">
        <v>2497</v>
      </c>
      <c r="H499" t="s">
        <v>2997</v>
      </c>
      <c r="I499" t="s">
        <v>3158</v>
      </c>
      <c r="J499" s="2">
        <v>0</v>
      </c>
      <c r="K499" s="2">
        <v>276498.24</v>
      </c>
      <c r="L499" t="s">
        <v>3368</v>
      </c>
      <c r="M499" t="s">
        <v>3739</v>
      </c>
    </row>
    <row r="500" spans="1:13">
      <c r="A500" t="s">
        <v>22</v>
      </c>
      <c r="B500" s="1">
        <f>HYPERLINK("https://cordis.europa.eu/project/id/839243", "839243")</f>
        <v>0</v>
      </c>
      <c r="C500" t="s">
        <v>522</v>
      </c>
      <c r="D500" t="s">
        <v>1336</v>
      </c>
      <c r="E500" t="s">
        <v>1736</v>
      </c>
      <c r="F500" t="s">
        <v>2191</v>
      </c>
      <c r="G500" t="s">
        <v>2406</v>
      </c>
      <c r="H500" t="s">
        <v>2997</v>
      </c>
      <c r="I500" t="s">
        <v>3158</v>
      </c>
      <c r="J500" s="2">
        <v>0</v>
      </c>
      <c r="K500" s="2">
        <v>242521.68</v>
      </c>
      <c r="L500" t="s">
        <v>3368</v>
      </c>
      <c r="M500" t="s">
        <v>3830</v>
      </c>
    </row>
    <row r="501" spans="1:13">
      <c r="A501" t="s">
        <v>22</v>
      </c>
      <c r="B501" s="1">
        <f>HYPERLINK("https://cordis.europa.eu/project/id/657544", "657544")</f>
        <v>0</v>
      </c>
      <c r="C501" t="s">
        <v>523</v>
      </c>
      <c r="D501" t="s">
        <v>1337</v>
      </c>
      <c r="E501" t="s">
        <v>1893</v>
      </c>
      <c r="F501" t="s">
        <v>2270</v>
      </c>
      <c r="G501" t="s">
        <v>2498</v>
      </c>
      <c r="H501" t="s">
        <v>2998</v>
      </c>
      <c r="I501" t="s">
        <v>3165</v>
      </c>
      <c r="J501" s="2">
        <v>0</v>
      </c>
      <c r="K501" s="2">
        <v>243352.8</v>
      </c>
      <c r="L501" t="s">
        <v>3368</v>
      </c>
      <c r="M501" t="s">
        <v>3621</v>
      </c>
    </row>
    <row r="502" spans="1:13">
      <c r="A502" t="s">
        <v>22</v>
      </c>
      <c r="B502" s="1">
        <f>HYPERLINK("https://cordis.europa.eu/project/id/890200", "890200")</f>
        <v>0</v>
      </c>
      <c r="C502" t="s">
        <v>524</v>
      </c>
      <c r="D502" t="s">
        <v>1338</v>
      </c>
      <c r="E502" t="s">
        <v>1894</v>
      </c>
      <c r="F502" t="s">
        <v>2231</v>
      </c>
      <c r="G502" t="s">
        <v>2486</v>
      </c>
      <c r="H502" t="s">
        <v>2997</v>
      </c>
      <c r="I502" t="s">
        <v>3162</v>
      </c>
      <c r="J502" s="2">
        <v>0</v>
      </c>
      <c r="K502" s="2">
        <v>247606.08</v>
      </c>
      <c r="L502" t="s">
        <v>3368</v>
      </c>
      <c r="M502" t="s">
        <v>3831</v>
      </c>
    </row>
    <row r="503" spans="1:13">
      <c r="A503" t="s">
        <v>22</v>
      </c>
      <c r="B503" s="1">
        <f>HYPERLINK("https://cordis.europa.eu/project/id/643087", "643087")</f>
        <v>0</v>
      </c>
      <c r="C503" t="s">
        <v>525</v>
      </c>
      <c r="D503" t="s">
        <v>1339</v>
      </c>
      <c r="E503" t="s">
        <v>1895</v>
      </c>
      <c r="F503" t="s">
        <v>2222</v>
      </c>
      <c r="G503" t="s">
        <v>2387</v>
      </c>
      <c r="H503" t="s">
        <v>3002</v>
      </c>
      <c r="I503" t="s">
        <v>3188</v>
      </c>
      <c r="J503" s="2">
        <v>0</v>
      </c>
      <c r="K503" s="2">
        <v>3348716.78</v>
      </c>
      <c r="L503" t="s">
        <v>3368</v>
      </c>
      <c r="M503" t="s">
        <v>3832</v>
      </c>
    </row>
    <row r="504" spans="1:13">
      <c r="A504" t="s">
        <v>22</v>
      </c>
      <c r="B504" s="1">
        <f>HYPERLINK("https://cordis.europa.eu/project/id/706754", "706754")</f>
        <v>0</v>
      </c>
      <c r="C504" t="s">
        <v>526</v>
      </c>
      <c r="D504" t="s">
        <v>1340</v>
      </c>
      <c r="E504" t="s">
        <v>1896</v>
      </c>
      <c r="F504" t="s">
        <v>2256</v>
      </c>
      <c r="G504" t="s">
        <v>2447</v>
      </c>
      <c r="H504" t="s">
        <v>2998</v>
      </c>
      <c r="I504" t="s">
        <v>3164</v>
      </c>
      <c r="J504" s="2">
        <v>0</v>
      </c>
      <c r="K504" s="2">
        <v>176115.15</v>
      </c>
      <c r="L504" t="s">
        <v>3369</v>
      </c>
      <c r="M504" t="s">
        <v>3833</v>
      </c>
    </row>
    <row r="505" spans="1:13">
      <c r="A505" t="s">
        <v>22</v>
      </c>
      <c r="B505" s="1">
        <f>HYPERLINK("https://cordis.europa.eu/project/id/101007633", "101007633")</f>
        <v>0</v>
      </c>
      <c r="C505" t="s">
        <v>527</v>
      </c>
      <c r="D505" t="s">
        <v>1341</v>
      </c>
      <c r="E505" t="s">
        <v>1743</v>
      </c>
      <c r="F505" t="s">
        <v>2187</v>
      </c>
      <c r="G505" t="s">
        <v>2499</v>
      </c>
      <c r="H505" t="s">
        <v>3003</v>
      </c>
      <c r="I505" t="s">
        <v>3216</v>
      </c>
      <c r="J505" s="2">
        <v>0</v>
      </c>
      <c r="K505" s="2">
        <v>1140800</v>
      </c>
      <c r="L505" t="s">
        <v>3368</v>
      </c>
      <c r="M505" t="s">
        <v>3834</v>
      </c>
    </row>
    <row r="506" spans="1:13">
      <c r="A506" t="s">
        <v>22</v>
      </c>
      <c r="B506" s="1">
        <f>HYPERLINK("https://cordis.europa.eu/project/id/831852", "831852")</f>
        <v>0</v>
      </c>
      <c r="C506" t="s">
        <v>528</v>
      </c>
      <c r="D506" t="s">
        <v>1342</v>
      </c>
      <c r="E506" t="s">
        <v>1897</v>
      </c>
      <c r="F506" t="s">
        <v>1765</v>
      </c>
      <c r="G506" t="s">
        <v>2434</v>
      </c>
      <c r="H506" t="s">
        <v>2997</v>
      </c>
      <c r="I506" t="s">
        <v>3158</v>
      </c>
      <c r="J506" s="2">
        <v>0</v>
      </c>
      <c r="K506" s="2">
        <v>244385.28</v>
      </c>
      <c r="L506" t="s">
        <v>3368</v>
      </c>
      <c r="M506" t="s">
        <v>3835</v>
      </c>
    </row>
    <row r="507" spans="1:13">
      <c r="A507" t="s">
        <v>22</v>
      </c>
      <c r="B507" s="1">
        <f>HYPERLINK("https://cordis.europa.eu/project/id/875189", "875189")</f>
        <v>0</v>
      </c>
      <c r="C507" t="s">
        <v>529</v>
      </c>
      <c r="D507" t="s">
        <v>1343</v>
      </c>
      <c r="E507" t="s">
        <v>1864</v>
      </c>
      <c r="F507" t="s">
        <v>2180</v>
      </c>
      <c r="G507" t="s">
        <v>2417</v>
      </c>
      <c r="H507" t="s">
        <v>2993</v>
      </c>
      <c r="I507" t="s">
        <v>3257</v>
      </c>
      <c r="J507" s="2">
        <v>500550</v>
      </c>
      <c r="K507" s="2">
        <v>7875406.25</v>
      </c>
      <c r="L507" t="s">
        <v>3368</v>
      </c>
      <c r="M507" t="s">
        <v>3836</v>
      </c>
    </row>
    <row r="508" spans="1:13">
      <c r="A508" t="s">
        <v>22</v>
      </c>
      <c r="B508" s="1">
        <f>HYPERLINK("https://cordis.europa.eu/project/id/884565", "884565")</f>
        <v>0</v>
      </c>
      <c r="C508" t="s">
        <v>530</v>
      </c>
      <c r="D508" t="s">
        <v>1344</v>
      </c>
      <c r="E508" t="s">
        <v>1898</v>
      </c>
      <c r="F508" t="s">
        <v>2265</v>
      </c>
      <c r="G508" t="s">
        <v>2451</v>
      </c>
      <c r="H508" t="s">
        <v>2993</v>
      </c>
      <c r="I508" t="s">
        <v>3183</v>
      </c>
      <c r="J508" s="2">
        <v>0</v>
      </c>
      <c r="K508" s="2">
        <v>2996188.75</v>
      </c>
      <c r="L508" t="s">
        <v>3368</v>
      </c>
      <c r="M508" t="s">
        <v>3837</v>
      </c>
    </row>
    <row r="509" spans="1:13">
      <c r="A509" t="s">
        <v>22</v>
      </c>
      <c r="B509" s="1">
        <f>HYPERLINK("https://cordis.europa.eu/project/id/705913", "705913")</f>
        <v>0</v>
      </c>
      <c r="C509" t="s">
        <v>531</v>
      </c>
      <c r="D509" t="s">
        <v>1345</v>
      </c>
      <c r="E509" t="s">
        <v>1853</v>
      </c>
      <c r="F509" t="s">
        <v>2225</v>
      </c>
      <c r="G509" t="s">
        <v>1679</v>
      </c>
      <c r="H509" t="s">
        <v>2998</v>
      </c>
      <c r="I509" t="s">
        <v>3164</v>
      </c>
      <c r="J509" s="2">
        <v>0</v>
      </c>
      <c r="K509" s="2">
        <v>232160.4</v>
      </c>
      <c r="L509" t="s">
        <v>3368</v>
      </c>
      <c r="M509" t="s">
        <v>3389</v>
      </c>
    </row>
    <row r="510" spans="1:13">
      <c r="A510" t="s">
        <v>22</v>
      </c>
      <c r="B510" s="1">
        <f>HYPERLINK("https://cordis.europa.eu/project/id/659571", "659571")</f>
        <v>0</v>
      </c>
      <c r="C510" t="s">
        <v>532</v>
      </c>
      <c r="D510" t="s">
        <v>1346</v>
      </c>
      <c r="E510" t="s">
        <v>1899</v>
      </c>
      <c r="F510" t="s">
        <v>2271</v>
      </c>
      <c r="G510" t="s">
        <v>2204</v>
      </c>
      <c r="H510" t="s">
        <v>2998</v>
      </c>
      <c r="I510" t="s">
        <v>3165</v>
      </c>
      <c r="J510" s="2">
        <v>0</v>
      </c>
      <c r="K510" s="2">
        <v>255349.8</v>
      </c>
      <c r="L510" t="s">
        <v>3368</v>
      </c>
      <c r="M510" t="s">
        <v>3739</v>
      </c>
    </row>
    <row r="511" spans="1:13">
      <c r="A511" t="s">
        <v>22</v>
      </c>
      <c r="B511" s="1">
        <f>HYPERLINK("https://cordis.europa.eu/project/id/691119", "691119")</f>
        <v>0</v>
      </c>
      <c r="C511" t="s">
        <v>533</v>
      </c>
      <c r="D511" t="s">
        <v>1347</v>
      </c>
      <c r="E511" t="s">
        <v>1900</v>
      </c>
      <c r="F511" t="s">
        <v>2185</v>
      </c>
      <c r="G511" t="s">
        <v>2438</v>
      </c>
      <c r="H511" t="s">
        <v>3003</v>
      </c>
      <c r="I511" t="s">
        <v>3176</v>
      </c>
      <c r="J511" s="2">
        <v>0</v>
      </c>
      <c r="K511" s="2">
        <v>310500</v>
      </c>
      <c r="L511" t="s">
        <v>3368</v>
      </c>
      <c r="M511" t="s">
        <v>3838</v>
      </c>
    </row>
    <row r="512" spans="1:13">
      <c r="A512" t="s">
        <v>22</v>
      </c>
      <c r="B512" s="1">
        <f>HYPERLINK("https://cordis.europa.eu/project/id/101005142", "101005142")</f>
        <v>0</v>
      </c>
      <c r="C512" t="s">
        <v>534</v>
      </c>
      <c r="D512" t="s">
        <v>1348</v>
      </c>
      <c r="E512" t="s">
        <v>1901</v>
      </c>
      <c r="F512" t="s">
        <v>2262</v>
      </c>
      <c r="G512" t="s">
        <v>2406</v>
      </c>
      <c r="H512" t="s">
        <v>2993</v>
      </c>
      <c r="I512" t="s">
        <v>3258</v>
      </c>
      <c r="J512" s="2">
        <v>438376.25</v>
      </c>
      <c r="K512" s="2">
        <v>3662963</v>
      </c>
      <c r="L512" t="s">
        <v>3368</v>
      </c>
      <c r="M512" t="s">
        <v>3839</v>
      </c>
    </row>
    <row r="513" spans="1:13">
      <c r="A513" t="s">
        <v>22</v>
      </c>
      <c r="B513" s="1">
        <f>HYPERLINK("https://cordis.europa.eu/project/id/896248", "896248")</f>
        <v>0</v>
      </c>
      <c r="C513" t="s">
        <v>535</v>
      </c>
      <c r="D513" t="s">
        <v>1349</v>
      </c>
      <c r="E513" t="s">
        <v>1782</v>
      </c>
      <c r="F513" t="s">
        <v>2216</v>
      </c>
      <c r="G513" t="s">
        <v>2428</v>
      </c>
      <c r="H513" t="s">
        <v>2997</v>
      </c>
      <c r="I513" t="s">
        <v>3162</v>
      </c>
      <c r="J513" s="2">
        <v>0</v>
      </c>
      <c r="K513" s="2">
        <v>255768</v>
      </c>
      <c r="L513" t="s">
        <v>3368</v>
      </c>
      <c r="M513" t="s">
        <v>3840</v>
      </c>
    </row>
    <row r="514" spans="1:13">
      <c r="A514" t="s">
        <v>22</v>
      </c>
      <c r="B514" s="1">
        <f>HYPERLINK("https://cordis.europa.eu/project/id/778360", "778360")</f>
        <v>0</v>
      </c>
      <c r="C514" t="s">
        <v>536</v>
      </c>
      <c r="D514" t="s">
        <v>1350</v>
      </c>
      <c r="E514" t="s">
        <v>1902</v>
      </c>
      <c r="F514" t="s">
        <v>2207</v>
      </c>
      <c r="G514" t="s">
        <v>2412</v>
      </c>
      <c r="H514" t="s">
        <v>3003</v>
      </c>
      <c r="I514" t="s">
        <v>3173</v>
      </c>
      <c r="J514" s="2">
        <v>0</v>
      </c>
      <c r="K514" s="2">
        <v>2016000</v>
      </c>
      <c r="L514" t="s">
        <v>3369</v>
      </c>
      <c r="M514" t="s">
        <v>3841</v>
      </c>
    </row>
    <row r="515" spans="1:13">
      <c r="A515" t="s">
        <v>22</v>
      </c>
      <c r="B515" s="1">
        <f>HYPERLINK("https://cordis.europa.eu/project/id/727890", "727890")</f>
        <v>0</v>
      </c>
      <c r="C515" t="s">
        <v>537</v>
      </c>
      <c r="D515" t="s">
        <v>1351</v>
      </c>
      <c r="E515" t="s">
        <v>1903</v>
      </c>
      <c r="F515" t="s">
        <v>2250</v>
      </c>
      <c r="G515" t="s">
        <v>2416</v>
      </c>
      <c r="H515" t="s">
        <v>2993</v>
      </c>
      <c r="I515" t="s">
        <v>3239</v>
      </c>
      <c r="J515" s="2">
        <v>0</v>
      </c>
      <c r="K515" s="2">
        <v>15490066.78</v>
      </c>
      <c r="L515" t="s">
        <v>3368</v>
      </c>
      <c r="M515" t="s">
        <v>3842</v>
      </c>
    </row>
    <row r="516" spans="1:13">
      <c r="A516" t="s">
        <v>22</v>
      </c>
      <c r="B516" s="1">
        <f>HYPERLINK("https://cordis.europa.eu/project/id/862428", "862428")</f>
        <v>0</v>
      </c>
      <c r="C516" t="s">
        <v>538</v>
      </c>
      <c r="D516" t="s">
        <v>1352</v>
      </c>
      <c r="E516" t="s">
        <v>1904</v>
      </c>
      <c r="F516" t="s">
        <v>2201</v>
      </c>
      <c r="G516" t="s">
        <v>2424</v>
      </c>
      <c r="H516" t="s">
        <v>2993</v>
      </c>
      <c r="I516" t="s">
        <v>3259</v>
      </c>
      <c r="J516" s="2">
        <v>0</v>
      </c>
      <c r="K516" s="2">
        <v>11501717.5</v>
      </c>
      <c r="L516" t="s">
        <v>3368</v>
      </c>
      <c r="M516" t="s">
        <v>3843</v>
      </c>
    </row>
    <row r="517" spans="1:13">
      <c r="A517" t="s">
        <v>22</v>
      </c>
      <c r="B517" s="1">
        <f>HYPERLINK("https://cordis.europa.eu/project/id/101022432", "101022432")</f>
        <v>0</v>
      </c>
      <c r="C517" t="s">
        <v>539</v>
      </c>
      <c r="D517" t="s">
        <v>1353</v>
      </c>
      <c r="E517" t="s">
        <v>1860</v>
      </c>
      <c r="F517" t="s">
        <v>2261</v>
      </c>
      <c r="G517" t="s">
        <v>2400</v>
      </c>
      <c r="H517" t="s">
        <v>2993</v>
      </c>
      <c r="I517" t="s">
        <v>3167</v>
      </c>
      <c r="J517" s="2">
        <v>0</v>
      </c>
      <c r="K517" s="2">
        <v>4230810</v>
      </c>
      <c r="L517" t="s">
        <v>3368</v>
      </c>
      <c r="M517" t="s">
        <v>3844</v>
      </c>
    </row>
    <row r="518" spans="1:13">
      <c r="A518" t="s">
        <v>22</v>
      </c>
      <c r="B518" s="1">
        <f>HYPERLINK("https://cordis.europa.eu/project/id/691213", "691213")</f>
        <v>0</v>
      </c>
      <c r="C518" t="s">
        <v>540</v>
      </c>
      <c r="D518" t="s">
        <v>1354</v>
      </c>
      <c r="E518" t="s">
        <v>1905</v>
      </c>
      <c r="F518" t="s">
        <v>2188</v>
      </c>
      <c r="G518" t="s">
        <v>2436</v>
      </c>
      <c r="H518" t="s">
        <v>3003</v>
      </c>
      <c r="I518" t="s">
        <v>3176</v>
      </c>
      <c r="J518" s="2">
        <v>0</v>
      </c>
      <c r="K518" s="2">
        <v>909000</v>
      </c>
      <c r="L518" t="s">
        <v>3368</v>
      </c>
      <c r="M518" t="s">
        <v>3845</v>
      </c>
    </row>
    <row r="519" spans="1:13">
      <c r="A519" t="s">
        <v>22</v>
      </c>
      <c r="B519" s="1">
        <f>HYPERLINK("https://cordis.europa.eu/project/id/777822", "777822")</f>
        <v>0</v>
      </c>
      <c r="C519" t="s">
        <v>541</v>
      </c>
      <c r="D519" t="s">
        <v>1355</v>
      </c>
      <c r="E519" t="s">
        <v>1906</v>
      </c>
      <c r="F519" t="s">
        <v>2264</v>
      </c>
      <c r="G519" t="s">
        <v>2434</v>
      </c>
      <c r="H519" t="s">
        <v>3003</v>
      </c>
      <c r="I519" t="s">
        <v>3173</v>
      </c>
      <c r="J519" s="2">
        <v>0</v>
      </c>
      <c r="K519" s="2">
        <v>1782000</v>
      </c>
      <c r="L519" t="s">
        <v>3368</v>
      </c>
      <c r="M519" t="s">
        <v>3846</v>
      </c>
    </row>
    <row r="520" spans="1:13">
      <c r="A520" t="s">
        <v>22</v>
      </c>
      <c r="B520" s="1">
        <f>HYPERLINK("https://cordis.europa.eu/project/id/700386", "700386")</f>
        <v>0</v>
      </c>
      <c r="C520" t="s">
        <v>542</v>
      </c>
      <c r="D520" t="s">
        <v>1356</v>
      </c>
      <c r="E520" t="s">
        <v>1907</v>
      </c>
      <c r="F520" t="s">
        <v>2190</v>
      </c>
      <c r="G520" t="s">
        <v>2490</v>
      </c>
      <c r="H520" t="s">
        <v>2998</v>
      </c>
      <c r="I520" t="s">
        <v>3164</v>
      </c>
      <c r="J520" s="2">
        <v>0</v>
      </c>
      <c r="K520" s="2">
        <v>257017.35</v>
      </c>
      <c r="L520" t="s">
        <v>3369</v>
      </c>
      <c r="M520" t="s">
        <v>3847</v>
      </c>
    </row>
    <row r="521" spans="1:13">
      <c r="A521" t="s">
        <v>22</v>
      </c>
      <c r="B521" s="1">
        <f>HYPERLINK("https://cordis.europa.eu/project/id/101007855", "101007855")</f>
        <v>0</v>
      </c>
      <c r="C521" t="s">
        <v>543</v>
      </c>
      <c r="D521" t="s">
        <v>1357</v>
      </c>
      <c r="E521" t="s">
        <v>1908</v>
      </c>
      <c r="F521" t="s">
        <v>2187</v>
      </c>
      <c r="G521" t="s">
        <v>2500</v>
      </c>
      <c r="H521" t="s">
        <v>3003</v>
      </c>
      <c r="I521" t="s">
        <v>3216</v>
      </c>
      <c r="J521" s="2">
        <v>0</v>
      </c>
      <c r="K521" s="2">
        <v>280600</v>
      </c>
      <c r="L521" t="s">
        <v>3368</v>
      </c>
      <c r="M521" t="s">
        <v>3848</v>
      </c>
    </row>
    <row r="522" spans="1:13">
      <c r="A522" t="s">
        <v>22</v>
      </c>
      <c r="B522" s="1">
        <f>HYPERLINK("https://cordis.europa.eu/project/id/101030595", "101030595")</f>
        <v>0</v>
      </c>
      <c r="C522" t="s">
        <v>544</v>
      </c>
      <c r="D522" t="s">
        <v>1358</v>
      </c>
      <c r="E522" t="s">
        <v>1692</v>
      </c>
      <c r="F522" t="s">
        <v>2272</v>
      </c>
      <c r="G522" t="s">
        <v>2501</v>
      </c>
      <c r="H522" t="s">
        <v>2997</v>
      </c>
      <c r="I522" t="s">
        <v>3166</v>
      </c>
      <c r="J522" s="2">
        <v>0</v>
      </c>
      <c r="K522" s="2">
        <v>276498.24</v>
      </c>
      <c r="L522" t="s">
        <v>3368</v>
      </c>
      <c r="M522" t="s">
        <v>3739</v>
      </c>
    </row>
    <row r="523" spans="1:13">
      <c r="A523" t="s">
        <v>22</v>
      </c>
      <c r="B523" s="1">
        <f>HYPERLINK("https://cordis.europa.eu/project/id/101007705", "101007705")</f>
        <v>0</v>
      </c>
      <c r="C523" t="s">
        <v>545</v>
      </c>
      <c r="D523" t="s">
        <v>1359</v>
      </c>
      <c r="E523" t="s">
        <v>1810</v>
      </c>
      <c r="F523" t="s">
        <v>2193</v>
      </c>
      <c r="G523" t="s">
        <v>2488</v>
      </c>
      <c r="H523" t="s">
        <v>3003</v>
      </c>
      <c r="I523" t="s">
        <v>3216</v>
      </c>
      <c r="J523" s="2">
        <v>0</v>
      </c>
      <c r="K523" s="2">
        <v>662400</v>
      </c>
      <c r="L523" t="s">
        <v>3368</v>
      </c>
      <c r="M523" t="s">
        <v>3849</v>
      </c>
    </row>
    <row r="524" spans="1:13">
      <c r="A524" t="s">
        <v>22</v>
      </c>
      <c r="B524" s="1">
        <f>HYPERLINK("https://cordis.europa.eu/project/id/101007990", "101007990")</f>
        <v>0</v>
      </c>
      <c r="C524" t="s">
        <v>546</v>
      </c>
      <c r="D524" t="s">
        <v>1360</v>
      </c>
      <c r="E524" t="s">
        <v>1851</v>
      </c>
      <c r="F524" t="s">
        <v>2243</v>
      </c>
      <c r="G524" t="s">
        <v>2435</v>
      </c>
      <c r="H524" t="s">
        <v>2993</v>
      </c>
      <c r="I524" t="s">
        <v>3237</v>
      </c>
      <c r="J524" s="2">
        <v>138875</v>
      </c>
      <c r="K524" s="2">
        <v>4999262.5</v>
      </c>
      <c r="L524" t="s">
        <v>3368</v>
      </c>
      <c r="M524" t="s">
        <v>3850</v>
      </c>
    </row>
    <row r="525" spans="1:13">
      <c r="A525" t="s">
        <v>22</v>
      </c>
      <c r="B525" s="1">
        <f>HYPERLINK("https://cordis.europa.eu/project/id/824989", "824989")</f>
        <v>0</v>
      </c>
      <c r="C525" t="s">
        <v>547</v>
      </c>
      <c r="D525" t="s">
        <v>1361</v>
      </c>
      <c r="E525" t="s">
        <v>1760</v>
      </c>
      <c r="F525" t="s">
        <v>2189</v>
      </c>
      <c r="G525" t="s">
        <v>2417</v>
      </c>
      <c r="H525" t="s">
        <v>2993</v>
      </c>
      <c r="I525" t="s">
        <v>3152</v>
      </c>
      <c r="J525" s="2">
        <v>0</v>
      </c>
      <c r="K525" s="2">
        <v>5999703.75</v>
      </c>
      <c r="L525" t="s">
        <v>3368</v>
      </c>
      <c r="M525" t="s">
        <v>3851</v>
      </c>
    </row>
    <row r="526" spans="1:13">
      <c r="A526" t="s">
        <v>22</v>
      </c>
      <c r="B526" s="1">
        <f>HYPERLINK("https://cordis.europa.eu/project/id/753816", "753816")</f>
        <v>0</v>
      </c>
      <c r="C526" t="s">
        <v>548</v>
      </c>
      <c r="D526" t="s">
        <v>1362</v>
      </c>
      <c r="E526" t="s">
        <v>1909</v>
      </c>
      <c r="F526" t="s">
        <v>2200</v>
      </c>
      <c r="G526" t="s">
        <v>2206</v>
      </c>
      <c r="H526" t="s">
        <v>2998</v>
      </c>
      <c r="I526" t="s">
        <v>3159</v>
      </c>
      <c r="J526" s="2">
        <v>0</v>
      </c>
      <c r="K526" s="2">
        <v>263719.8</v>
      </c>
      <c r="L526" t="s">
        <v>3368</v>
      </c>
      <c r="M526" t="s">
        <v>3709</v>
      </c>
    </row>
    <row r="527" spans="1:13">
      <c r="A527" t="s">
        <v>22</v>
      </c>
      <c r="B527" s="1">
        <f>HYPERLINK("https://cordis.europa.eu/project/id/812890", "812890")</f>
        <v>0</v>
      </c>
      <c r="C527" t="s">
        <v>549</v>
      </c>
      <c r="D527" t="s">
        <v>1363</v>
      </c>
      <c r="E527" t="s">
        <v>1910</v>
      </c>
      <c r="F527" t="s">
        <v>2235</v>
      </c>
      <c r="G527" t="s">
        <v>2437</v>
      </c>
      <c r="H527" t="s">
        <v>3005</v>
      </c>
      <c r="I527" t="s">
        <v>3187</v>
      </c>
      <c r="J527" s="2">
        <v>0</v>
      </c>
      <c r="K527" s="2">
        <v>3297271.32</v>
      </c>
      <c r="L527" t="s">
        <v>3368</v>
      </c>
      <c r="M527" t="s">
        <v>3852</v>
      </c>
    </row>
    <row r="528" spans="1:13">
      <c r="A528" t="s">
        <v>22</v>
      </c>
      <c r="B528" s="1">
        <f>HYPERLINK("https://cordis.europa.eu/project/id/691037", "691037")</f>
        <v>0</v>
      </c>
      <c r="C528" t="s">
        <v>550</v>
      </c>
      <c r="D528" t="s">
        <v>1364</v>
      </c>
      <c r="E528" t="s">
        <v>1911</v>
      </c>
      <c r="F528" t="s">
        <v>2188</v>
      </c>
      <c r="G528" t="s">
        <v>2436</v>
      </c>
      <c r="H528" t="s">
        <v>3003</v>
      </c>
      <c r="I528" t="s">
        <v>3176</v>
      </c>
      <c r="J528" s="2">
        <v>0</v>
      </c>
      <c r="K528" s="2">
        <v>144000</v>
      </c>
      <c r="L528" t="s">
        <v>3369</v>
      </c>
      <c r="M528" t="s">
        <v>3853</v>
      </c>
    </row>
    <row r="529" spans="1:13">
      <c r="A529" t="s">
        <v>22</v>
      </c>
      <c r="B529" s="1">
        <f>HYPERLINK("https://cordis.europa.eu/project/id/702971", "702971")</f>
        <v>0</v>
      </c>
      <c r="C529" t="s">
        <v>551</v>
      </c>
      <c r="D529" t="s">
        <v>1365</v>
      </c>
      <c r="E529" t="s">
        <v>1912</v>
      </c>
      <c r="F529" t="s">
        <v>2209</v>
      </c>
      <c r="G529" t="s">
        <v>2490</v>
      </c>
      <c r="H529" t="s">
        <v>2998</v>
      </c>
      <c r="I529" t="s">
        <v>3164</v>
      </c>
      <c r="J529" s="2">
        <v>0</v>
      </c>
      <c r="K529" s="2">
        <v>242683.2</v>
      </c>
      <c r="L529" t="s">
        <v>3368</v>
      </c>
      <c r="M529" t="s">
        <v>3616</v>
      </c>
    </row>
    <row r="530" spans="1:13">
      <c r="A530" t="s">
        <v>22</v>
      </c>
      <c r="B530" s="1">
        <f>HYPERLINK("https://cordis.europa.eu/project/id/101027136", "101027136")</f>
        <v>0</v>
      </c>
      <c r="C530" t="s">
        <v>552</v>
      </c>
      <c r="D530" t="s">
        <v>1366</v>
      </c>
      <c r="E530" t="s">
        <v>1913</v>
      </c>
      <c r="F530" t="s">
        <v>2214</v>
      </c>
      <c r="G530" t="s">
        <v>2424</v>
      </c>
      <c r="H530" t="s">
        <v>2998</v>
      </c>
      <c r="I530" t="s">
        <v>3166</v>
      </c>
      <c r="J530" s="2">
        <v>0</v>
      </c>
      <c r="K530" s="2">
        <v>255687.36</v>
      </c>
      <c r="L530" t="s">
        <v>3368</v>
      </c>
      <c r="M530" t="s">
        <v>3709</v>
      </c>
    </row>
    <row r="531" spans="1:13">
      <c r="A531" t="s">
        <v>22</v>
      </c>
      <c r="B531" s="1">
        <f>HYPERLINK("https://cordis.europa.eu/project/id/645717", "645717")</f>
        <v>0</v>
      </c>
      <c r="C531" t="s">
        <v>553</v>
      </c>
      <c r="D531" t="s">
        <v>1367</v>
      </c>
      <c r="E531" t="s">
        <v>1914</v>
      </c>
      <c r="F531" t="s">
        <v>2222</v>
      </c>
      <c r="G531" t="s">
        <v>2387</v>
      </c>
      <c r="H531" t="s">
        <v>3003</v>
      </c>
      <c r="I531" t="s">
        <v>3175</v>
      </c>
      <c r="J531" s="2">
        <v>0</v>
      </c>
      <c r="K531" s="2">
        <v>175500</v>
      </c>
      <c r="L531" t="s">
        <v>3369</v>
      </c>
      <c r="M531" t="s">
        <v>3854</v>
      </c>
    </row>
    <row r="532" spans="1:13">
      <c r="A532" t="s">
        <v>22</v>
      </c>
      <c r="B532" s="1">
        <f>HYPERLINK("https://cordis.europa.eu/project/id/657853", "657853")</f>
        <v>0</v>
      </c>
      <c r="C532" t="s">
        <v>554</v>
      </c>
      <c r="D532" t="s">
        <v>1368</v>
      </c>
      <c r="E532" t="s">
        <v>1799</v>
      </c>
      <c r="F532" t="s">
        <v>2273</v>
      </c>
      <c r="G532" t="s">
        <v>2382</v>
      </c>
      <c r="H532" t="s">
        <v>2997</v>
      </c>
      <c r="I532" t="s">
        <v>3165</v>
      </c>
      <c r="J532" s="2">
        <v>0</v>
      </c>
      <c r="K532" s="2">
        <v>250160.4</v>
      </c>
      <c r="L532" t="s">
        <v>3368</v>
      </c>
      <c r="M532" t="s">
        <v>3662</v>
      </c>
    </row>
    <row r="533" spans="1:13">
      <c r="A533" t="s">
        <v>22</v>
      </c>
      <c r="B533" s="1">
        <f>HYPERLINK("https://cordis.europa.eu/project/id/702601", "702601")</f>
        <v>0</v>
      </c>
      <c r="C533" t="s">
        <v>555</v>
      </c>
      <c r="D533" t="s">
        <v>1370</v>
      </c>
      <c r="E533" t="s">
        <v>1689</v>
      </c>
      <c r="F533" t="s">
        <v>2274</v>
      </c>
      <c r="G533" t="s">
        <v>2480</v>
      </c>
      <c r="H533" t="s">
        <v>2998</v>
      </c>
      <c r="I533" t="s">
        <v>3164</v>
      </c>
      <c r="J533" s="2">
        <v>0</v>
      </c>
      <c r="K533" s="2">
        <v>233555.4</v>
      </c>
      <c r="L533" t="s">
        <v>3368</v>
      </c>
      <c r="M533" t="s">
        <v>3630</v>
      </c>
    </row>
    <row r="534" spans="1:13">
      <c r="A534" t="s">
        <v>22</v>
      </c>
      <c r="B534" s="1">
        <f>HYPERLINK("https://cordis.europa.eu/project/id/101008231", "101008231")</f>
        <v>0</v>
      </c>
      <c r="C534" t="s">
        <v>556</v>
      </c>
      <c r="D534" t="s">
        <v>1371</v>
      </c>
      <c r="E534" t="s">
        <v>1916</v>
      </c>
      <c r="F534" t="s">
        <v>2187</v>
      </c>
      <c r="G534" t="s">
        <v>2502</v>
      </c>
      <c r="H534" t="s">
        <v>3003</v>
      </c>
      <c r="I534" t="s">
        <v>3216</v>
      </c>
      <c r="J534" s="2">
        <v>0</v>
      </c>
      <c r="K534" s="2">
        <v>777400</v>
      </c>
      <c r="L534" t="s">
        <v>3368</v>
      </c>
      <c r="M534" t="s">
        <v>3855</v>
      </c>
    </row>
    <row r="535" spans="1:13">
      <c r="A535" t="s">
        <v>22</v>
      </c>
      <c r="B535" s="1">
        <f>HYPERLINK("https://cordis.europa.eu/project/id/778010", "778010")</f>
        <v>0</v>
      </c>
      <c r="C535" t="s">
        <v>557</v>
      </c>
      <c r="D535" t="s">
        <v>1372</v>
      </c>
      <c r="E535" t="s">
        <v>1832</v>
      </c>
      <c r="F535" t="s">
        <v>2199</v>
      </c>
      <c r="G535" t="s">
        <v>2417</v>
      </c>
      <c r="H535" t="s">
        <v>3003</v>
      </c>
      <c r="I535" t="s">
        <v>3173</v>
      </c>
      <c r="J535" s="2">
        <v>0</v>
      </c>
      <c r="K535" s="2">
        <v>540000</v>
      </c>
      <c r="L535" t="s">
        <v>3371</v>
      </c>
      <c r="M535" t="s">
        <v>3856</v>
      </c>
    </row>
    <row r="536" spans="1:13">
      <c r="A536" t="s">
        <v>22</v>
      </c>
      <c r="B536" s="1">
        <f>HYPERLINK("https://cordis.europa.eu/project/id/884931", "884931")</f>
        <v>0</v>
      </c>
      <c r="C536" t="s">
        <v>558</v>
      </c>
      <c r="D536" t="s">
        <v>1373</v>
      </c>
      <c r="E536" t="s">
        <v>1686</v>
      </c>
      <c r="F536" t="s">
        <v>2193</v>
      </c>
      <c r="G536" t="s">
        <v>2417</v>
      </c>
      <c r="H536" t="s">
        <v>2997</v>
      </c>
      <c r="I536" t="s">
        <v>3162</v>
      </c>
      <c r="J536" s="2">
        <v>0</v>
      </c>
      <c r="K536" s="2">
        <v>244326.72</v>
      </c>
      <c r="L536" t="s">
        <v>3368</v>
      </c>
      <c r="M536" t="s">
        <v>3630</v>
      </c>
    </row>
    <row r="537" spans="1:13">
      <c r="A537" t="s">
        <v>22</v>
      </c>
      <c r="B537" s="1">
        <f>HYPERLINK("https://cordis.europa.eu/project/id/706415", "706415")</f>
        <v>0</v>
      </c>
      <c r="C537" t="s">
        <v>559</v>
      </c>
      <c r="D537" t="s">
        <v>1374</v>
      </c>
      <c r="E537" t="s">
        <v>1917</v>
      </c>
      <c r="F537" t="s">
        <v>2250</v>
      </c>
      <c r="G537" t="s">
        <v>2475</v>
      </c>
      <c r="H537" t="s">
        <v>2998</v>
      </c>
      <c r="I537" t="s">
        <v>3164</v>
      </c>
      <c r="J537" s="2">
        <v>0</v>
      </c>
      <c r="K537" s="2">
        <v>226022.4</v>
      </c>
      <c r="L537" t="s">
        <v>3368</v>
      </c>
      <c r="M537" t="s">
        <v>3588</v>
      </c>
    </row>
    <row r="538" spans="1:13">
      <c r="A538" t="s">
        <v>22</v>
      </c>
      <c r="B538" s="1">
        <f>HYPERLINK("https://cordis.europa.eu/project/id/714478", "714478")</f>
        <v>0</v>
      </c>
      <c r="C538" t="s">
        <v>560</v>
      </c>
      <c r="D538" t="s">
        <v>1375</v>
      </c>
      <c r="E538" t="s">
        <v>1833</v>
      </c>
      <c r="F538" t="s">
        <v>2223</v>
      </c>
      <c r="G538" t="s">
        <v>2433</v>
      </c>
      <c r="H538" t="s">
        <v>3006</v>
      </c>
      <c r="I538" t="s">
        <v>3255</v>
      </c>
      <c r="J538" s="2">
        <v>62500</v>
      </c>
      <c r="K538" s="2">
        <v>1498337</v>
      </c>
      <c r="L538" t="s">
        <v>3369</v>
      </c>
      <c r="M538" t="s">
        <v>3447</v>
      </c>
    </row>
    <row r="539" spans="1:13">
      <c r="A539" t="s">
        <v>22</v>
      </c>
      <c r="B539" s="1">
        <f>HYPERLINK("https://cordis.europa.eu/project/id/656647", "656647")</f>
        <v>0</v>
      </c>
      <c r="C539" t="s">
        <v>561</v>
      </c>
      <c r="D539" t="s">
        <v>1376</v>
      </c>
      <c r="E539" t="s">
        <v>1918</v>
      </c>
      <c r="F539" t="s">
        <v>2226</v>
      </c>
      <c r="G539" t="s">
        <v>2396</v>
      </c>
      <c r="H539" t="s">
        <v>2998</v>
      </c>
      <c r="I539" t="s">
        <v>3165</v>
      </c>
      <c r="J539" s="2">
        <v>0</v>
      </c>
      <c r="K539" s="2">
        <v>255349.8</v>
      </c>
      <c r="L539" t="s">
        <v>3368</v>
      </c>
      <c r="M539" t="s">
        <v>3739</v>
      </c>
    </row>
    <row r="540" spans="1:13">
      <c r="A540" t="s">
        <v>22</v>
      </c>
      <c r="B540" s="1">
        <f>HYPERLINK("https://cordis.europa.eu/project/id/642241", "642241")</f>
        <v>0</v>
      </c>
      <c r="C540" t="s">
        <v>562</v>
      </c>
      <c r="D540" t="s">
        <v>1377</v>
      </c>
      <c r="E540" t="s">
        <v>1658</v>
      </c>
      <c r="F540" t="s">
        <v>2222</v>
      </c>
      <c r="G540" t="s">
        <v>2387</v>
      </c>
      <c r="H540" t="s">
        <v>3002</v>
      </c>
      <c r="I540" t="s">
        <v>3188</v>
      </c>
      <c r="J540" s="2">
        <v>0</v>
      </c>
      <c r="K540" s="2">
        <v>3874278.6</v>
      </c>
      <c r="L540" t="s">
        <v>3369</v>
      </c>
      <c r="M540" t="s">
        <v>3857</v>
      </c>
    </row>
    <row r="541" spans="1:13">
      <c r="A541" t="s">
        <v>22</v>
      </c>
      <c r="B541" s="1">
        <f>HYPERLINK("https://cordis.europa.eu/project/id/101033050", "101033050")</f>
        <v>0</v>
      </c>
      <c r="C541" t="s">
        <v>563</v>
      </c>
      <c r="D541" t="s">
        <v>1378</v>
      </c>
      <c r="E541" t="s">
        <v>1919</v>
      </c>
      <c r="F541" t="s">
        <v>2217</v>
      </c>
      <c r="G541" t="s">
        <v>2429</v>
      </c>
      <c r="H541" t="s">
        <v>2997</v>
      </c>
      <c r="I541" t="s">
        <v>3166</v>
      </c>
      <c r="J541" s="2">
        <v>0</v>
      </c>
      <c r="K541" s="2">
        <v>258498.24</v>
      </c>
      <c r="L541" t="s">
        <v>3368</v>
      </c>
      <c r="M541" t="s">
        <v>3623</v>
      </c>
    </row>
    <row r="542" spans="1:13">
      <c r="A542" t="s">
        <v>22</v>
      </c>
      <c r="B542" s="1">
        <f>HYPERLINK("https://cordis.europa.eu/project/id/818116", "818116")</f>
        <v>0</v>
      </c>
      <c r="C542" t="s">
        <v>564</v>
      </c>
      <c r="D542" t="s">
        <v>1379</v>
      </c>
      <c r="E542" t="s">
        <v>1920</v>
      </c>
      <c r="F542" t="s">
        <v>2237</v>
      </c>
      <c r="G542" t="s">
        <v>2406</v>
      </c>
      <c r="H542" t="s">
        <v>2985</v>
      </c>
      <c r="I542" t="s">
        <v>3224</v>
      </c>
      <c r="J542" s="2">
        <v>51250</v>
      </c>
      <c r="K542" s="2">
        <v>3520466.25</v>
      </c>
      <c r="L542" t="s">
        <v>3370</v>
      </c>
      <c r="M542" t="s">
        <v>3858</v>
      </c>
    </row>
    <row r="543" spans="1:13">
      <c r="A543" t="s">
        <v>22</v>
      </c>
      <c r="B543" s="1">
        <f>HYPERLINK("https://cordis.europa.eu/project/id/733296", "733296")</f>
        <v>0</v>
      </c>
      <c r="C543" t="s">
        <v>565</v>
      </c>
      <c r="D543" t="s">
        <v>1380</v>
      </c>
      <c r="E543" t="s">
        <v>1921</v>
      </c>
      <c r="F543" t="s">
        <v>2223</v>
      </c>
      <c r="G543" t="s">
        <v>2446</v>
      </c>
      <c r="H543" t="s">
        <v>2985</v>
      </c>
      <c r="I543" t="s">
        <v>3212</v>
      </c>
      <c r="J543" s="2">
        <v>0</v>
      </c>
      <c r="K543" s="2">
        <v>2149202.5</v>
      </c>
      <c r="L543" t="s">
        <v>3368</v>
      </c>
      <c r="M543" t="s">
        <v>3859</v>
      </c>
    </row>
    <row r="544" spans="1:13">
      <c r="A544" t="s">
        <v>22</v>
      </c>
      <c r="B544" s="1">
        <f>HYPERLINK("https://cordis.europa.eu/project/id/681137", "681137")</f>
        <v>0</v>
      </c>
      <c r="C544" t="s">
        <v>566</v>
      </c>
      <c r="D544" t="s">
        <v>1381</v>
      </c>
      <c r="E544" t="s">
        <v>1922</v>
      </c>
      <c r="F544" t="s">
        <v>2255</v>
      </c>
      <c r="G544" t="s">
        <v>2433</v>
      </c>
      <c r="H544" t="s">
        <v>2993</v>
      </c>
      <c r="I544" t="s">
        <v>3261</v>
      </c>
      <c r="J544" s="2">
        <v>0</v>
      </c>
      <c r="K544" s="2">
        <v>22948022.25</v>
      </c>
      <c r="L544" t="s">
        <v>3368</v>
      </c>
      <c r="M544" t="s">
        <v>3860</v>
      </c>
    </row>
    <row r="545" spans="1:13">
      <c r="A545" t="s">
        <v>22</v>
      </c>
      <c r="B545" s="1">
        <f>HYPERLINK("https://cordis.europa.eu/project/id/875025", "875025")</f>
        <v>0</v>
      </c>
      <c r="C545" t="s">
        <v>567</v>
      </c>
      <c r="D545" t="s">
        <v>1383</v>
      </c>
      <c r="E545" t="s">
        <v>1923</v>
      </c>
      <c r="F545" t="s">
        <v>2180</v>
      </c>
      <c r="G545" t="s">
        <v>2428</v>
      </c>
      <c r="H545" t="s">
        <v>2993</v>
      </c>
      <c r="I545" t="s">
        <v>3205</v>
      </c>
      <c r="J545" s="2">
        <v>0</v>
      </c>
      <c r="K545" s="2">
        <v>2199567.35</v>
      </c>
      <c r="L545" t="s">
        <v>3368</v>
      </c>
      <c r="M545" t="s">
        <v>3861</v>
      </c>
    </row>
    <row r="546" spans="1:13">
      <c r="A546" t="s">
        <v>22</v>
      </c>
      <c r="B546" s="1">
        <f>HYPERLINK("https://cordis.europa.eu/project/id/952911", "952911")</f>
        <v>0</v>
      </c>
      <c r="C546" t="s">
        <v>568</v>
      </c>
      <c r="D546" t="s">
        <v>1384</v>
      </c>
      <c r="E546" t="s">
        <v>1924</v>
      </c>
      <c r="F546" t="s">
        <v>2201</v>
      </c>
      <c r="G546" t="s">
        <v>2428</v>
      </c>
      <c r="H546" t="s">
        <v>2994</v>
      </c>
      <c r="I546" t="s">
        <v>3262</v>
      </c>
      <c r="J546" s="2">
        <v>0</v>
      </c>
      <c r="K546" s="2">
        <v>6106623.75</v>
      </c>
      <c r="L546" t="s">
        <v>3368</v>
      </c>
      <c r="M546" t="s">
        <v>3862</v>
      </c>
    </row>
    <row r="547" spans="1:13">
      <c r="A547" t="s">
        <v>22</v>
      </c>
      <c r="B547" s="1">
        <f>HYPERLINK("https://cordis.europa.eu/project/id/634179", "634179")</f>
        <v>0</v>
      </c>
      <c r="C547" t="s">
        <v>569</v>
      </c>
      <c r="D547" t="s">
        <v>1385</v>
      </c>
      <c r="E547" t="s">
        <v>1925</v>
      </c>
      <c r="F547" t="s">
        <v>2179</v>
      </c>
      <c r="G547" t="s">
        <v>2468</v>
      </c>
      <c r="H547" t="s">
        <v>2993</v>
      </c>
      <c r="I547" t="s">
        <v>3249</v>
      </c>
      <c r="J547" s="2">
        <v>0</v>
      </c>
      <c r="K547" s="2">
        <v>6526038.51</v>
      </c>
      <c r="L547" t="s">
        <v>3368</v>
      </c>
      <c r="M547" t="s">
        <v>3863</v>
      </c>
    </row>
    <row r="548" spans="1:13">
      <c r="A548" t="s">
        <v>22</v>
      </c>
      <c r="B548" s="1">
        <f>HYPERLINK("https://cordis.europa.eu/project/id/690893", "690893")</f>
        <v>0</v>
      </c>
      <c r="C548" t="s">
        <v>570</v>
      </c>
      <c r="D548" t="s">
        <v>1386</v>
      </c>
      <c r="E548" t="s">
        <v>1926</v>
      </c>
      <c r="F548" t="s">
        <v>2185</v>
      </c>
      <c r="G548" t="s">
        <v>2322</v>
      </c>
      <c r="H548" t="s">
        <v>3003</v>
      </c>
      <c r="I548" t="s">
        <v>3176</v>
      </c>
      <c r="J548" s="2">
        <v>0</v>
      </c>
      <c r="K548" s="2">
        <v>418500</v>
      </c>
      <c r="L548" t="s">
        <v>3368</v>
      </c>
      <c r="M548" t="s">
        <v>3864</v>
      </c>
    </row>
    <row r="549" spans="1:13">
      <c r="A549" t="s">
        <v>22</v>
      </c>
      <c r="B549" s="1">
        <f>HYPERLINK("https://cordis.europa.eu/project/id/765579", "765579")</f>
        <v>0</v>
      </c>
      <c r="C549" t="s">
        <v>571</v>
      </c>
      <c r="D549" t="s">
        <v>1387</v>
      </c>
      <c r="E549" t="s">
        <v>1927</v>
      </c>
      <c r="F549" t="s">
        <v>2200</v>
      </c>
      <c r="G549" t="s">
        <v>2465</v>
      </c>
      <c r="H549" t="s">
        <v>3002</v>
      </c>
      <c r="I549" t="s">
        <v>3163</v>
      </c>
      <c r="J549" s="2">
        <v>0</v>
      </c>
      <c r="K549" s="2">
        <v>3932721.72</v>
      </c>
      <c r="L549" t="s">
        <v>3368</v>
      </c>
      <c r="M549" t="s">
        <v>3865</v>
      </c>
    </row>
    <row r="550" spans="1:13">
      <c r="A550" t="s">
        <v>22</v>
      </c>
      <c r="B550" s="1">
        <f>HYPERLINK("https://cordis.europa.eu/project/id/101003687", "101003687")</f>
        <v>0</v>
      </c>
      <c r="C550" t="s">
        <v>572</v>
      </c>
      <c r="D550" t="s">
        <v>1388</v>
      </c>
      <c r="E550" t="s">
        <v>1872</v>
      </c>
      <c r="F550" t="s">
        <v>2216</v>
      </c>
      <c r="G550" t="s">
        <v>2428</v>
      </c>
      <c r="H550" t="s">
        <v>2993</v>
      </c>
      <c r="I550" t="s">
        <v>3241</v>
      </c>
      <c r="J550" s="2">
        <v>0</v>
      </c>
      <c r="K550" s="2">
        <v>5994538.75</v>
      </c>
      <c r="L550" t="s">
        <v>3368</v>
      </c>
      <c r="M550" t="s">
        <v>3866</v>
      </c>
    </row>
    <row r="551" spans="1:13">
      <c r="A551" t="s">
        <v>22</v>
      </c>
      <c r="B551" s="1">
        <f>HYPERLINK("https://cordis.europa.eu/project/id/873089", "873089")</f>
        <v>0</v>
      </c>
      <c r="C551" t="s">
        <v>573</v>
      </c>
      <c r="D551" t="s">
        <v>1389</v>
      </c>
      <c r="E551" t="s">
        <v>1800</v>
      </c>
      <c r="F551" t="s">
        <v>2268</v>
      </c>
      <c r="G551" t="s">
        <v>2424</v>
      </c>
      <c r="H551" t="s">
        <v>3003</v>
      </c>
      <c r="I551" t="s">
        <v>3189</v>
      </c>
      <c r="J551" s="2">
        <v>0</v>
      </c>
      <c r="K551" s="2">
        <v>556600</v>
      </c>
      <c r="L551" t="s">
        <v>3368</v>
      </c>
      <c r="M551" t="s">
        <v>3867</v>
      </c>
    </row>
    <row r="552" spans="1:13">
      <c r="A552" t="s">
        <v>22</v>
      </c>
      <c r="B552" s="1">
        <f>HYPERLINK("https://cordis.europa.eu/project/id/633172", "633172")</f>
        <v>0</v>
      </c>
      <c r="C552" t="s">
        <v>574</v>
      </c>
      <c r="D552" t="s">
        <v>574</v>
      </c>
      <c r="E552" t="s">
        <v>1928</v>
      </c>
      <c r="F552" t="s">
        <v>2275</v>
      </c>
      <c r="G552" t="s">
        <v>2503</v>
      </c>
      <c r="H552" t="s">
        <v>2993</v>
      </c>
      <c r="I552" t="s">
        <v>3249</v>
      </c>
      <c r="J552" s="2">
        <v>0</v>
      </c>
      <c r="K552" s="2">
        <v>7999097</v>
      </c>
      <c r="L552" t="s">
        <v>3368</v>
      </c>
      <c r="M552" t="s">
        <v>3868</v>
      </c>
    </row>
    <row r="553" spans="1:13">
      <c r="A553" t="s">
        <v>22</v>
      </c>
      <c r="B553" s="1">
        <f>HYPERLINK("https://cordis.europa.eu/project/id/101006873", "101006873")</f>
        <v>0</v>
      </c>
      <c r="C553" t="s">
        <v>575</v>
      </c>
      <c r="D553" t="s">
        <v>1390</v>
      </c>
      <c r="E553" t="s">
        <v>1775</v>
      </c>
      <c r="F553" t="s">
        <v>2218</v>
      </c>
      <c r="G553" t="s">
        <v>2487</v>
      </c>
      <c r="H553" t="s">
        <v>2993</v>
      </c>
      <c r="I553" t="s">
        <v>3180</v>
      </c>
      <c r="J553" s="2">
        <v>0</v>
      </c>
      <c r="K553" s="2">
        <v>2999950</v>
      </c>
      <c r="L553" t="s">
        <v>3368</v>
      </c>
      <c r="M553" t="s">
        <v>3869</v>
      </c>
    </row>
    <row r="554" spans="1:13">
      <c r="A554" t="s">
        <v>22</v>
      </c>
      <c r="B554" s="1">
        <f>HYPERLINK("https://cordis.europa.eu/project/id/101008139", "101008139")</f>
        <v>0</v>
      </c>
      <c r="C554" t="s">
        <v>576</v>
      </c>
      <c r="D554" t="s">
        <v>1391</v>
      </c>
      <c r="E554" t="s">
        <v>1929</v>
      </c>
      <c r="F554" t="s">
        <v>2261</v>
      </c>
      <c r="G554" t="s">
        <v>2413</v>
      </c>
      <c r="H554" t="s">
        <v>3003</v>
      </c>
      <c r="I554" t="s">
        <v>3216</v>
      </c>
      <c r="J554" s="2">
        <v>0</v>
      </c>
      <c r="K554" s="2">
        <v>1150000</v>
      </c>
      <c r="L554" t="s">
        <v>3368</v>
      </c>
      <c r="M554" t="s">
        <v>3870</v>
      </c>
    </row>
    <row r="555" spans="1:13">
      <c r="A555" t="s">
        <v>22</v>
      </c>
      <c r="B555" s="1">
        <f>HYPERLINK("https://cordis.europa.eu/project/id/812968", "812968")</f>
        <v>0</v>
      </c>
      <c r="C555" t="s">
        <v>577</v>
      </c>
      <c r="D555" t="s">
        <v>1392</v>
      </c>
      <c r="E555" t="s">
        <v>1930</v>
      </c>
      <c r="F555" t="s">
        <v>2239</v>
      </c>
      <c r="G555" t="s">
        <v>2395</v>
      </c>
      <c r="H555" t="s">
        <v>3005</v>
      </c>
      <c r="I555" t="s">
        <v>3187</v>
      </c>
      <c r="J555" s="2">
        <v>0</v>
      </c>
      <c r="K555" s="2">
        <v>3974527.44</v>
      </c>
      <c r="L555" t="s">
        <v>3368</v>
      </c>
      <c r="M555" t="s">
        <v>3871</v>
      </c>
    </row>
    <row r="556" spans="1:13">
      <c r="A556" t="s">
        <v>22</v>
      </c>
      <c r="B556" s="1">
        <f>HYPERLINK("https://cordis.europa.eu/project/id/813440", "813440")</f>
        <v>0</v>
      </c>
      <c r="C556" t="s">
        <v>578</v>
      </c>
      <c r="D556" t="s">
        <v>1393</v>
      </c>
      <c r="E556" t="s">
        <v>1931</v>
      </c>
      <c r="F556" t="s">
        <v>2227</v>
      </c>
      <c r="G556" t="s">
        <v>2404</v>
      </c>
      <c r="H556" t="s">
        <v>3005</v>
      </c>
      <c r="I556" t="s">
        <v>3187</v>
      </c>
      <c r="J556" s="2">
        <v>0</v>
      </c>
      <c r="K556" s="2">
        <v>4066231.32</v>
      </c>
      <c r="L556" t="s">
        <v>3368</v>
      </c>
      <c r="M556" t="s">
        <v>3872</v>
      </c>
    </row>
    <row r="557" spans="1:13">
      <c r="A557" t="s">
        <v>22</v>
      </c>
      <c r="B557" s="1">
        <f>HYPERLINK("https://cordis.europa.eu/project/id/678732", "678732")</f>
        <v>0</v>
      </c>
      <c r="C557" t="s">
        <v>579</v>
      </c>
      <c r="D557" t="s">
        <v>1394</v>
      </c>
      <c r="E557" t="s">
        <v>1807</v>
      </c>
      <c r="F557" t="s">
        <v>2271</v>
      </c>
      <c r="G557" t="s">
        <v>2504</v>
      </c>
      <c r="H557" t="s">
        <v>2993</v>
      </c>
      <c r="I557" t="s">
        <v>3256</v>
      </c>
      <c r="J557" s="2">
        <v>35047.5</v>
      </c>
      <c r="K557" s="2">
        <v>6915506.25</v>
      </c>
      <c r="L557" t="s">
        <v>3368</v>
      </c>
      <c r="M557" t="s">
        <v>3873</v>
      </c>
    </row>
    <row r="558" spans="1:13">
      <c r="A558" t="s">
        <v>22</v>
      </c>
      <c r="B558" s="1">
        <f>HYPERLINK("https://cordis.europa.eu/project/id/708193", "708193")</f>
        <v>0</v>
      </c>
      <c r="C558" t="s">
        <v>580</v>
      </c>
      <c r="D558" t="s">
        <v>1395</v>
      </c>
      <c r="E558" t="s">
        <v>1932</v>
      </c>
      <c r="F558" t="s">
        <v>2256</v>
      </c>
      <c r="G558" t="s">
        <v>2251</v>
      </c>
      <c r="H558" t="s">
        <v>2998</v>
      </c>
      <c r="I558" t="s">
        <v>3164</v>
      </c>
      <c r="J558" s="2">
        <v>0</v>
      </c>
      <c r="K558" s="2">
        <v>167610.6</v>
      </c>
      <c r="L558" t="s">
        <v>3368</v>
      </c>
      <c r="M558" t="s">
        <v>3624</v>
      </c>
    </row>
    <row r="559" spans="1:13">
      <c r="A559" t="s">
        <v>22</v>
      </c>
      <c r="B559" s="1">
        <f>HYPERLINK("https://cordis.europa.eu/project/id/101003890", "101003890")</f>
        <v>0</v>
      </c>
      <c r="C559" t="s">
        <v>581</v>
      </c>
      <c r="D559" t="s">
        <v>1396</v>
      </c>
      <c r="E559" t="s">
        <v>1872</v>
      </c>
      <c r="F559" t="s">
        <v>2243</v>
      </c>
      <c r="G559" t="s">
        <v>2429</v>
      </c>
      <c r="H559" t="s">
        <v>2993</v>
      </c>
      <c r="I559" t="s">
        <v>3241</v>
      </c>
      <c r="J559" s="2">
        <v>0</v>
      </c>
      <c r="K559" s="2">
        <v>10271044</v>
      </c>
      <c r="L559" t="s">
        <v>3368</v>
      </c>
      <c r="M559" t="s">
        <v>3874</v>
      </c>
    </row>
    <row r="560" spans="1:13">
      <c r="A560" t="s">
        <v>22</v>
      </c>
      <c r="B560" s="1">
        <f>HYPERLINK("https://cordis.europa.eu/project/id/734522", "734522")</f>
        <v>0</v>
      </c>
      <c r="C560" t="s">
        <v>582</v>
      </c>
      <c r="D560" t="s">
        <v>1397</v>
      </c>
      <c r="E560" t="s">
        <v>1933</v>
      </c>
      <c r="F560" t="s">
        <v>2223</v>
      </c>
      <c r="G560" t="s">
        <v>2068</v>
      </c>
      <c r="H560" t="s">
        <v>3003</v>
      </c>
      <c r="I560" t="s">
        <v>3177</v>
      </c>
      <c r="J560" s="2">
        <v>0</v>
      </c>
      <c r="K560" s="2">
        <v>832500</v>
      </c>
      <c r="L560" t="s">
        <v>3368</v>
      </c>
      <c r="M560" t="s">
        <v>3875</v>
      </c>
    </row>
    <row r="561" spans="1:13">
      <c r="A561" t="s">
        <v>22</v>
      </c>
      <c r="B561" s="1">
        <f>HYPERLINK("https://cordis.europa.eu/project/id/773421", "773421")</f>
        <v>0</v>
      </c>
      <c r="C561" t="s">
        <v>583</v>
      </c>
      <c r="D561" t="s">
        <v>1398</v>
      </c>
      <c r="E561" t="s">
        <v>1934</v>
      </c>
      <c r="F561" t="s">
        <v>2264</v>
      </c>
      <c r="G561" t="s">
        <v>2451</v>
      </c>
      <c r="H561" t="s">
        <v>2993</v>
      </c>
      <c r="I561" t="s">
        <v>3263</v>
      </c>
      <c r="J561" s="2">
        <v>0</v>
      </c>
      <c r="K561" s="2">
        <v>11467317.5</v>
      </c>
      <c r="L561" t="s">
        <v>3368</v>
      </c>
      <c r="M561" t="s">
        <v>3876</v>
      </c>
    </row>
    <row r="562" spans="1:13">
      <c r="A562" t="s">
        <v>22</v>
      </c>
      <c r="B562" s="1">
        <f>HYPERLINK("https://cordis.europa.eu/project/id/667661", "667661")</f>
        <v>0</v>
      </c>
      <c r="C562" t="s">
        <v>584</v>
      </c>
      <c r="D562" t="s">
        <v>1399</v>
      </c>
      <c r="E562" t="s">
        <v>1713</v>
      </c>
      <c r="F562" t="s">
        <v>2188</v>
      </c>
      <c r="G562" t="s">
        <v>2505</v>
      </c>
      <c r="H562" t="s">
        <v>2993</v>
      </c>
      <c r="I562" t="s">
        <v>3228</v>
      </c>
      <c r="J562" s="2">
        <v>767716.25</v>
      </c>
      <c r="K562" s="2">
        <v>5743160</v>
      </c>
      <c r="L562" t="s">
        <v>3368</v>
      </c>
      <c r="M562" t="s">
        <v>3877</v>
      </c>
    </row>
    <row r="563" spans="1:13">
      <c r="A563" t="s">
        <v>22</v>
      </c>
      <c r="B563" s="1">
        <f>HYPERLINK("https://cordis.europa.eu/project/id/777450", "777450")</f>
        <v>0</v>
      </c>
      <c r="C563" t="s">
        <v>585</v>
      </c>
      <c r="D563" t="s">
        <v>1400</v>
      </c>
      <c r="E563" t="s">
        <v>1935</v>
      </c>
      <c r="F563" t="s">
        <v>2207</v>
      </c>
      <c r="G563" t="s">
        <v>1916</v>
      </c>
      <c r="H563" t="s">
        <v>3010</v>
      </c>
      <c r="I563" t="s">
        <v>3264</v>
      </c>
      <c r="J563" s="2">
        <v>0</v>
      </c>
      <c r="K563" s="2">
        <v>4498931</v>
      </c>
      <c r="L563" t="s">
        <v>3368</v>
      </c>
      <c r="M563" t="s">
        <v>3878</v>
      </c>
    </row>
    <row r="564" spans="1:13">
      <c r="A564" t="s">
        <v>22</v>
      </c>
      <c r="B564" s="1">
        <f>HYPERLINK("https://cordis.europa.eu/project/id/965341", "965341")</f>
        <v>0</v>
      </c>
      <c r="C564" t="s">
        <v>586</v>
      </c>
      <c r="D564" t="s">
        <v>1401</v>
      </c>
      <c r="E564" t="s">
        <v>1936</v>
      </c>
      <c r="F564" t="s">
        <v>2261</v>
      </c>
      <c r="G564" t="s">
        <v>2413</v>
      </c>
      <c r="H564" t="s">
        <v>2993</v>
      </c>
      <c r="I564" t="s">
        <v>3143</v>
      </c>
      <c r="J564" s="2">
        <v>0</v>
      </c>
      <c r="K564" s="2">
        <v>5832536.25</v>
      </c>
      <c r="L564" t="s">
        <v>3368</v>
      </c>
      <c r="M564" t="s">
        <v>3879</v>
      </c>
    </row>
    <row r="565" spans="1:13">
      <c r="A565" t="s">
        <v>22</v>
      </c>
      <c r="B565" s="1">
        <f>HYPERLINK("https://cordis.europa.eu/project/id/900014", "900014")</f>
        <v>0</v>
      </c>
      <c r="C565" t="s">
        <v>587</v>
      </c>
      <c r="D565" t="s">
        <v>1402</v>
      </c>
      <c r="E565" t="s">
        <v>1937</v>
      </c>
      <c r="F565" t="s">
        <v>1765</v>
      </c>
      <c r="G565" t="s">
        <v>2443</v>
      </c>
      <c r="H565" t="s">
        <v>2994</v>
      </c>
      <c r="I565" t="s">
        <v>3192</v>
      </c>
      <c r="J565" s="2">
        <v>0</v>
      </c>
      <c r="K565" s="2">
        <v>2986814.61</v>
      </c>
      <c r="L565" t="s">
        <v>3368</v>
      </c>
      <c r="M565" t="s">
        <v>3880</v>
      </c>
    </row>
    <row r="566" spans="1:13">
      <c r="A566" t="s">
        <v>22</v>
      </c>
      <c r="B566" s="1">
        <f>HYPERLINK("https://cordis.europa.eu/project/id/643084", "643084")</f>
        <v>0</v>
      </c>
      <c r="C566" t="s">
        <v>588</v>
      </c>
      <c r="D566" t="s">
        <v>1403</v>
      </c>
      <c r="E566" t="s">
        <v>1658</v>
      </c>
      <c r="F566" t="s">
        <v>2222</v>
      </c>
      <c r="G566" t="s">
        <v>2387</v>
      </c>
      <c r="H566" t="s">
        <v>3005</v>
      </c>
      <c r="I566" t="s">
        <v>3188</v>
      </c>
      <c r="J566" s="2">
        <v>0</v>
      </c>
      <c r="K566" s="2">
        <v>3749331.24</v>
      </c>
      <c r="L566" t="s">
        <v>3368</v>
      </c>
      <c r="M566" t="s">
        <v>3881</v>
      </c>
    </row>
    <row r="567" spans="1:13">
      <c r="A567" t="s">
        <v>22</v>
      </c>
      <c r="B567" s="1">
        <f>HYPERLINK("https://cordis.europa.eu/project/id/842656", "842656")</f>
        <v>0</v>
      </c>
      <c r="C567" t="s">
        <v>589</v>
      </c>
      <c r="D567" t="s">
        <v>1404</v>
      </c>
      <c r="E567" t="s">
        <v>1938</v>
      </c>
      <c r="F567" t="s">
        <v>2196</v>
      </c>
      <c r="G567" t="s">
        <v>2408</v>
      </c>
      <c r="H567" t="s">
        <v>2997</v>
      </c>
      <c r="I567" t="s">
        <v>3158</v>
      </c>
      <c r="J567" s="2">
        <v>0</v>
      </c>
      <c r="K567" s="2">
        <v>272084.16</v>
      </c>
      <c r="L567" t="s">
        <v>3369</v>
      </c>
      <c r="M567" t="s">
        <v>3447</v>
      </c>
    </row>
    <row r="568" spans="1:13">
      <c r="A568" t="s">
        <v>22</v>
      </c>
      <c r="B568" s="1">
        <f>HYPERLINK("https://cordis.europa.eu/project/id/633211", "633211")</f>
        <v>0</v>
      </c>
      <c r="C568" t="s">
        <v>590</v>
      </c>
      <c r="D568" t="s">
        <v>1405</v>
      </c>
      <c r="E568" t="s">
        <v>1939</v>
      </c>
      <c r="F568" t="s">
        <v>1757</v>
      </c>
      <c r="G568" t="s">
        <v>2276</v>
      </c>
      <c r="H568" t="s">
        <v>2993</v>
      </c>
      <c r="I568" t="s">
        <v>3218</v>
      </c>
      <c r="J568" s="2">
        <v>0</v>
      </c>
      <c r="K568" s="2">
        <v>20652921</v>
      </c>
      <c r="L568" t="s">
        <v>3368</v>
      </c>
      <c r="M568" t="s">
        <v>3882</v>
      </c>
    </row>
    <row r="569" spans="1:13">
      <c r="A569" t="s">
        <v>22</v>
      </c>
      <c r="B569" s="1">
        <f>HYPERLINK("https://cordis.europa.eu/project/id/862626", "862626")</f>
        <v>0</v>
      </c>
      <c r="C569" t="s">
        <v>591</v>
      </c>
      <c r="D569" t="s">
        <v>1406</v>
      </c>
      <c r="E569" t="s">
        <v>1941</v>
      </c>
      <c r="F569" t="s">
        <v>2191</v>
      </c>
      <c r="G569" t="s">
        <v>2417</v>
      </c>
      <c r="H569" t="s">
        <v>2994</v>
      </c>
      <c r="I569" t="s">
        <v>3266</v>
      </c>
      <c r="J569" s="2">
        <v>0</v>
      </c>
      <c r="K569" s="2">
        <v>12246700.13</v>
      </c>
      <c r="L569" t="s">
        <v>3368</v>
      </c>
      <c r="M569" t="s">
        <v>3883</v>
      </c>
    </row>
    <row r="570" spans="1:13">
      <c r="A570" t="s">
        <v>22</v>
      </c>
      <c r="B570" s="1">
        <f>HYPERLINK("https://cordis.europa.eu/project/id/838237", "838237")</f>
        <v>0</v>
      </c>
      <c r="C570" t="s">
        <v>592</v>
      </c>
      <c r="D570" t="s">
        <v>1407</v>
      </c>
      <c r="E570" t="s">
        <v>1942</v>
      </c>
      <c r="F570" t="s">
        <v>2180</v>
      </c>
      <c r="G570" t="s">
        <v>2433</v>
      </c>
      <c r="H570" t="s">
        <v>2997</v>
      </c>
      <c r="I570" t="s">
        <v>3158</v>
      </c>
      <c r="J570" s="2">
        <v>0</v>
      </c>
      <c r="K570" s="2">
        <v>265606.08</v>
      </c>
      <c r="L570" t="s">
        <v>3368</v>
      </c>
      <c r="M570" t="s">
        <v>3884</v>
      </c>
    </row>
    <row r="571" spans="1:13">
      <c r="A571" t="s">
        <v>22</v>
      </c>
      <c r="B571" s="1">
        <f>HYPERLINK("https://cordis.europa.eu/project/id/764908", "764908")</f>
        <v>0</v>
      </c>
      <c r="C571" t="s">
        <v>593</v>
      </c>
      <c r="D571" t="s">
        <v>1408</v>
      </c>
      <c r="E571" t="s">
        <v>1943</v>
      </c>
      <c r="F571" t="s">
        <v>2199</v>
      </c>
      <c r="G571" t="s">
        <v>2068</v>
      </c>
      <c r="H571" t="s">
        <v>3005</v>
      </c>
      <c r="I571" t="s">
        <v>3163</v>
      </c>
      <c r="J571" s="2">
        <v>0</v>
      </c>
      <c r="K571" s="2">
        <v>3870806.62</v>
      </c>
      <c r="L571" t="s">
        <v>3369</v>
      </c>
      <c r="M571" t="s">
        <v>3885</v>
      </c>
    </row>
    <row r="572" spans="1:13">
      <c r="A572" t="s">
        <v>22</v>
      </c>
      <c r="B572" s="1">
        <f>HYPERLINK("https://cordis.europa.eu/project/id/813383", "813383")</f>
        <v>0</v>
      </c>
      <c r="C572" t="s">
        <v>594</v>
      </c>
      <c r="D572" t="s">
        <v>1409</v>
      </c>
      <c r="E572" t="s">
        <v>1931</v>
      </c>
      <c r="F572" t="s">
        <v>2259</v>
      </c>
      <c r="G572" t="s">
        <v>2395</v>
      </c>
      <c r="H572" t="s">
        <v>3005</v>
      </c>
      <c r="I572" t="s">
        <v>3187</v>
      </c>
      <c r="J572" s="2">
        <v>0</v>
      </c>
      <c r="K572" s="2">
        <v>4218207.84</v>
      </c>
      <c r="L572" t="s">
        <v>3368</v>
      </c>
      <c r="M572" t="s">
        <v>3886</v>
      </c>
    </row>
    <row r="573" spans="1:13">
      <c r="A573" t="s">
        <v>22</v>
      </c>
      <c r="B573" s="1">
        <f>HYPERLINK("https://cordis.europa.eu/project/id/797387", "797387")</f>
        <v>0</v>
      </c>
      <c r="C573" t="s">
        <v>595</v>
      </c>
      <c r="D573" t="s">
        <v>1410</v>
      </c>
      <c r="E573" t="s">
        <v>1944</v>
      </c>
      <c r="F573" t="s">
        <v>2196</v>
      </c>
      <c r="G573" t="s">
        <v>2408</v>
      </c>
      <c r="H573" t="s">
        <v>2997</v>
      </c>
      <c r="I573" t="s">
        <v>3160</v>
      </c>
      <c r="J573" s="2">
        <v>0</v>
      </c>
      <c r="K573" s="2">
        <v>245719.8</v>
      </c>
      <c r="L573" t="s">
        <v>3368</v>
      </c>
      <c r="M573" t="s">
        <v>3442</v>
      </c>
    </row>
    <row r="574" spans="1:13">
      <c r="A574" t="s">
        <v>22</v>
      </c>
      <c r="B574" s="1">
        <f>HYPERLINK("https://cordis.europa.eu/project/id/841844", "841844")</f>
        <v>0</v>
      </c>
      <c r="C574" t="s">
        <v>596</v>
      </c>
      <c r="D574" t="s">
        <v>1411</v>
      </c>
      <c r="E574" t="s">
        <v>1938</v>
      </c>
      <c r="F574" t="s">
        <v>2276</v>
      </c>
      <c r="G574" t="s">
        <v>2506</v>
      </c>
      <c r="H574" t="s">
        <v>2997</v>
      </c>
      <c r="I574" t="s">
        <v>3158</v>
      </c>
      <c r="J574" s="2">
        <v>0</v>
      </c>
      <c r="K574" s="2">
        <v>253110.72</v>
      </c>
      <c r="L574" t="s">
        <v>3368</v>
      </c>
      <c r="M574" t="s">
        <v>3622</v>
      </c>
    </row>
    <row r="575" spans="1:13">
      <c r="A575" t="s">
        <v>22</v>
      </c>
      <c r="B575" s="1">
        <f>HYPERLINK("https://cordis.europa.eu/project/id/101023745", "101023745")</f>
        <v>0</v>
      </c>
      <c r="C575" t="s">
        <v>597</v>
      </c>
      <c r="D575" t="s">
        <v>1412</v>
      </c>
      <c r="E575" t="s">
        <v>1945</v>
      </c>
      <c r="F575" t="s">
        <v>2277</v>
      </c>
      <c r="G575" t="s">
        <v>2405</v>
      </c>
      <c r="H575" t="s">
        <v>2997</v>
      </c>
      <c r="I575" t="s">
        <v>3166</v>
      </c>
      <c r="J575" s="2">
        <v>0</v>
      </c>
      <c r="K575" s="2">
        <v>255768</v>
      </c>
      <c r="L575" t="s">
        <v>3368</v>
      </c>
      <c r="M575" t="s">
        <v>3609</v>
      </c>
    </row>
    <row r="576" spans="1:13">
      <c r="A576" t="s">
        <v>22</v>
      </c>
      <c r="B576" s="1">
        <f>HYPERLINK("https://cordis.europa.eu/project/id/792225", "792225")</f>
        <v>0</v>
      </c>
      <c r="C576" t="s">
        <v>598</v>
      </c>
      <c r="D576" t="s">
        <v>1413</v>
      </c>
      <c r="E576" t="s">
        <v>1946</v>
      </c>
      <c r="F576" t="s">
        <v>2278</v>
      </c>
      <c r="G576" t="s">
        <v>2507</v>
      </c>
      <c r="H576" t="s">
        <v>2998</v>
      </c>
      <c r="I576" t="s">
        <v>3160</v>
      </c>
      <c r="J576" s="2">
        <v>0</v>
      </c>
      <c r="K576" s="2">
        <v>229761</v>
      </c>
      <c r="L576" t="s">
        <v>3368</v>
      </c>
      <c r="M576" t="s">
        <v>3609</v>
      </c>
    </row>
    <row r="577" spans="1:13">
      <c r="A577" t="s">
        <v>22</v>
      </c>
      <c r="B577" s="1">
        <f>HYPERLINK("https://cordis.europa.eu/project/id/893244", "893244")</f>
        <v>0</v>
      </c>
      <c r="C577" t="s">
        <v>599</v>
      </c>
      <c r="D577" t="s">
        <v>1414</v>
      </c>
      <c r="E577" t="s">
        <v>1947</v>
      </c>
      <c r="F577" t="s">
        <v>2208</v>
      </c>
      <c r="G577" t="s">
        <v>2451</v>
      </c>
      <c r="H577" t="s">
        <v>2997</v>
      </c>
      <c r="I577" t="s">
        <v>3162</v>
      </c>
      <c r="J577" s="2">
        <v>0</v>
      </c>
      <c r="K577" s="2">
        <v>233434.56</v>
      </c>
      <c r="L577" t="s">
        <v>3368</v>
      </c>
      <c r="M577" t="s">
        <v>3621</v>
      </c>
    </row>
    <row r="578" spans="1:13">
      <c r="A578" t="s">
        <v>22</v>
      </c>
      <c r="B578" s="1">
        <f>HYPERLINK("https://cordis.europa.eu/project/id/873207", "873207")</f>
        <v>0</v>
      </c>
      <c r="C578" t="s">
        <v>600</v>
      </c>
      <c r="D578" t="s">
        <v>1416</v>
      </c>
      <c r="E578" t="s">
        <v>1800</v>
      </c>
      <c r="F578" t="s">
        <v>2180</v>
      </c>
      <c r="G578" t="s">
        <v>2405</v>
      </c>
      <c r="H578" t="s">
        <v>3003</v>
      </c>
      <c r="I578" t="s">
        <v>3189</v>
      </c>
      <c r="J578" s="2">
        <v>0</v>
      </c>
      <c r="K578" s="2">
        <v>2042400</v>
      </c>
      <c r="L578" t="s">
        <v>3379</v>
      </c>
      <c r="M578" t="s">
        <v>3887</v>
      </c>
    </row>
    <row r="579" spans="1:13">
      <c r="A579" t="s">
        <v>22</v>
      </c>
      <c r="B579" s="1">
        <f>HYPERLINK("https://cordis.europa.eu/project/id/846958", "846958")</f>
        <v>0</v>
      </c>
      <c r="C579" t="s">
        <v>601</v>
      </c>
      <c r="D579" t="s">
        <v>1417</v>
      </c>
      <c r="E579" t="s">
        <v>1884</v>
      </c>
      <c r="F579" t="s">
        <v>2227</v>
      </c>
      <c r="G579" t="s">
        <v>2466</v>
      </c>
      <c r="H579" t="s">
        <v>2997</v>
      </c>
      <c r="I579" t="s">
        <v>3158</v>
      </c>
      <c r="J579" s="2">
        <v>0</v>
      </c>
      <c r="K579" s="2">
        <v>255768</v>
      </c>
      <c r="L579" t="s">
        <v>3368</v>
      </c>
      <c r="M579" t="s">
        <v>3609</v>
      </c>
    </row>
    <row r="580" spans="1:13">
      <c r="A580" t="s">
        <v>22</v>
      </c>
      <c r="B580" s="1">
        <f>HYPERLINK("https://cordis.europa.eu/project/id/700952", "700952")</f>
        <v>0</v>
      </c>
      <c r="C580" t="s">
        <v>602</v>
      </c>
      <c r="D580" t="s">
        <v>1418</v>
      </c>
      <c r="E580" t="s">
        <v>1707</v>
      </c>
      <c r="F580" t="s">
        <v>2210</v>
      </c>
      <c r="G580" t="s">
        <v>2276</v>
      </c>
      <c r="H580" t="s">
        <v>2998</v>
      </c>
      <c r="I580" t="s">
        <v>3164</v>
      </c>
      <c r="J580" s="2">
        <v>0</v>
      </c>
      <c r="K580" s="2">
        <v>251276.4</v>
      </c>
      <c r="L580" t="s">
        <v>3369</v>
      </c>
      <c r="M580" t="s">
        <v>3605</v>
      </c>
    </row>
    <row r="581" spans="1:13">
      <c r="A581" t="s">
        <v>22</v>
      </c>
      <c r="B581" s="1">
        <f>HYPERLINK("https://cordis.europa.eu/project/id/823827", "823827")</f>
        <v>0</v>
      </c>
      <c r="C581" t="s">
        <v>603</v>
      </c>
      <c r="D581" t="s">
        <v>1419</v>
      </c>
      <c r="E581" t="s">
        <v>1948</v>
      </c>
      <c r="F581" t="s">
        <v>2233</v>
      </c>
      <c r="G581" t="s">
        <v>2486</v>
      </c>
      <c r="H581" t="s">
        <v>2993</v>
      </c>
      <c r="I581" t="s">
        <v>3223</v>
      </c>
      <c r="J581" s="2">
        <v>0</v>
      </c>
      <c r="K581" s="2">
        <v>10000000</v>
      </c>
      <c r="L581" t="s">
        <v>3368</v>
      </c>
      <c r="M581" t="s">
        <v>3888</v>
      </c>
    </row>
    <row r="582" spans="1:13">
      <c r="A582" t="s">
        <v>22</v>
      </c>
      <c r="B582" s="1">
        <f>HYPERLINK("https://cordis.europa.eu/project/id/722826", "722826")</f>
        <v>0</v>
      </c>
      <c r="C582" t="s">
        <v>604</v>
      </c>
      <c r="D582" t="s">
        <v>1420</v>
      </c>
      <c r="E582" t="s">
        <v>1949</v>
      </c>
      <c r="F582" t="s">
        <v>1892</v>
      </c>
      <c r="G582" t="s">
        <v>2421</v>
      </c>
      <c r="H582" t="s">
        <v>3011</v>
      </c>
      <c r="I582" t="s">
        <v>3171</v>
      </c>
      <c r="J582" s="2">
        <v>0</v>
      </c>
      <c r="K582" s="2">
        <v>3843713.31</v>
      </c>
      <c r="L582" t="s">
        <v>3368</v>
      </c>
      <c r="M582" t="s">
        <v>3889</v>
      </c>
    </row>
    <row r="583" spans="1:13">
      <c r="A583" t="s">
        <v>22</v>
      </c>
      <c r="B583" s="1">
        <f>HYPERLINK("https://cordis.europa.eu/project/id/101024283", "101024283")</f>
        <v>0</v>
      </c>
      <c r="C583" t="s">
        <v>605</v>
      </c>
      <c r="D583" t="s">
        <v>1421</v>
      </c>
      <c r="E583" t="s">
        <v>1950</v>
      </c>
      <c r="F583" t="s">
        <v>2214</v>
      </c>
      <c r="G583" t="s">
        <v>2424</v>
      </c>
      <c r="H583" t="s">
        <v>2997</v>
      </c>
      <c r="I583" t="s">
        <v>3166</v>
      </c>
      <c r="J583" s="2">
        <v>0</v>
      </c>
      <c r="K583" s="2">
        <v>262385.28</v>
      </c>
      <c r="L583" t="s">
        <v>3368</v>
      </c>
      <c r="M583" t="s">
        <v>3389</v>
      </c>
    </row>
    <row r="584" spans="1:13">
      <c r="A584" t="s">
        <v>22</v>
      </c>
      <c r="B584" s="1">
        <f>HYPERLINK("https://cordis.europa.eu/project/id/819960", "819960")</f>
        <v>0</v>
      </c>
      <c r="C584" t="s">
        <v>606</v>
      </c>
      <c r="D584" t="s">
        <v>1422</v>
      </c>
      <c r="E584" t="s">
        <v>1951</v>
      </c>
      <c r="F584" t="s">
        <v>2202</v>
      </c>
      <c r="G584" t="s">
        <v>2403</v>
      </c>
      <c r="H584" t="s">
        <v>3001</v>
      </c>
      <c r="I584" t="s">
        <v>3168</v>
      </c>
      <c r="J584" s="2">
        <v>50000</v>
      </c>
      <c r="K584" s="2">
        <v>1998643.75</v>
      </c>
      <c r="L584" t="s">
        <v>3368</v>
      </c>
      <c r="M584" t="s">
        <v>3890</v>
      </c>
    </row>
    <row r="585" spans="1:13">
      <c r="A585" t="s">
        <v>22</v>
      </c>
      <c r="B585" s="1">
        <f>HYPERLINK("https://cordis.europa.eu/project/id/101025938", "101025938")</f>
        <v>0</v>
      </c>
      <c r="C585" t="s">
        <v>607</v>
      </c>
      <c r="D585" t="s">
        <v>1423</v>
      </c>
      <c r="E585" t="s">
        <v>1952</v>
      </c>
      <c r="F585" t="s">
        <v>2216</v>
      </c>
      <c r="G585" t="s">
        <v>2430</v>
      </c>
      <c r="H585" t="s">
        <v>2997</v>
      </c>
      <c r="I585" t="s">
        <v>3166</v>
      </c>
      <c r="J585" s="2">
        <v>0</v>
      </c>
      <c r="K585" s="2">
        <v>209598.24</v>
      </c>
      <c r="L585" t="s">
        <v>3368</v>
      </c>
      <c r="M585" t="s">
        <v>3891</v>
      </c>
    </row>
    <row r="586" spans="1:13">
      <c r="A586" t="s">
        <v>22</v>
      </c>
      <c r="B586" s="1">
        <f>HYPERLINK("https://cordis.europa.eu/project/id/833933", "833933")</f>
        <v>0</v>
      </c>
      <c r="C586" t="s">
        <v>608</v>
      </c>
      <c r="D586" t="s">
        <v>1424</v>
      </c>
      <c r="E586" t="s">
        <v>1953</v>
      </c>
      <c r="F586" t="s">
        <v>2191</v>
      </c>
      <c r="G586" t="s">
        <v>2489</v>
      </c>
      <c r="H586" t="s">
        <v>2995</v>
      </c>
      <c r="I586" t="s">
        <v>3267</v>
      </c>
      <c r="J586" s="2">
        <v>1567142</v>
      </c>
      <c r="K586" s="2">
        <v>2491583.5</v>
      </c>
      <c r="L586" t="s">
        <v>3368</v>
      </c>
      <c r="M586" t="s">
        <v>3662</v>
      </c>
    </row>
    <row r="587" spans="1:13">
      <c r="A587" t="s">
        <v>22</v>
      </c>
      <c r="B587" s="1">
        <f>HYPERLINK("https://cordis.europa.eu/project/id/745704", "745704")</f>
        <v>0</v>
      </c>
      <c r="C587" t="s">
        <v>609</v>
      </c>
      <c r="D587" t="s">
        <v>1425</v>
      </c>
      <c r="E587" t="s">
        <v>1827</v>
      </c>
      <c r="F587" t="s">
        <v>2197</v>
      </c>
      <c r="G587" t="s">
        <v>2418</v>
      </c>
      <c r="H587" t="s">
        <v>2998</v>
      </c>
      <c r="I587" t="s">
        <v>3159</v>
      </c>
      <c r="J587" s="2">
        <v>0</v>
      </c>
      <c r="K587" s="2">
        <v>229761</v>
      </c>
      <c r="L587" t="s">
        <v>3368</v>
      </c>
      <c r="M587" t="s">
        <v>3609</v>
      </c>
    </row>
    <row r="588" spans="1:13">
      <c r="A588" t="s">
        <v>22</v>
      </c>
      <c r="B588" s="1">
        <f>HYPERLINK("https://cordis.europa.eu/project/id/897535", "897535")</f>
        <v>0</v>
      </c>
      <c r="C588" t="s">
        <v>610</v>
      </c>
      <c r="D588" t="s">
        <v>1426</v>
      </c>
      <c r="E588" t="s">
        <v>1680</v>
      </c>
      <c r="F588" t="s">
        <v>2216</v>
      </c>
      <c r="G588" t="s">
        <v>2428</v>
      </c>
      <c r="H588" t="s">
        <v>2997</v>
      </c>
      <c r="I588" t="s">
        <v>3162</v>
      </c>
      <c r="J588" s="2">
        <v>0</v>
      </c>
      <c r="K588" s="2">
        <v>232497.6</v>
      </c>
      <c r="L588" t="s">
        <v>3368</v>
      </c>
      <c r="M588" t="s">
        <v>3892</v>
      </c>
    </row>
    <row r="589" spans="1:13">
      <c r="A589" t="s">
        <v>22</v>
      </c>
      <c r="B589" s="1">
        <f>HYPERLINK("https://cordis.europa.eu/project/id/688991", "688991")</f>
        <v>0</v>
      </c>
      <c r="C589" t="s">
        <v>611</v>
      </c>
      <c r="D589" t="s">
        <v>1427</v>
      </c>
      <c r="E589" t="s">
        <v>1905</v>
      </c>
      <c r="F589" t="s">
        <v>2188</v>
      </c>
      <c r="G589" t="s">
        <v>2387</v>
      </c>
      <c r="H589" t="s">
        <v>3003</v>
      </c>
      <c r="I589" t="s">
        <v>3176</v>
      </c>
      <c r="J589" s="2">
        <v>0</v>
      </c>
      <c r="K589" s="2">
        <v>1192500</v>
      </c>
      <c r="L589" t="s">
        <v>3368</v>
      </c>
      <c r="M589" t="s">
        <v>3893</v>
      </c>
    </row>
    <row r="590" spans="1:13">
      <c r="A590" t="s">
        <v>22</v>
      </c>
      <c r="B590" s="1">
        <f>HYPERLINK("https://cordis.europa.eu/project/id/845799", "845799")</f>
        <v>0</v>
      </c>
      <c r="C590" t="s">
        <v>612</v>
      </c>
      <c r="D590" t="s">
        <v>1428</v>
      </c>
      <c r="E590" t="s">
        <v>1678</v>
      </c>
      <c r="F590" t="s">
        <v>2180</v>
      </c>
      <c r="G590" t="s">
        <v>2433</v>
      </c>
      <c r="H590" t="s">
        <v>2997</v>
      </c>
      <c r="I590" t="s">
        <v>3158</v>
      </c>
      <c r="J590" s="2">
        <v>0</v>
      </c>
      <c r="K590" s="2">
        <v>273687.36</v>
      </c>
      <c r="L590" t="s">
        <v>3368</v>
      </c>
      <c r="M590" t="s">
        <v>3709</v>
      </c>
    </row>
    <row r="591" spans="1:13">
      <c r="A591" t="s">
        <v>22</v>
      </c>
      <c r="B591" s="1">
        <f>HYPERLINK("https://cordis.europa.eu/project/id/639363", "639363")</f>
        <v>0</v>
      </c>
      <c r="C591" t="s">
        <v>613</v>
      </c>
      <c r="D591" t="s">
        <v>1429</v>
      </c>
      <c r="E591" t="s">
        <v>1954</v>
      </c>
      <c r="F591" t="s">
        <v>2226</v>
      </c>
      <c r="G591" t="s">
        <v>2449</v>
      </c>
      <c r="H591" t="s">
        <v>3006</v>
      </c>
      <c r="I591" t="s">
        <v>3219</v>
      </c>
      <c r="J591" s="2">
        <v>85000</v>
      </c>
      <c r="K591" s="2">
        <v>1416146</v>
      </c>
      <c r="L591" t="s">
        <v>3368</v>
      </c>
      <c r="M591" t="s">
        <v>3894</v>
      </c>
    </row>
    <row r="592" spans="1:13">
      <c r="A592" t="s">
        <v>22</v>
      </c>
      <c r="B592" s="1">
        <f>HYPERLINK("https://cordis.europa.eu/project/id/897565", "897565")</f>
        <v>0</v>
      </c>
      <c r="C592" t="s">
        <v>614</v>
      </c>
      <c r="D592" t="s">
        <v>1430</v>
      </c>
      <c r="E592" t="s">
        <v>1681</v>
      </c>
      <c r="F592" t="s">
        <v>2279</v>
      </c>
      <c r="G592" t="s">
        <v>2508</v>
      </c>
      <c r="H592" t="s">
        <v>2997</v>
      </c>
      <c r="I592" t="s">
        <v>3162</v>
      </c>
      <c r="J592" s="2">
        <v>0</v>
      </c>
      <c r="K592" s="2">
        <v>180369.6</v>
      </c>
      <c r="L592" t="s">
        <v>3368</v>
      </c>
      <c r="M592" t="s">
        <v>3895</v>
      </c>
    </row>
    <row r="593" spans="1:13">
      <c r="A593" t="s">
        <v>22</v>
      </c>
      <c r="B593" s="1">
        <f>HYPERLINK("https://cordis.europa.eu/project/id/813883", "813883")</f>
        <v>0</v>
      </c>
      <c r="C593" t="s">
        <v>615</v>
      </c>
      <c r="D593" t="s">
        <v>1431</v>
      </c>
      <c r="E593" t="s">
        <v>1955</v>
      </c>
      <c r="F593" t="s">
        <v>2259</v>
      </c>
      <c r="G593" t="s">
        <v>2434</v>
      </c>
      <c r="H593" t="s">
        <v>3002</v>
      </c>
      <c r="I593" t="s">
        <v>3187</v>
      </c>
      <c r="J593" s="2">
        <v>0</v>
      </c>
      <c r="K593" s="2">
        <v>4003318.399999999</v>
      </c>
      <c r="L593" t="s">
        <v>3368</v>
      </c>
      <c r="M593" t="s">
        <v>3896</v>
      </c>
    </row>
    <row r="594" spans="1:13">
      <c r="A594" t="s">
        <v>22</v>
      </c>
      <c r="B594" s="1">
        <f>HYPERLINK("https://cordis.europa.eu/project/id/101007438", "101007438")</f>
        <v>0</v>
      </c>
      <c r="C594" t="s">
        <v>616</v>
      </c>
      <c r="D594" t="s">
        <v>1432</v>
      </c>
      <c r="E594" t="s">
        <v>1956</v>
      </c>
      <c r="F594" t="s">
        <v>2243</v>
      </c>
      <c r="G594" t="s">
        <v>2500</v>
      </c>
      <c r="H594" t="s">
        <v>3003</v>
      </c>
      <c r="I594" t="s">
        <v>3216</v>
      </c>
      <c r="J594" s="2">
        <v>0</v>
      </c>
      <c r="K594" s="2">
        <v>883200</v>
      </c>
      <c r="L594" t="s">
        <v>3369</v>
      </c>
      <c r="M594" t="s">
        <v>3897</v>
      </c>
    </row>
    <row r="595" spans="1:13">
      <c r="A595" t="s">
        <v>22</v>
      </c>
      <c r="B595" s="1">
        <f>HYPERLINK("https://cordis.europa.eu/project/id/845061", "845061")</f>
        <v>0</v>
      </c>
      <c r="C595" t="s">
        <v>617</v>
      </c>
      <c r="D595" t="s">
        <v>1433</v>
      </c>
      <c r="E595" t="s">
        <v>1884</v>
      </c>
      <c r="F595" t="s">
        <v>2227</v>
      </c>
      <c r="G595" t="s">
        <v>2306</v>
      </c>
      <c r="H595" t="s">
        <v>2997</v>
      </c>
      <c r="I595" t="s">
        <v>3158</v>
      </c>
      <c r="J595" s="2">
        <v>0</v>
      </c>
      <c r="K595" s="2">
        <v>255768</v>
      </c>
      <c r="L595" t="s">
        <v>3368</v>
      </c>
      <c r="M595" t="s">
        <v>3609</v>
      </c>
    </row>
    <row r="596" spans="1:13">
      <c r="A596" t="s">
        <v>22</v>
      </c>
      <c r="B596" s="1">
        <f>HYPERLINK("https://cordis.europa.eu/project/id/964215", "964215")</f>
        <v>0</v>
      </c>
      <c r="C596" t="s">
        <v>618</v>
      </c>
      <c r="D596" t="s">
        <v>1434</v>
      </c>
      <c r="E596" t="s">
        <v>1957</v>
      </c>
      <c r="F596" t="s">
        <v>2193</v>
      </c>
      <c r="G596" t="s">
        <v>2405</v>
      </c>
      <c r="H596" t="s">
        <v>2992</v>
      </c>
      <c r="I596" t="s">
        <v>3143</v>
      </c>
      <c r="J596" s="2">
        <v>35887.5</v>
      </c>
      <c r="K596" s="2">
        <v>7274776</v>
      </c>
      <c r="L596" t="s">
        <v>3368</v>
      </c>
      <c r="M596" t="s">
        <v>3898</v>
      </c>
    </row>
    <row r="597" spans="1:13">
      <c r="A597" t="s">
        <v>22</v>
      </c>
      <c r="B597" s="1">
        <f>HYPERLINK("https://cordis.europa.eu/project/id/892837", "892837")</f>
        <v>0</v>
      </c>
      <c r="C597" t="s">
        <v>619</v>
      </c>
      <c r="D597" t="s">
        <v>1435</v>
      </c>
      <c r="E597" t="s">
        <v>1868</v>
      </c>
      <c r="F597" t="s">
        <v>2212</v>
      </c>
      <c r="G597" t="s">
        <v>2509</v>
      </c>
      <c r="H597" t="s">
        <v>2997</v>
      </c>
      <c r="I597" t="s">
        <v>3162</v>
      </c>
      <c r="J597" s="2">
        <v>0</v>
      </c>
      <c r="K597" s="2">
        <v>244385.28</v>
      </c>
      <c r="L597" t="s">
        <v>3368</v>
      </c>
      <c r="M597" t="s">
        <v>3662</v>
      </c>
    </row>
    <row r="598" spans="1:13">
      <c r="A598" t="s">
        <v>22</v>
      </c>
      <c r="B598" s="1">
        <f>HYPERLINK("https://cordis.europa.eu/project/id/701698", "701698")</f>
        <v>0</v>
      </c>
      <c r="C598" t="s">
        <v>620</v>
      </c>
      <c r="D598" t="s">
        <v>1436</v>
      </c>
      <c r="E598" t="s">
        <v>1725</v>
      </c>
      <c r="F598" t="s">
        <v>2209</v>
      </c>
      <c r="G598" t="s">
        <v>2510</v>
      </c>
      <c r="H598" t="s">
        <v>2997</v>
      </c>
      <c r="I598" t="s">
        <v>3164</v>
      </c>
      <c r="J598" s="2">
        <v>0</v>
      </c>
      <c r="K598" s="2">
        <v>251555.4</v>
      </c>
      <c r="L598" t="s">
        <v>3368</v>
      </c>
      <c r="M598" t="s">
        <v>3629</v>
      </c>
    </row>
    <row r="599" spans="1:13">
      <c r="A599" t="s">
        <v>22</v>
      </c>
      <c r="B599" s="1">
        <f>HYPERLINK("https://cordis.europa.eu/project/id/793396", "793396")</f>
        <v>0</v>
      </c>
      <c r="C599" t="s">
        <v>621</v>
      </c>
      <c r="D599" t="s">
        <v>1437</v>
      </c>
      <c r="E599" t="s">
        <v>1958</v>
      </c>
      <c r="F599" t="s">
        <v>2192</v>
      </c>
      <c r="G599" t="s">
        <v>2511</v>
      </c>
      <c r="H599" t="s">
        <v>2997</v>
      </c>
      <c r="I599" t="s">
        <v>3160</v>
      </c>
      <c r="J599" s="2">
        <v>0</v>
      </c>
      <c r="K599" s="2">
        <v>232160.4</v>
      </c>
      <c r="L599" t="s">
        <v>3368</v>
      </c>
      <c r="M599" t="s">
        <v>3389</v>
      </c>
    </row>
    <row r="600" spans="1:13">
      <c r="A600" t="s">
        <v>22</v>
      </c>
      <c r="B600" s="1">
        <f>HYPERLINK("https://cordis.europa.eu/project/id/872488", "872488")</f>
        <v>0</v>
      </c>
      <c r="C600" t="s">
        <v>622</v>
      </c>
      <c r="D600" t="s">
        <v>1438</v>
      </c>
      <c r="E600" t="s">
        <v>1800</v>
      </c>
      <c r="F600" t="s">
        <v>2180</v>
      </c>
      <c r="G600" t="s">
        <v>2489</v>
      </c>
      <c r="H600" t="s">
        <v>3003</v>
      </c>
      <c r="I600" t="s">
        <v>3189</v>
      </c>
      <c r="J600" s="2">
        <v>0</v>
      </c>
      <c r="K600" s="2">
        <v>680800</v>
      </c>
      <c r="L600" t="s">
        <v>3369</v>
      </c>
      <c r="M600" t="s">
        <v>3899</v>
      </c>
    </row>
    <row r="601" spans="1:13">
      <c r="A601" t="s">
        <v>22</v>
      </c>
      <c r="B601" s="1">
        <f>HYPERLINK("https://cordis.europa.eu/project/id/825903", "825903")</f>
        <v>0</v>
      </c>
      <c r="C601" t="s">
        <v>623</v>
      </c>
      <c r="D601" t="s">
        <v>1439</v>
      </c>
      <c r="E601" t="s">
        <v>1959</v>
      </c>
      <c r="F601" t="s">
        <v>2251</v>
      </c>
      <c r="G601" t="s">
        <v>2397</v>
      </c>
      <c r="H601" t="s">
        <v>2993</v>
      </c>
      <c r="I601" t="s">
        <v>3152</v>
      </c>
      <c r="J601" s="2">
        <v>0</v>
      </c>
      <c r="K601" s="2">
        <v>5395292.5</v>
      </c>
      <c r="L601" t="s">
        <v>3368</v>
      </c>
      <c r="M601" t="s">
        <v>3900</v>
      </c>
    </row>
    <row r="602" spans="1:13">
      <c r="A602" t="s">
        <v>22</v>
      </c>
      <c r="B602" s="1">
        <f>HYPERLINK("https://cordis.europa.eu/project/id/825746", "825746")</f>
        <v>0</v>
      </c>
      <c r="C602" t="s">
        <v>624</v>
      </c>
      <c r="D602" t="s">
        <v>1440</v>
      </c>
      <c r="E602" t="s">
        <v>1959</v>
      </c>
      <c r="F602" t="s">
        <v>2189</v>
      </c>
      <c r="G602" t="s">
        <v>2417</v>
      </c>
      <c r="H602" t="s">
        <v>2993</v>
      </c>
      <c r="I602" t="s">
        <v>3152</v>
      </c>
      <c r="J602" s="2">
        <v>0</v>
      </c>
      <c r="K602" s="2">
        <v>7760021.72</v>
      </c>
      <c r="L602" t="s">
        <v>3368</v>
      </c>
      <c r="M602" t="s">
        <v>3901</v>
      </c>
    </row>
    <row r="603" spans="1:13">
      <c r="A603" t="s">
        <v>22</v>
      </c>
      <c r="B603" s="1">
        <f>HYPERLINK("https://cordis.europa.eu/project/id/634935", "634935")</f>
        <v>0</v>
      </c>
      <c r="C603" t="s">
        <v>625</v>
      </c>
      <c r="D603" t="s">
        <v>1441</v>
      </c>
      <c r="E603" t="s">
        <v>1960</v>
      </c>
      <c r="F603" t="s">
        <v>2236</v>
      </c>
      <c r="G603" t="s">
        <v>2511</v>
      </c>
      <c r="H603" t="s">
        <v>2993</v>
      </c>
      <c r="I603" t="s">
        <v>3227</v>
      </c>
      <c r="J603" s="2">
        <v>0</v>
      </c>
      <c r="K603" s="2">
        <v>6200000</v>
      </c>
      <c r="L603" t="s">
        <v>3368</v>
      </c>
      <c r="M603" t="s">
        <v>3902</v>
      </c>
    </row>
    <row r="604" spans="1:13">
      <c r="A604" t="s">
        <v>22</v>
      </c>
      <c r="B604" s="1">
        <f>HYPERLINK("https://cordis.europa.eu/project/id/965286", "965286")</f>
        <v>0</v>
      </c>
      <c r="C604" t="s">
        <v>626</v>
      </c>
      <c r="D604" t="s">
        <v>1442</v>
      </c>
      <c r="E604" t="s">
        <v>1957</v>
      </c>
      <c r="F604" t="s">
        <v>2182</v>
      </c>
      <c r="G604" t="s">
        <v>2393</v>
      </c>
      <c r="H604" t="s">
        <v>2993</v>
      </c>
      <c r="I604" t="s">
        <v>3143</v>
      </c>
      <c r="J604" s="2">
        <v>0</v>
      </c>
      <c r="K604" s="2">
        <v>13915311.25</v>
      </c>
      <c r="L604" t="s">
        <v>3368</v>
      </c>
      <c r="M604" t="s">
        <v>3903</v>
      </c>
    </row>
    <row r="605" spans="1:13">
      <c r="A605" t="s">
        <v>22</v>
      </c>
      <c r="B605" s="1">
        <f>HYPERLINK("https://cordis.europa.eu/project/id/645740", "645740")</f>
        <v>0</v>
      </c>
      <c r="C605" t="s">
        <v>627</v>
      </c>
      <c r="D605" t="s">
        <v>1443</v>
      </c>
      <c r="E605" t="s">
        <v>1961</v>
      </c>
      <c r="F605" t="s">
        <v>2222</v>
      </c>
      <c r="G605" t="s">
        <v>2387</v>
      </c>
      <c r="H605" t="s">
        <v>3003</v>
      </c>
      <c r="I605" t="s">
        <v>3175</v>
      </c>
      <c r="J605" s="2">
        <v>0</v>
      </c>
      <c r="K605" s="2">
        <v>792000</v>
      </c>
      <c r="L605" t="s">
        <v>3368</v>
      </c>
      <c r="M605" t="s">
        <v>3904</v>
      </c>
    </row>
    <row r="606" spans="1:13">
      <c r="A606" t="s">
        <v>22</v>
      </c>
      <c r="B606" s="1">
        <f>HYPERLINK("https://cordis.europa.eu/project/id/653961", "653961")</f>
        <v>0</v>
      </c>
      <c r="C606" t="s">
        <v>628</v>
      </c>
      <c r="D606" t="s">
        <v>1444</v>
      </c>
      <c r="E606" t="s">
        <v>1703</v>
      </c>
      <c r="F606" t="s">
        <v>2226</v>
      </c>
      <c r="G606" t="s">
        <v>2475</v>
      </c>
      <c r="H606" t="s">
        <v>2985</v>
      </c>
      <c r="I606" t="s">
        <v>3268</v>
      </c>
      <c r="J606" s="2">
        <v>0</v>
      </c>
      <c r="K606" s="2">
        <v>1103613.75</v>
      </c>
      <c r="L606" t="s">
        <v>3368</v>
      </c>
      <c r="M606" t="s">
        <v>3905</v>
      </c>
    </row>
    <row r="607" spans="1:13">
      <c r="A607" t="s">
        <v>22</v>
      </c>
      <c r="B607" s="1">
        <f>HYPERLINK("https://cordis.europa.eu/project/id/888692", "888692")</f>
        <v>0</v>
      </c>
      <c r="C607" t="s">
        <v>629</v>
      </c>
      <c r="D607" t="s">
        <v>1445</v>
      </c>
      <c r="E607" t="s">
        <v>1679</v>
      </c>
      <c r="F607" t="s">
        <v>2201</v>
      </c>
      <c r="G607" t="s">
        <v>2412</v>
      </c>
      <c r="H607" t="s">
        <v>2997</v>
      </c>
      <c r="I607" t="s">
        <v>3162</v>
      </c>
      <c r="J607" s="2">
        <v>0</v>
      </c>
      <c r="K607" s="2">
        <v>232497.6</v>
      </c>
      <c r="L607" t="s">
        <v>3368</v>
      </c>
      <c r="M607" t="s">
        <v>3607</v>
      </c>
    </row>
    <row r="608" spans="1:13">
      <c r="A608" t="s">
        <v>22</v>
      </c>
      <c r="B608" s="1">
        <f>HYPERLINK("https://cordis.europa.eu/project/id/101036822", "101036822")</f>
        <v>0</v>
      </c>
      <c r="C608" t="s">
        <v>630</v>
      </c>
      <c r="D608" t="s">
        <v>1446</v>
      </c>
      <c r="E608" t="s">
        <v>1962</v>
      </c>
      <c r="F608" t="s">
        <v>2206</v>
      </c>
      <c r="G608" t="s">
        <v>2405</v>
      </c>
      <c r="H608" t="s">
        <v>2994</v>
      </c>
      <c r="I608" t="s">
        <v>3269</v>
      </c>
      <c r="J608" s="2">
        <v>0</v>
      </c>
      <c r="K608" s="2">
        <v>11999973.89</v>
      </c>
      <c r="L608" t="s">
        <v>3369</v>
      </c>
      <c r="M608" t="s">
        <v>3906</v>
      </c>
    </row>
    <row r="609" spans="1:13">
      <c r="A609" t="s">
        <v>22</v>
      </c>
      <c r="B609" s="1">
        <f>HYPERLINK("https://cordis.europa.eu/project/id/796451", "796451")</f>
        <v>0</v>
      </c>
      <c r="C609" t="s">
        <v>631</v>
      </c>
      <c r="D609" t="s">
        <v>1447</v>
      </c>
      <c r="E609" t="s">
        <v>1963</v>
      </c>
      <c r="F609" t="s">
        <v>2192</v>
      </c>
      <c r="G609" t="s">
        <v>2511</v>
      </c>
      <c r="H609" t="s">
        <v>2997</v>
      </c>
      <c r="I609" t="s">
        <v>3160</v>
      </c>
      <c r="J609" s="2">
        <v>0</v>
      </c>
      <c r="K609" s="2">
        <v>225352.8</v>
      </c>
      <c r="L609" t="s">
        <v>3368</v>
      </c>
      <c r="M609" t="s">
        <v>3602</v>
      </c>
    </row>
    <row r="610" spans="1:13">
      <c r="A610" t="s">
        <v>22</v>
      </c>
      <c r="B610" s="1">
        <f>HYPERLINK("https://cordis.europa.eu/project/id/774378", "774378")</f>
        <v>0</v>
      </c>
      <c r="C610" t="s">
        <v>632</v>
      </c>
      <c r="D610" t="s">
        <v>1448</v>
      </c>
      <c r="E610" t="s">
        <v>1964</v>
      </c>
      <c r="F610" t="s">
        <v>2264</v>
      </c>
      <c r="G610" t="s">
        <v>2458</v>
      </c>
      <c r="H610" t="s">
        <v>2985</v>
      </c>
      <c r="I610" t="s">
        <v>3270</v>
      </c>
      <c r="J610" s="2">
        <v>0</v>
      </c>
      <c r="K610" s="2">
        <v>2451771</v>
      </c>
      <c r="L610" t="s">
        <v>3369</v>
      </c>
      <c r="M610" t="s">
        <v>3907</v>
      </c>
    </row>
    <row r="611" spans="1:13">
      <c r="A611" t="s">
        <v>22</v>
      </c>
      <c r="B611" s="1">
        <f>HYPERLINK("https://cordis.europa.eu/project/id/730879", "730879")</f>
        <v>0</v>
      </c>
      <c r="C611" t="s">
        <v>633</v>
      </c>
      <c r="D611" t="s">
        <v>1449</v>
      </c>
      <c r="E611" t="s">
        <v>1835</v>
      </c>
      <c r="F611" t="s">
        <v>2223</v>
      </c>
      <c r="G611" t="s">
        <v>2446</v>
      </c>
      <c r="H611" t="s">
        <v>2985</v>
      </c>
      <c r="I611" t="s">
        <v>3271</v>
      </c>
      <c r="J611" s="2">
        <v>0</v>
      </c>
      <c r="K611" s="2">
        <v>4955877.16</v>
      </c>
      <c r="L611" t="s">
        <v>3368</v>
      </c>
      <c r="M611" t="s">
        <v>3908</v>
      </c>
    </row>
    <row r="612" spans="1:13">
      <c r="A612" t="s">
        <v>22</v>
      </c>
      <c r="B612" s="1">
        <f>HYPERLINK("https://cordis.europa.eu/project/id/101026399", "101026399")</f>
        <v>0</v>
      </c>
      <c r="C612" t="s">
        <v>634</v>
      </c>
      <c r="D612" t="s">
        <v>1450</v>
      </c>
      <c r="E612" t="s">
        <v>1692</v>
      </c>
      <c r="F612" t="s">
        <v>2214</v>
      </c>
      <c r="G612" t="s">
        <v>2424</v>
      </c>
      <c r="H612" t="s">
        <v>2997</v>
      </c>
      <c r="I612" t="s">
        <v>3166</v>
      </c>
      <c r="J612" s="2">
        <v>0</v>
      </c>
      <c r="K612" s="2">
        <v>255768</v>
      </c>
      <c r="L612" t="s">
        <v>3368</v>
      </c>
      <c r="M612" t="s">
        <v>3608</v>
      </c>
    </row>
    <row r="613" spans="1:13">
      <c r="A613" t="s">
        <v>22</v>
      </c>
      <c r="B613" s="1">
        <f>HYPERLINK("https://cordis.europa.eu/project/id/642774", "642774")</f>
        <v>0</v>
      </c>
      <c r="C613" t="s">
        <v>635</v>
      </c>
      <c r="D613" t="s">
        <v>1451</v>
      </c>
      <c r="E613" t="s">
        <v>1659</v>
      </c>
      <c r="F613" t="s">
        <v>2222</v>
      </c>
      <c r="G613" t="s">
        <v>2387</v>
      </c>
      <c r="H613" t="s">
        <v>3002</v>
      </c>
      <c r="I613" t="s">
        <v>3188</v>
      </c>
      <c r="J613" s="2">
        <v>0</v>
      </c>
      <c r="K613" s="2">
        <v>3895886.88</v>
      </c>
      <c r="L613" t="s">
        <v>3368</v>
      </c>
      <c r="M613" t="s">
        <v>3909</v>
      </c>
    </row>
    <row r="614" spans="1:13">
      <c r="A614" t="s">
        <v>22</v>
      </c>
      <c r="B614" s="1">
        <f>HYPERLINK("https://cordis.europa.eu/project/id/873127", "873127")</f>
        <v>0</v>
      </c>
      <c r="C614" t="s">
        <v>636</v>
      </c>
      <c r="D614" t="s">
        <v>1452</v>
      </c>
      <c r="E614" t="s">
        <v>1800</v>
      </c>
      <c r="F614" t="s">
        <v>2180</v>
      </c>
      <c r="G614" t="s">
        <v>2403</v>
      </c>
      <c r="H614" t="s">
        <v>3003</v>
      </c>
      <c r="I614" t="s">
        <v>3189</v>
      </c>
      <c r="J614" s="2">
        <v>0</v>
      </c>
      <c r="K614" s="2">
        <v>1058000</v>
      </c>
      <c r="L614" t="s">
        <v>3368</v>
      </c>
      <c r="M614" t="s">
        <v>3910</v>
      </c>
    </row>
    <row r="615" spans="1:13">
      <c r="A615" t="s">
        <v>22</v>
      </c>
      <c r="B615" s="1">
        <f>HYPERLINK("https://cordis.europa.eu/project/id/665735", "665735")</f>
        <v>0</v>
      </c>
      <c r="C615" t="s">
        <v>637</v>
      </c>
      <c r="D615" t="s">
        <v>1453</v>
      </c>
      <c r="E615" t="s">
        <v>1753</v>
      </c>
      <c r="F615" t="s">
        <v>2221</v>
      </c>
      <c r="G615" t="s">
        <v>2512</v>
      </c>
      <c r="H615" t="s">
        <v>3004</v>
      </c>
      <c r="I615" t="s">
        <v>3185</v>
      </c>
      <c r="J615" s="2">
        <v>0</v>
      </c>
      <c r="K615" s="2">
        <v>2302080</v>
      </c>
      <c r="L615" t="s">
        <v>3368</v>
      </c>
      <c r="M615" t="s">
        <v>3911</v>
      </c>
    </row>
    <row r="616" spans="1:13">
      <c r="A616" t="s">
        <v>22</v>
      </c>
      <c r="B616" s="1">
        <f>HYPERLINK("https://cordis.europa.eu/project/id/896313", "896313")</f>
        <v>0</v>
      </c>
      <c r="C616" t="s">
        <v>638</v>
      </c>
      <c r="D616" t="s">
        <v>1454</v>
      </c>
      <c r="E616" t="s">
        <v>1877</v>
      </c>
      <c r="F616" t="s">
        <v>2265</v>
      </c>
      <c r="G616" t="s">
        <v>2513</v>
      </c>
      <c r="H616" t="s">
        <v>2997</v>
      </c>
      <c r="I616" t="s">
        <v>3162</v>
      </c>
      <c r="J616" s="2">
        <v>0</v>
      </c>
      <c r="K616" s="2">
        <v>225381.36</v>
      </c>
      <c r="L616" t="s">
        <v>3368</v>
      </c>
      <c r="M616" t="s">
        <v>3389</v>
      </c>
    </row>
    <row r="617" spans="1:13">
      <c r="A617" t="s">
        <v>22</v>
      </c>
      <c r="B617" s="1">
        <f>HYPERLINK("https://cordis.europa.eu/project/id/790012", "790012")</f>
        <v>0</v>
      </c>
      <c r="C617" t="s">
        <v>639</v>
      </c>
      <c r="D617" t="s">
        <v>1455</v>
      </c>
      <c r="E617" t="s">
        <v>1963</v>
      </c>
      <c r="F617" t="s">
        <v>2280</v>
      </c>
      <c r="G617" t="s">
        <v>2446</v>
      </c>
      <c r="H617" t="s">
        <v>2998</v>
      </c>
      <c r="I617" t="s">
        <v>3160</v>
      </c>
      <c r="J617" s="2">
        <v>0</v>
      </c>
      <c r="K617" s="2">
        <v>224683.2</v>
      </c>
      <c r="L617" t="s">
        <v>3368</v>
      </c>
      <c r="M617" t="s">
        <v>3616</v>
      </c>
    </row>
    <row r="618" spans="1:13">
      <c r="A618" t="s">
        <v>22</v>
      </c>
      <c r="B618" s="1">
        <f>HYPERLINK("https://cordis.europa.eu/project/id/825835", "825835")</f>
        <v>0</v>
      </c>
      <c r="C618" t="s">
        <v>640</v>
      </c>
      <c r="D618" t="s">
        <v>1456</v>
      </c>
      <c r="E618" t="s">
        <v>1806</v>
      </c>
      <c r="F618" t="s">
        <v>2189</v>
      </c>
      <c r="G618" t="s">
        <v>2411</v>
      </c>
      <c r="H618" t="s">
        <v>2993</v>
      </c>
      <c r="I618" t="s">
        <v>3152</v>
      </c>
      <c r="J618" s="2">
        <v>0</v>
      </c>
      <c r="K618" s="2">
        <v>5999452.75</v>
      </c>
      <c r="L618" t="s">
        <v>3368</v>
      </c>
      <c r="M618" t="s">
        <v>3912</v>
      </c>
    </row>
    <row r="619" spans="1:13">
      <c r="A619" t="s">
        <v>22</v>
      </c>
      <c r="B619" s="1">
        <f>HYPERLINK("https://cordis.europa.eu/project/id/708169", "708169")</f>
        <v>0</v>
      </c>
      <c r="C619" t="s">
        <v>641</v>
      </c>
      <c r="D619" t="s">
        <v>1457</v>
      </c>
      <c r="E619" t="s">
        <v>1965</v>
      </c>
      <c r="F619" t="s">
        <v>2281</v>
      </c>
      <c r="G619" t="s">
        <v>2514</v>
      </c>
      <c r="H619" t="s">
        <v>2998</v>
      </c>
      <c r="I619" t="s">
        <v>3164</v>
      </c>
      <c r="J619" s="2">
        <v>0</v>
      </c>
      <c r="K619" s="2">
        <v>243352.8</v>
      </c>
      <c r="L619" t="s">
        <v>3368</v>
      </c>
      <c r="M619" t="s">
        <v>3602</v>
      </c>
    </row>
    <row r="620" spans="1:13">
      <c r="A620" t="s">
        <v>22</v>
      </c>
      <c r="B620" s="1">
        <f>HYPERLINK("https://cordis.europa.eu/project/id/825510", "825510")</f>
        <v>0</v>
      </c>
      <c r="C620" t="s">
        <v>642</v>
      </c>
      <c r="D620" t="s">
        <v>1458</v>
      </c>
      <c r="E620" t="s">
        <v>1966</v>
      </c>
      <c r="F620" t="s">
        <v>2189</v>
      </c>
      <c r="G620" t="s">
        <v>2417</v>
      </c>
      <c r="H620" t="s">
        <v>2993</v>
      </c>
      <c r="I620" t="s">
        <v>3152</v>
      </c>
      <c r="J620" s="2">
        <v>0</v>
      </c>
      <c r="K620" s="2">
        <v>3283475</v>
      </c>
      <c r="L620" t="s">
        <v>3368</v>
      </c>
      <c r="M620" t="s">
        <v>3913</v>
      </c>
    </row>
    <row r="621" spans="1:13">
      <c r="A621" t="s">
        <v>22</v>
      </c>
      <c r="B621" s="1">
        <f>HYPERLINK("https://cordis.europa.eu/project/id/945052", "945052")</f>
        <v>0</v>
      </c>
      <c r="C621" t="s">
        <v>643</v>
      </c>
      <c r="D621" t="s">
        <v>1459</v>
      </c>
      <c r="E621" t="s">
        <v>1967</v>
      </c>
      <c r="F621" t="s">
        <v>2193</v>
      </c>
      <c r="G621" t="s">
        <v>2400</v>
      </c>
      <c r="H621" t="s">
        <v>2993</v>
      </c>
      <c r="I621" t="s">
        <v>3272</v>
      </c>
      <c r="J621" s="2">
        <v>0</v>
      </c>
      <c r="K621" s="2">
        <v>2281840</v>
      </c>
      <c r="L621" t="s">
        <v>3368</v>
      </c>
      <c r="M621" t="s">
        <v>3914</v>
      </c>
    </row>
    <row r="622" spans="1:13">
      <c r="A622" t="s">
        <v>22</v>
      </c>
      <c r="B622" s="1">
        <f>HYPERLINK("https://cordis.europa.eu/project/id/875510", "875510")</f>
        <v>0</v>
      </c>
      <c r="C622" t="s">
        <v>644</v>
      </c>
      <c r="D622" t="s">
        <v>1460</v>
      </c>
      <c r="E622" t="s">
        <v>1968</v>
      </c>
      <c r="F622" t="s">
        <v>2265</v>
      </c>
      <c r="G622" t="s">
        <v>2487</v>
      </c>
      <c r="H622" t="s">
        <v>2993</v>
      </c>
      <c r="I622" t="s">
        <v>3273</v>
      </c>
      <c r="J622" s="2">
        <v>0</v>
      </c>
      <c r="K622" s="2">
        <v>27935000</v>
      </c>
      <c r="L622" t="s">
        <v>3368</v>
      </c>
      <c r="M622" t="s">
        <v>3915</v>
      </c>
    </row>
    <row r="623" spans="1:13">
      <c r="A623" t="s">
        <v>22</v>
      </c>
      <c r="B623" s="1">
        <f>HYPERLINK("https://cordis.europa.eu/project/id/825821", "825821")</f>
        <v>0</v>
      </c>
      <c r="C623" t="s">
        <v>645</v>
      </c>
      <c r="D623" t="s">
        <v>1461</v>
      </c>
      <c r="E623" t="s">
        <v>1969</v>
      </c>
      <c r="F623" t="s">
        <v>2189</v>
      </c>
      <c r="G623" t="s">
        <v>2433</v>
      </c>
      <c r="H623" t="s">
        <v>2993</v>
      </c>
      <c r="I623" t="s">
        <v>3152</v>
      </c>
      <c r="J623" s="2">
        <v>0</v>
      </c>
      <c r="K623" s="2">
        <v>7856925</v>
      </c>
      <c r="L623" t="s">
        <v>3368</v>
      </c>
      <c r="M623" t="s">
        <v>3916</v>
      </c>
    </row>
    <row r="624" spans="1:13">
      <c r="A624" t="s">
        <v>22</v>
      </c>
      <c r="B624" s="1">
        <f>HYPERLINK("https://cordis.europa.eu/project/id/752869", "752869")</f>
        <v>0</v>
      </c>
      <c r="C624" t="s">
        <v>646</v>
      </c>
      <c r="D624" t="s">
        <v>1462</v>
      </c>
      <c r="E624" t="s">
        <v>1970</v>
      </c>
      <c r="F624" t="s">
        <v>2264</v>
      </c>
      <c r="G624" t="s">
        <v>2320</v>
      </c>
      <c r="H624" t="s">
        <v>2998</v>
      </c>
      <c r="I624" t="s">
        <v>3159</v>
      </c>
      <c r="J624" s="2">
        <v>0</v>
      </c>
      <c r="K624" s="2">
        <v>171349.2</v>
      </c>
      <c r="L624" t="s">
        <v>3368</v>
      </c>
      <c r="M624" t="s">
        <v>3662</v>
      </c>
    </row>
    <row r="625" spans="1:13">
      <c r="A625" t="s">
        <v>22</v>
      </c>
      <c r="B625" s="1">
        <f>HYPERLINK("https://cordis.europa.eu/project/id/766030", "766030")</f>
        <v>0</v>
      </c>
      <c r="C625" t="s">
        <v>647</v>
      </c>
      <c r="D625" t="s">
        <v>1463</v>
      </c>
      <c r="E625" t="s">
        <v>1971</v>
      </c>
      <c r="F625" t="s">
        <v>2199</v>
      </c>
      <c r="G625" t="s">
        <v>2068</v>
      </c>
      <c r="H625" t="s">
        <v>3005</v>
      </c>
      <c r="I625" t="s">
        <v>3163</v>
      </c>
      <c r="J625" s="2">
        <v>0</v>
      </c>
      <c r="K625" s="2">
        <v>3863978.28</v>
      </c>
      <c r="L625" t="s">
        <v>3368</v>
      </c>
      <c r="M625" t="s">
        <v>3917</v>
      </c>
    </row>
    <row r="626" spans="1:13">
      <c r="A626" t="s">
        <v>22</v>
      </c>
      <c r="B626" s="1">
        <f>HYPERLINK("https://cordis.europa.eu/project/id/690817", "690817")</f>
        <v>0</v>
      </c>
      <c r="C626" t="s">
        <v>648</v>
      </c>
      <c r="D626" t="s">
        <v>1464</v>
      </c>
      <c r="E626" t="s">
        <v>1820</v>
      </c>
      <c r="F626" t="s">
        <v>2188</v>
      </c>
      <c r="G626" t="s">
        <v>2436</v>
      </c>
      <c r="H626" t="s">
        <v>3003</v>
      </c>
      <c r="I626" t="s">
        <v>3176</v>
      </c>
      <c r="J626" s="2">
        <v>0</v>
      </c>
      <c r="K626" s="2">
        <v>216000</v>
      </c>
      <c r="L626" t="s">
        <v>3368</v>
      </c>
      <c r="M626" t="s">
        <v>3918</v>
      </c>
    </row>
    <row r="627" spans="1:13">
      <c r="A627" t="s">
        <v>22</v>
      </c>
      <c r="B627" s="1">
        <f>HYPERLINK("https://cordis.europa.eu/project/id/642866", "642866")</f>
        <v>0</v>
      </c>
      <c r="C627" t="s">
        <v>649</v>
      </c>
      <c r="D627" t="s">
        <v>1465</v>
      </c>
      <c r="E627" t="s">
        <v>1749</v>
      </c>
      <c r="F627" t="s">
        <v>2222</v>
      </c>
      <c r="G627" t="s">
        <v>2387</v>
      </c>
      <c r="H627" t="s">
        <v>3002</v>
      </c>
      <c r="I627" t="s">
        <v>3188</v>
      </c>
      <c r="J627" s="2">
        <v>0</v>
      </c>
      <c r="K627" s="2">
        <v>3866665.319999999</v>
      </c>
      <c r="L627" t="s">
        <v>3368</v>
      </c>
      <c r="M627" t="s">
        <v>3919</v>
      </c>
    </row>
    <row r="628" spans="1:13">
      <c r="A628" t="s">
        <v>22</v>
      </c>
      <c r="B628" s="1">
        <f>HYPERLINK("https://cordis.europa.eu/project/id/101003472", "101003472")</f>
        <v>0</v>
      </c>
      <c r="C628" t="s">
        <v>650</v>
      </c>
      <c r="D628" t="s">
        <v>1466</v>
      </c>
      <c r="E628" t="s">
        <v>1972</v>
      </c>
      <c r="F628" t="s">
        <v>2213</v>
      </c>
      <c r="G628" t="s">
        <v>2405</v>
      </c>
      <c r="H628" t="s">
        <v>2993</v>
      </c>
      <c r="I628" t="s">
        <v>3241</v>
      </c>
      <c r="J628" s="2">
        <v>0</v>
      </c>
      <c r="K628" s="2">
        <v>14998301.25</v>
      </c>
      <c r="L628" t="s">
        <v>3368</v>
      </c>
      <c r="M628" t="s">
        <v>3920</v>
      </c>
    </row>
    <row r="629" spans="1:13">
      <c r="A629" t="s">
        <v>22</v>
      </c>
      <c r="B629" s="1">
        <f>HYPERLINK("https://cordis.europa.eu/project/id/633680", "633680")</f>
        <v>0</v>
      </c>
      <c r="C629" t="s">
        <v>651</v>
      </c>
      <c r="D629" t="s">
        <v>1467</v>
      </c>
      <c r="E629" t="s">
        <v>1925</v>
      </c>
      <c r="F629" t="s">
        <v>2179</v>
      </c>
      <c r="G629" t="s">
        <v>2468</v>
      </c>
      <c r="H629" t="s">
        <v>2993</v>
      </c>
      <c r="I629" t="s">
        <v>3249</v>
      </c>
      <c r="J629" s="2">
        <v>0</v>
      </c>
      <c r="K629" s="2">
        <v>5000000</v>
      </c>
      <c r="L629" t="s">
        <v>3368</v>
      </c>
      <c r="M629" t="s">
        <v>3921</v>
      </c>
    </row>
    <row r="630" spans="1:13">
      <c r="A630" t="s">
        <v>22</v>
      </c>
      <c r="B630" s="1">
        <f>HYPERLINK("https://cordis.europa.eu/project/id/847770", "847770")</f>
        <v>0</v>
      </c>
      <c r="C630" t="s">
        <v>652</v>
      </c>
      <c r="D630" t="s">
        <v>1468</v>
      </c>
      <c r="E630" t="s">
        <v>1973</v>
      </c>
      <c r="F630" t="s">
        <v>2180</v>
      </c>
      <c r="G630" t="s">
        <v>2435</v>
      </c>
      <c r="H630" t="s">
        <v>2993</v>
      </c>
      <c r="I630" t="s">
        <v>3274</v>
      </c>
      <c r="J630" s="2">
        <v>58763</v>
      </c>
      <c r="K630" s="2">
        <v>5947925</v>
      </c>
      <c r="L630" t="s">
        <v>3368</v>
      </c>
      <c r="M630" t="s">
        <v>3922</v>
      </c>
    </row>
    <row r="631" spans="1:13">
      <c r="A631" t="s">
        <v>22</v>
      </c>
      <c r="B631" s="1">
        <f>HYPERLINK("https://cordis.europa.eu/project/id/635761", "635761")</f>
        <v>0</v>
      </c>
      <c r="C631" t="s">
        <v>653</v>
      </c>
      <c r="D631" t="s">
        <v>1469</v>
      </c>
      <c r="E631" t="s">
        <v>1975</v>
      </c>
      <c r="F631" t="s">
        <v>2179</v>
      </c>
      <c r="G631" t="s">
        <v>2468</v>
      </c>
      <c r="H631" t="s">
        <v>2993</v>
      </c>
      <c r="I631" t="s">
        <v>3218</v>
      </c>
      <c r="J631" s="2">
        <v>0</v>
      </c>
      <c r="K631" s="2">
        <v>4997912.5</v>
      </c>
      <c r="L631" t="s">
        <v>3368</v>
      </c>
      <c r="M631" t="s">
        <v>3923</v>
      </c>
    </row>
    <row r="632" spans="1:13">
      <c r="A632" t="s">
        <v>22</v>
      </c>
      <c r="B632" s="1">
        <f>HYPERLINK("https://cordis.europa.eu/project/id/677039", "677039")</f>
        <v>0</v>
      </c>
      <c r="C632" t="s">
        <v>654</v>
      </c>
      <c r="D632" t="s">
        <v>1470</v>
      </c>
      <c r="E632" t="s">
        <v>1807</v>
      </c>
      <c r="F632" t="s">
        <v>2271</v>
      </c>
      <c r="G632" t="s">
        <v>1679</v>
      </c>
      <c r="H632" t="s">
        <v>2993</v>
      </c>
      <c r="I632" t="s">
        <v>3220</v>
      </c>
      <c r="J632" s="2">
        <v>0</v>
      </c>
      <c r="K632" s="2">
        <v>5000000</v>
      </c>
      <c r="L632" t="s">
        <v>3368</v>
      </c>
      <c r="M632" t="s">
        <v>3924</v>
      </c>
    </row>
    <row r="633" spans="1:13">
      <c r="A633" t="s">
        <v>22</v>
      </c>
      <c r="B633" s="1">
        <f>HYPERLINK("https://cordis.europa.eu/project/id/818173", "818173")</f>
        <v>0</v>
      </c>
      <c r="C633" t="s">
        <v>655</v>
      </c>
      <c r="D633" t="s">
        <v>1471</v>
      </c>
      <c r="E633" t="s">
        <v>1856</v>
      </c>
      <c r="F633" t="s">
        <v>2186</v>
      </c>
      <c r="G633" t="s">
        <v>2401</v>
      </c>
      <c r="H633" t="s">
        <v>2993</v>
      </c>
      <c r="I633" t="s">
        <v>3236</v>
      </c>
      <c r="J633" s="2">
        <v>0</v>
      </c>
      <c r="K633" s="2">
        <v>8000000</v>
      </c>
      <c r="L633" t="s">
        <v>3368</v>
      </c>
      <c r="M633" t="s">
        <v>3925</v>
      </c>
    </row>
    <row r="634" spans="1:13">
      <c r="A634" t="s">
        <v>22</v>
      </c>
      <c r="B634" s="1">
        <f>HYPERLINK("https://cordis.europa.eu/project/id/101036996", "101036996")</f>
        <v>0</v>
      </c>
      <c r="C634" t="s">
        <v>656</v>
      </c>
      <c r="D634" t="s">
        <v>1472</v>
      </c>
      <c r="E634" t="s">
        <v>1976</v>
      </c>
      <c r="F634" t="s">
        <v>2206</v>
      </c>
      <c r="G634" t="s">
        <v>2405</v>
      </c>
      <c r="H634" t="s">
        <v>2994</v>
      </c>
      <c r="I634" t="s">
        <v>3233</v>
      </c>
      <c r="J634" s="2">
        <v>0</v>
      </c>
      <c r="K634" s="2">
        <v>24997762.89</v>
      </c>
      <c r="L634" t="s">
        <v>3368</v>
      </c>
      <c r="M634" t="s">
        <v>3926</v>
      </c>
    </row>
    <row r="635" spans="1:13">
      <c r="A635" t="s">
        <v>22</v>
      </c>
      <c r="B635" s="1">
        <f>HYPERLINK("https://cordis.europa.eu/project/id/734690", "734690")</f>
        <v>0</v>
      </c>
      <c r="C635" t="s">
        <v>657</v>
      </c>
      <c r="D635" t="s">
        <v>1473</v>
      </c>
      <c r="E635" t="s">
        <v>1776</v>
      </c>
      <c r="F635" t="s">
        <v>2223</v>
      </c>
      <c r="G635" t="s">
        <v>2433</v>
      </c>
      <c r="H635" t="s">
        <v>3003</v>
      </c>
      <c r="I635" t="s">
        <v>3177</v>
      </c>
      <c r="J635" s="2">
        <v>0</v>
      </c>
      <c r="K635" s="2">
        <v>571500</v>
      </c>
      <c r="L635" t="s">
        <v>3371</v>
      </c>
      <c r="M635" t="s">
        <v>3927</v>
      </c>
    </row>
    <row r="636" spans="1:13">
      <c r="A636" t="s">
        <v>22</v>
      </c>
      <c r="B636" s="1">
        <f>HYPERLINK("https://cordis.europa.eu/project/id/764987", "764987")</f>
        <v>0</v>
      </c>
      <c r="C636" t="s">
        <v>658</v>
      </c>
      <c r="D636" t="s">
        <v>1474</v>
      </c>
      <c r="E636" t="s">
        <v>1927</v>
      </c>
      <c r="F636" t="s">
        <v>2200</v>
      </c>
      <c r="G636" t="s">
        <v>2465</v>
      </c>
      <c r="H636" t="s">
        <v>3002</v>
      </c>
      <c r="I636" t="s">
        <v>3163</v>
      </c>
      <c r="J636" s="2">
        <v>0</v>
      </c>
      <c r="K636" s="2">
        <v>3737239.56</v>
      </c>
      <c r="L636" t="s">
        <v>3368</v>
      </c>
      <c r="M636" t="s">
        <v>3928</v>
      </c>
    </row>
    <row r="637" spans="1:13">
      <c r="A637" t="s">
        <v>22</v>
      </c>
      <c r="B637" s="1">
        <f>HYPERLINK("https://cordis.europa.eu/project/id/838904", "838904")</f>
        <v>0</v>
      </c>
      <c r="C637" t="s">
        <v>659</v>
      </c>
      <c r="D637" t="s">
        <v>1475</v>
      </c>
      <c r="E637" t="s">
        <v>1977</v>
      </c>
      <c r="F637" t="s">
        <v>2227</v>
      </c>
      <c r="G637" t="s">
        <v>2306</v>
      </c>
      <c r="H637" t="s">
        <v>2997</v>
      </c>
      <c r="I637" t="s">
        <v>3158</v>
      </c>
      <c r="J637" s="2">
        <v>0</v>
      </c>
      <c r="K637" s="2">
        <v>239817.6</v>
      </c>
      <c r="L637" t="s">
        <v>3368</v>
      </c>
      <c r="M637" t="s">
        <v>3624</v>
      </c>
    </row>
    <row r="638" spans="1:13">
      <c r="A638" t="s">
        <v>22</v>
      </c>
      <c r="B638" s="1">
        <f>HYPERLINK("https://cordis.europa.eu/project/id/101022180", "101022180")</f>
        <v>0</v>
      </c>
      <c r="C638" t="s">
        <v>660</v>
      </c>
      <c r="D638" t="s">
        <v>1476</v>
      </c>
      <c r="E638" t="s">
        <v>1978</v>
      </c>
      <c r="F638" t="s">
        <v>2261</v>
      </c>
      <c r="G638" t="s">
        <v>2445</v>
      </c>
      <c r="H638" t="s">
        <v>2997</v>
      </c>
      <c r="I638" t="s">
        <v>3166</v>
      </c>
      <c r="J638" s="2">
        <v>0</v>
      </c>
      <c r="K638" s="2">
        <v>251434.52</v>
      </c>
      <c r="L638" t="s">
        <v>3368</v>
      </c>
      <c r="M638" t="s">
        <v>3929</v>
      </c>
    </row>
    <row r="639" spans="1:13">
      <c r="A639" t="s">
        <v>22</v>
      </c>
      <c r="B639" s="1">
        <f>HYPERLINK("https://cordis.europa.eu/project/id/870845", "870845")</f>
        <v>0</v>
      </c>
      <c r="C639" t="s">
        <v>661</v>
      </c>
      <c r="D639" t="s">
        <v>1477</v>
      </c>
      <c r="E639" t="s">
        <v>1979</v>
      </c>
      <c r="F639" t="s">
        <v>2196</v>
      </c>
      <c r="G639" t="s">
        <v>2411</v>
      </c>
      <c r="H639" t="s">
        <v>2993</v>
      </c>
      <c r="I639" t="s">
        <v>3242</v>
      </c>
      <c r="J639" s="2">
        <v>0</v>
      </c>
      <c r="K639" s="2">
        <v>3030932.5</v>
      </c>
      <c r="L639" t="s">
        <v>3368</v>
      </c>
      <c r="M639" t="s">
        <v>3930</v>
      </c>
    </row>
    <row r="640" spans="1:13">
      <c r="A640" t="s">
        <v>22</v>
      </c>
      <c r="B640" s="1">
        <f>HYPERLINK("https://cordis.europa.eu/project/id/754326", "754326")</f>
        <v>0</v>
      </c>
      <c r="C640" t="s">
        <v>662</v>
      </c>
      <c r="D640" t="s">
        <v>1478</v>
      </c>
      <c r="E640" t="s">
        <v>1980</v>
      </c>
      <c r="F640" t="s">
        <v>2199</v>
      </c>
      <c r="G640" t="s">
        <v>2417</v>
      </c>
      <c r="H640" t="s">
        <v>2999</v>
      </c>
      <c r="I640" t="s">
        <v>3161</v>
      </c>
      <c r="J640" s="2">
        <v>0</v>
      </c>
      <c r="K640" s="2">
        <v>941760</v>
      </c>
      <c r="L640" t="s">
        <v>3368</v>
      </c>
      <c r="M640" t="s">
        <v>3931</v>
      </c>
    </row>
    <row r="641" spans="1:13">
      <c r="A641" t="s">
        <v>22</v>
      </c>
      <c r="B641" s="1">
        <f>HYPERLINK("https://cordis.europa.eu/project/id/660426", "660426")</f>
        <v>0</v>
      </c>
      <c r="C641" t="s">
        <v>663</v>
      </c>
      <c r="D641" t="s">
        <v>1479</v>
      </c>
      <c r="E641" t="s">
        <v>1981</v>
      </c>
      <c r="F641" t="s">
        <v>2282</v>
      </c>
      <c r="G641" t="s">
        <v>1955</v>
      </c>
      <c r="H641" t="s">
        <v>2997</v>
      </c>
      <c r="I641" t="s">
        <v>3165</v>
      </c>
      <c r="J641" s="2">
        <v>0</v>
      </c>
      <c r="K641" s="2">
        <v>228421.8</v>
      </c>
      <c r="L641" t="s">
        <v>3368</v>
      </c>
      <c r="M641" t="s">
        <v>3932</v>
      </c>
    </row>
    <row r="642" spans="1:13">
      <c r="A642" t="s">
        <v>22</v>
      </c>
      <c r="B642" s="1">
        <f>HYPERLINK("https://cordis.europa.eu/project/id/675441", "675441")</f>
        <v>0</v>
      </c>
      <c r="C642" t="s">
        <v>664</v>
      </c>
      <c r="D642" t="s">
        <v>1480</v>
      </c>
      <c r="E642" t="s">
        <v>1982</v>
      </c>
      <c r="F642" t="s">
        <v>2188</v>
      </c>
      <c r="G642" t="s">
        <v>2436</v>
      </c>
      <c r="H642" t="s">
        <v>3011</v>
      </c>
      <c r="I642" t="s">
        <v>3195</v>
      </c>
      <c r="J642" s="2">
        <v>0</v>
      </c>
      <c r="K642" s="2">
        <v>3131359.47</v>
      </c>
      <c r="L642" t="s">
        <v>3368</v>
      </c>
      <c r="M642" t="s">
        <v>3933</v>
      </c>
    </row>
    <row r="643" spans="1:13">
      <c r="A643" t="s">
        <v>22</v>
      </c>
      <c r="B643" s="1">
        <f>HYPERLINK("https://cordis.europa.eu/project/id/101008099", "101008099")</f>
        <v>0</v>
      </c>
      <c r="C643" t="s">
        <v>665</v>
      </c>
      <c r="D643" t="s">
        <v>1481</v>
      </c>
      <c r="E643" t="s">
        <v>1824</v>
      </c>
      <c r="F643" t="s">
        <v>2216</v>
      </c>
      <c r="G643" t="s">
        <v>2499</v>
      </c>
      <c r="H643" t="s">
        <v>3003</v>
      </c>
      <c r="I643" t="s">
        <v>3216</v>
      </c>
      <c r="J643" s="2">
        <v>0</v>
      </c>
      <c r="K643" s="2">
        <v>1748000</v>
      </c>
      <c r="L643" t="s">
        <v>3368</v>
      </c>
      <c r="M643" t="s">
        <v>3934</v>
      </c>
    </row>
    <row r="644" spans="1:13">
      <c r="A644" t="s">
        <v>22</v>
      </c>
      <c r="B644" s="1">
        <f>HYPERLINK("https://cordis.europa.eu/project/id/823895", "823895")</f>
        <v>0</v>
      </c>
      <c r="C644" t="s">
        <v>666</v>
      </c>
      <c r="D644" t="s">
        <v>1482</v>
      </c>
      <c r="E644" t="s">
        <v>1983</v>
      </c>
      <c r="F644" t="s">
        <v>2189</v>
      </c>
      <c r="G644" t="s">
        <v>2417</v>
      </c>
      <c r="H644" t="s">
        <v>3003</v>
      </c>
      <c r="I644" t="s">
        <v>3174</v>
      </c>
      <c r="J644" s="2">
        <v>0</v>
      </c>
      <c r="K644" s="2">
        <v>745200</v>
      </c>
      <c r="L644" t="s">
        <v>3368</v>
      </c>
      <c r="M644" t="s">
        <v>3935</v>
      </c>
    </row>
    <row r="645" spans="1:13">
      <c r="A645" t="s">
        <v>22</v>
      </c>
      <c r="B645" s="1">
        <f>HYPERLINK("https://cordis.europa.eu/project/id/825828", "825828")</f>
        <v>0</v>
      </c>
      <c r="C645" t="s">
        <v>667</v>
      </c>
      <c r="D645" t="s">
        <v>1483</v>
      </c>
      <c r="E645" t="s">
        <v>1984</v>
      </c>
      <c r="F645" t="s">
        <v>2227</v>
      </c>
      <c r="G645" t="s">
        <v>2452</v>
      </c>
      <c r="H645" t="s">
        <v>2993</v>
      </c>
      <c r="I645" t="s">
        <v>3152</v>
      </c>
      <c r="J645" s="2">
        <v>0</v>
      </c>
      <c r="K645" s="2">
        <v>14931337.5</v>
      </c>
      <c r="L645" t="s">
        <v>3368</v>
      </c>
      <c r="M645" t="s">
        <v>3936</v>
      </c>
    </row>
    <row r="646" spans="1:13">
      <c r="A646" t="s">
        <v>22</v>
      </c>
      <c r="B646" s="1">
        <f>HYPERLINK("https://cordis.europa.eu/project/id/778133", "778133")</f>
        <v>0</v>
      </c>
      <c r="C646" t="s">
        <v>668</v>
      </c>
      <c r="D646" t="s">
        <v>1484</v>
      </c>
      <c r="E646" t="s">
        <v>1985</v>
      </c>
      <c r="F646" t="s">
        <v>2190</v>
      </c>
      <c r="G646" t="s">
        <v>2466</v>
      </c>
      <c r="H646" t="s">
        <v>3003</v>
      </c>
      <c r="I646" t="s">
        <v>3173</v>
      </c>
      <c r="J646" s="2">
        <v>0</v>
      </c>
      <c r="K646" s="2">
        <v>598500</v>
      </c>
      <c r="L646" t="s">
        <v>3368</v>
      </c>
      <c r="M646" t="s">
        <v>3937</v>
      </c>
    </row>
    <row r="647" spans="1:13">
      <c r="A647" t="s">
        <v>23</v>
      </c>
      <c r="B647" s="1">
        <f>HYPERLINK("https://cordis.europa.eu/project/id/101084066", "101084066")</f>
        <v>0</v>
      </c>
      <c r="C647" t="s">
        <v>669</v>
      </c>
      <c r="D647" t="s">
        <v>1485</v>
      </c>
      <c r="E647" t="s">
        <v>1986</v>
      </c>
      <c r="F647" t="s">
        <v>2101</v>
      </c>
      <c r="G647" t="s">
        <v>2489</v>
      </c>
      <c r="H647" t="s">
        <v>3012</v>
      </c>
      <c r="I647" t="s">
        <v>3276</v>
      </c>
      <c r="J647" s="2">
        <v>0</v>
      </c>
      <c r="K647" s="2">
        <v>3306160</v>
      </c>
      <c r="L647" t="s">
        <v>3368</v>
      </c>
      <c r="M647" t="s">
        <v>3938</v>
      </c>
    </row>
    <row r="648" spans="1:13">
      <c r="A648" t="s">
        <v>23</v>
      </c>
      <c r="B648" s="1">
        <f>HYPERLINK("https://cordis.europa.eu/project/id/101138620", "101138620")</f>
        <v>0</v>
      </c>
      <c r="C648" t="s">
        <v>670</v>
      </c>
      <c r="D648" t="s">
        <v>1486</v>
      </c>
      <c r="E648" t="s">
        <v>1987</v>
      </c>
      <c r="F648" t="s">
        <v>2283</v>
      </c>
      <c r="G648" t="s">
        <v>2515</v>
      </c>
      <c r="H648" t="s">
        <v>3013</v>
      </c>
      <c r="I648" t="s">
        <v>3277</v>
      </c>
      <c r="J648" s="2">
        <v>0</v>
      </c>
      <c r="K648" s="2">
        <v>12986214.88</v>
      </c>
      <c r="L648" t="s">
        <v>3368</v>
      </c>
      <c r="M648" t="s">
        <v>3939</v>
      </c>
    </row>
    <row r="649" spans="1:13">
      <c r="A649" t="s">
        <v>23</v>
      </c>
      <c r="B649" s="1">
        <f>HYPERLINK("https://cordis.europa.eu/project/id/101131120", "101131120")</f>
        <v>0</v>
      </c>
      <c r="C649" t="s">
        <v>671</v>
      </c>
      <c r="D649" t="s">
        <v>1487</v>
      </c>
      <c r="E649" t="s">
        <v>1988</v>
      </c>
      <c r="F649" t="s">
        <v>2283</v>
      </c>
      <c r="G649" t="s">
        <v>2516</v>
      </c>
      <c r="H649" t="s">
        <v>3014</v>
      </c>
      <c r="I649" t="s">
        <v>3278</v>
      </c>
      <c r="J649" s="2">
        <v>0</v>
      </c>
      <c r="K649" s="2">
        <v>1545600</v>
      </c>
      <c r="L649" t="s">
        <v>3368</v>
      </c>
      <c r="M649" t="s">
        <v>3940</v>
      </c>
    </row>
    <row r="650" spans="1:13">
      <c r="A650" t="s">
        <v>23</v>
      </c>
      <c r="B650" s="1">
        <f>HYPERLINK("https://cordis.europa.eu/project/id/101107288", "101107288")</f>
        <v>0</v>
      </c>
      <c r="C650" t="s">
        <v>672</v>
      </c>
      <c r="D650" t="s">
        <v>1488</v>
      </c>
      <c r="E650" t="s">
        <v>1989</v>
      </c>
      <c r="F650" t="s">
        <v>2284</v>
      </c>
      <c r="G650" t="s">
        <v>2403</v>
      </c>
      <c r="H650" t="s">
        <v>3015</v>
      </c>
      <c r="I650" t="s">
        <v>3279</v>
      </c>
      <c r="J650" s="2">
        <v>0</v>
      </c>
      <c r="K650" s="2">
        <v>173847.36</v>
      </c>
      <c r="L650" t="s">
        <v>3368</v>
      </c>
      <c r="M650" t="s">
        <v>3621</v>
      </c>
    </row>
    <row r="651" spans="1:13">
      <c r="A651" t="s">
        <v>23</v>
      </c>
      <c r="B651" s="1">
        <f>HYPERLINK("https://cordis.europa.eu/project/id/101147317", "101147317")</f>
        <v>0</v>
      </c>
      <c r="C651" t="s">
        <v>673</v>
      </c>
      <c r="D651" t="s">
        <v>1489</v>
      </c>
      <c r="E651" t="s">
        <v>1990</v>
      </c>
      <c r="F651" t="s">
        <v>2285</v>
      </c>
      <c r="G651" t="s">
        <v>2517</v>
      </c>
      <c r="H651" t="s">
        <v>3016</v>
      </c>
      <c r="I651" t="s">
        <v>3280</v>
      </c>
      <c r="J651" s="2">
        <v>0</v>
      </c>
      <c r="K651" s="2">
        <v>256442.88</v>
      </c>
      <c r="L651" t="s">
        <v>3368</v>
      </c>
      <c r="M651" t="s">
        <v>3941</v>
      </c>
    </row>
    <row r="652" spans="1:13">
      <c r="A652" t="s">
        <v>23</v>
      </c>
      <c r="B652" s="1">
        <f>HYPERLINK("https://cordis.europa.eu/project/id/101153662", "101153662")</f>
        <v>0</v>
      </c>
      <c r="C652" t="s">
        <v>674</v>
      </c>
      <c r="D652" t="s">
        <v>1490</v>
      </c>
      <c r="E652" t="s">
        <v>1991</v>
      </c>
      <c r="F652" t="s">
        <v>2286</v>
      </c>
      <c r="G652" t="s">
        <v>2518</v>
      </c>
      <c r="H652" t="s">
        <v>3016</v>
      </c>
      <c r="I652" t="s">
        <v>3280</v>
      </c>
      <c r="J652" s="2">
        <v>0</v>
      </c>
      <c r="K652" s="2">
        <v>303776.64</v>
      </c>
      <c r="L652" t="s">
        <v>3368</v>
      </c>
      <c r="M652" t="s">
        <v>3942</v>
      </c>
    </row>
    <row r="653" spans="1:13">
      <c r="A653" t="s">
        <v>23</v>
      </c>
      <c r="B653" s="1">
        <f>HYPERLINK("https://cordis.europa.eu/project/id/101154092", "101154092")</f>
        <v>0</v>
      </c>
      <c r="C653" t="s">
        <v>675</v>
      </c>
      <c r="D653" t="s">
        <v>1491</v>
      </c>
      <c r="E653" t="s">
        <v>1992</v>
      </c>
      <c r="F653" t="s">
        <v>2287</v>
      </c>
      <c r="G653" t="s">
        <v>2519</v>
      </c>
      <c r="H653" t="s">
        <v>3016</v>
      </c>
      <c r="I653" t="s">
        <v>3280</v>
      </c>
      <c r="J653" s="2">
        <v>0</v>
      </c>
      <c r="K653" s="2">
        <v>263880</v>
      </c>
      <c r="L653" t="s">
        <v>3368</v>
      </c>
      <c r="M653" t="s">
        <v>3597</v>
      </c>
    </row>
    <row r="654" spans="1:13">
      <c r="A654" t="s">
        <v>23</v>
      </c>
      <c r="B654" s="1">
        <f>HYPERLINK("https://cordis.europa.eu/project/id/101150779", "101150779")</f>
        <v>0</v>
      </c>
      <c r="C654" t="s">
        <v>676</v>
      </c>
      <c r="D654" t="s">
        <v>1492</v>
      </c>
      <c r="E654" t="s">
        <v>1993</v>
      </c>
      <c r="F654" t="s">
        <v>2288</v>
      </c>
      <c r="G654" t="s">
        <v>2488</v>
      </c>
      <c r="H654" t="s">
        <v>3015</v>
      </c>
      <c r="I654" t="s">
        <v>3280</v>
      </c>
      <c r="J654" s="2">
        <v>0</v>
      </c>
      <c r="K654" s="2">
        <v>206887.68</v>
      </c>
      <c r="L654" t="s">
        <v>3368</v>
      </c>
      <c r="M654" t="s">
        <v>3416</v>
      </c>
    </row>
    <row r="655" spans="1:13">
      <c r="A655" t="s">
        <v>23</v>
      </c>
      <c r="B655" s="1">
        <f>HYPERLINK("https://cordis.europa.eu/project/id/101146728", "101146728")</f>
        <v>0</v>
      </c>
      <c r="C655" t="s">
        <v>677</v>
      </c>
      <c r="D655" t="s">
        <v>1494</v>
      </c>
      <c r="E655" t="s">
        <v>1995</v>
      </c>
      <c r="F655" t="s">
        <v>2288</v>
      </c>
      <c r="G655" t="s">
        <v>2521</v>
      </c>
      <c r="H655" t="s">
        <v>3016</v>
      </c>
      <c r="I655" t="s">
        <v>3280</v>
      </c>
      <c r="J655" s="2">
        <v>0</v>
      </c>
      <c r="K655" s="2">
        <v>280202.88</v>
      </c>
      <c r="L655" t="s">
        <v>3368</v>
      </c>
      <c r="M655" t="s">
        <v>3943</v>
      </c>
    </row>
    <row r="656" spans="1:13">
      <c r="A656" t="s">
        <v>23</v>
      </c>
      <c r="B656" s="1">
        <f>HYPERLINK("https://cordis.europa.eu/project/id/101154087", "101154087")</f>
        <v>0</v>
      </c>
      <c r="C656" t="s">
        <v>678</v>
      </c>
      <c r="D656" t="s">
        <v>1495</v>
      </c>
      <c r="E656" t="s">
        <v>1996</v>
      </c>
      <c r="F656" t="s">
        <v>2290</v>
      </c>
      <c r="G656" t="s">
        <v>2495</v>
      </c>
      <c r="H656" t="s">
        <v>3016</v>
      </c>
      <c r="I656" t="s">
        <v>3280</v>
      </c>
      <c r="J656" s="2">
        <v>0</v>
      </c>
      <c r="K656" s="2">
        <v>275523.36</v>
      </c>
      <c r="L656" t="s">
        <v>3368</v>
      </c>
      <c r="M656" t="s">
        <v>3622</v>
      </c>
    </row>
    <row r="657" spans="1:13">
      <c r="A657" t="s">
        <v>23</v>
      </c>
      <c r="B657" s="1">
        <f>HYPERLINK("https://cordis.europa.eu/project/id/101149227", "101149227")</f>
        <v>0</v>
      </c>
      <c r="C657" t="s">
        <v>679</v>
      </c>
      <c r="D657" t="s">
        <v>1496</v>
      </c>
      <c r="E657" t="s">
        <v>1997</v>
      </c>
      <c r="F657" t="s">
        <v>2291</v>
      </c>
      <c r="G657" t="s">
        <v>2522</v>
      </c>
      <c r="H657" t="s">
        <v>3016</v>
      </c>
      <c r="I657" t="s">
        <v>3280</v>
      </c>
      <c r="J657" s="2">
        <v>0</v>
      </c>
      <c r="K657" s="2">
        <v>280202.88</v>
      </c>
      <c r="L657" t="s">
        <v>3368</v>
      </c>
      <c r="M657" t="s">
        <v>3609</v>
      </c>
    </row>
    <row r="658" spans="1:13">
      <c r="A658" t="s">
        <v>23</v>
      </c>
      <c r="B658" s="1">
        <f>HYPERLINK("https://cordis.europa.eu/project/id/101150926", "101150926")</f>
        <v>0</v>
      </c>
      <c r="C658" t="s">
        <v>680</v>
      </c>
      <c r="D658" t="s">
        <v>1497</v>
      </c>
      <c r="E658" t="s">
        <v>1991</v>
      </c>
      <c r="F658" t="s">
        <v>2285</v>
      </c>
      <c r="G658" t="s">
        <v>2517</v>
      </c>
      <c r="H658" t="s">
        <v>3016</v>
      </c>
      <c r="I658" t="s">
        <v>3280</v>
      </c>
      <c r="J658" s="2">
        <v>0</v>
      </c>
      <c r="K658" s="2">
        <v>270571.2</v>
      </c>
      <c r="L658" t="s">
        <v>3368</v>
      </c>
      <c r="M658" t="s">
        <v>3944</v>
      </c>
    </row>
    <row r="659" spans="1:13">
      <c r="A659" t="s">
        <v>23</v>
      </c>
      <c r="B659" s="1">
        <f>HYPERLINK("https://cordis.europa.eu/project/id/101149941", "101149941")</f>
        <v>0</v>
      </c>
      <c r="C659" t="s">
        <v>681</v>
      </c>
      <c r="D659" t="s">
        <v>1498</v>
      </c>
      <c r="E659" t="s">
        <v>1998</v>
      </c>
      <c r="F659" t="s">
        <v>2290</v>
      </c>
      <c r="G659" t="s">
        <v>2499</v>
      </c>
      <c r="H659" t="s">
        <v>3015</v>
      </c>
      <c r="I659" t="s">
        <v>3280</v>
      </c>
      <c r="J659" s="2">
        <v>0</v>
      </c>
      <c r="K659" s="2">
        <v>203464.32</v>
      </c>
      <c r="L659" t="s">
        <v>3368</v>
      </c>
      <c r="M659" t="s">
        <v>3597</v>
      </c>
    </row>
    <row r="660" spans="1:13">
      <c r="A660" t="s">
        <v>23</v>
      </c>
      <c r="B660" s="1">
        <f>HYPERLINK("https://cordis.europa.eu/project/id/101151006", "101151006")</f>
        <v>0</v>
      </c>
      <c r="C660" t="s">
        <v>682</v>
      </c>
      <c r="D660" t="s">
        <v>1499</v>
      </c>
      <c r="E660" t="s">
        <v>1991</v>
      </c>
      <c r="F660" t="s">
        <v>2292</v>
      </c>
      <c r="G660" t="s">
        <v>2523</v>
      </c>
      <c r="H660" t="s">
        <v>3016</v>
      </c>
      <c r="I660" t="s">
        <v>3280</v>
      </c>
      <c r="J660" s="2">
        <v>0</v>
      </c>
      <c r="K660" s="2">
        <v>280751.52</v>
      </c>
      <c r="L660" t="s">
        <v>3368</v>
      </c>
      <c r="M660" t="s">
        <v>3602</v>
      </c>
    </row>
    <row r="661" spans="1:13">
      <c r="A661" t="s">
        <v>23</v>
      </c>
      <c r="B661" s="1">
        <f>HYPERLINK("https://cordis.europa.eu/project/id/101148550", "101148550")</f>
        <v>0</v>
      </c>
      <c r="C661" t="s">
        <v>683</v>
      </c>
      <c r="D661" t="s">
        <v>1500</v>
      </c>
      <c r="E661" t="s">
        <v>1993</v>
      </c>
      <c r="F661" t="s">
        <v>2287</v>
      </c>
      <c r="G661" t="s">
        <v>2519</v>
      </c>
      <c r="H661" t="s">
        <v>3016</v>
      </c>
      <c r="I661" t="s">
        <v>3280</v>
      </c>
      <c r="J661" s="2">
        <v>0</v>
      </c>
      <c r="K661" s="2">
        <v>274426.08</v>
      </c>
      <c r="L661" t="s">
        <v>3369</v>
      </c>
      <c r="M661" t="s">
        <v>3945</v>
      </c>
    </row>
    <row r="662" spans="1:13">
      <c r="A662" t="s">
        <v>23</v>
      </c>
      <c r="B662" s="1">
        <f>HYPERLINK("https://cordis.europa.eu/project/id/101126733", "101126733")</f>
        <v>0</v>
      </c>
      <c r="C662" t="s">
        <v>684</v>
      </c>
      <c r="D662" t="s">
        <v>1501</v>
      </c>
      <c r="E662" t="s">
        <v>1999</v>
      </c>
      <c r="F662" t="s">
        <v>2293</v>
      </c>
      <c r="G662" t="s">
        <v>2524</v>
      </c>
      <c r="H662" t="s">
        <v>3017</v>
      </c>
      <c r="I662" t="s">
        <v>3281</v>
      </c>
      <c r="J662" s="2">
        <v>0</v>
      </c>
      <c r="K662" s="2">
        <v>5342400</v>
      </c>
      <c r="L662" t="s">
        <v>3368</v>
      </c>
      <c r="M662" t="s">
        <v>3946</v>
      </c>
    </row>
    <row r="663" spans="1:13">
      <c r="A663" t="s">
        <v>23</v>
      </c>
      <c r="B663" s="1">
        <f>HYPERLINK("https://cordis.europa.eu/project/id/101108204", "101108204")</f>
        <v>0</v>
      </c>
      <c r="C663" t="s">
        <v>685</v>
      </c>
      <c r="D663" t="s">
        <v>1502</v>
      </c>
      <c r="E663" t="s">
        <v>2000</v>
      </c>
      <c r="F663" t="s">
        <v>2285</v>
      </c>
      <c r="G663" t="s">
        <v>2517</v>
      </c>
      <c r="H663" t="s">
        <v>3016</v>
      </c>
      <c r="I663" t="s">
        <v>3279</v>
      </c>
      <c r="J663" s="2">
        <v>0</v>
      </c>
      <c r="K663" s="2">
        <v>256442.88</v>
      </c>
      <c r="L663" t="s">
        <v>3368</v>
      </c>
      <c r="M663" t="s">
        <v>3947</v>
      </c>
    </row>
    <row r="664" spans="1:13">
      <c r="A664" t="s">
        <v>23</v>
      </c>
      <c r="B664" s="1">
        <f>HYPERLINK("https://cordis.europa.eu/project/id/101059407", "101059407")</f>
        <v>0</v>
      </c>
      <c r="C664" t="s">
        <v>686</v>
      </c>
      <c r="D664" t="s">
        <v>1503</v>
      </c>
      <c r="E664" t="s">
        <v>2001</v>
      </c>
      <c r="F664" t="s">
        <v>2294</v>
      </c>
      <c r="G664" t="s">
        <v>2500</v>
      </c>
      <c r="H664" t="s">
        <v>3012</v>
      </c>
      <c r="I664" t="s">
        <v>3282</v>
      </c>
      <c r="J664" s="2">
        <v>0</v>
      </c>
      <c r="K664" s="2">
        <v>3587827</v>
      </c>
      <c r="L664" t="s">
        <v>3368</v>
      </c>
      <c r="M664" t="s">
        <v>3948</v>
      </c>
    </row>
    <row r="665" spans="1:13">
      <c r="A665" t="s">
        <v>23</v>
      </c>
      <c r="B665" s="1">
        <f>HYPERLINK("https://cordis.europa.eu/project/id/101081357", "101081357")</f>
        <v>0</v>
      </c>
      <c r="C665" t="s">
        <v>687</v>
      </c>
      <c r="D665" t="s">
        <v>1504</v>
      </c>
      <c r="E665" t="s">
        <v>2002</v>
      </c>
      <c r="F665" t="s">
        <v>2295</v>
      </c>
      <c r="G665" t="s">
        <v>2525</v>
      </c>
      <c r="H665" t="s">
        <v>3012</v>
      </c>
      <c r="I665" t="s">
        <v>3283</v>
      </c>
      <c r="J665" s="2">
        <v>0</v>
      </c>
      <c r="K665" s="2">
        <v>7932116.48</v>
      </c>
      <c r="L665" t="s">
        <v>3368</v>
      </c>
      <c r="M665" t="s">
        <v>3949</v>
      </c>
    </row>
    <row r="666" spans="1:13">
      <c r="A666" t="s">
        <v>23</v>
      </c>
      <c r="B666" s="1">
        <f>HYPERLINK("https://cordis.europa.eu/project/id/101071836", "101071836")</f>
        <v>0</v>
      </c>
      <c r="C666" t="s">
        <v>688</v>
      </c>
      <c r="D666" t="s">
        <v>1505</v>
      </c>
      <c r="E666" t="s">
        <v>2003</v>
      </c>
      <c r="F666" t="s">
        <v>2296</v>
      </c>
      <c r="G666" t="s">
        <v>2526</v>
      </c>
      <c r="H666" t="s">
        <v>3018</v>
      </c>
      <c r="I666" t="s">
        <v>3284</v>
      </c>
      <c r="J666" s="2">
        <v>268250</v>
      </c>
      <c r="K666" s="2">
        <v>9884611</v>
      </c>
      <c r="L666" t="s">
        <v>3368</v>
      </c>
      <c r="M666" t="s">
        <v>3950</v>
      </c>
    </row>
    <row r="667" spans="1:13">
      <c r="A667" t="s">
        <v>23</v>
      </c>
      <c r="B667" s="1">
        <f>HYPERLINK("https://cordis.europa.eu/project/id/101133587", "101133587")</f>
        <v>0</v>
      </c>
      <c r="C667" t="s">
        <v>689</v>
      </c>
      <c r="D667" t="s">
        <v>1506</v>
      </c>
      <c r="E667" t="s">
        <v>2004</v>
      </c>
      <c r="F667" t="s">
        <v>2283</v>
      </c>
      <c r="G667" t="s">
        <v>2516</v>
      </c>
      <c r="H667" t="s">
        <v>3012</v>
      </c>
      <c r="I667" t="s">
        <v>3285</v>
      </c>
      <c r="J667" s="2">
        <v>0</v>
      </c>
      <c r="K667" s="2">
        <v>6000000</v>
      </c>
      <c r="L667" t="s">
        <v>3368</v>
      </c>
      <c r="M667" t="s">
        <v>3951</v>
      </c>
    </row>
    <row r="668" spans="1:13">
      <c r="A668" t="s">
        <v>23</v>
      </c>
      <c r="B668" s="1">
        <f>HYPERLINK("https://cordis.europa.eu/project/id/101137209", "101137209")</f>
        <v>0</v>
      </c>
      <c r="C668" t="s">
        <v>690</v>
      </c>
      <c r="D668" t="s">
        <v>1507</v>
      </c>
      <c r="E668" t="s">
        <v>2005</v>
      </c>
      <c r="F668" t="s">
        <v>2283</v>
      </c>
      <c r="G668" t="s">
        <v>2527</v>
      </c>
      <c r="H668" t="s">
        <v>3012</v>
      </c>
      <c r="I668" t="s">
        <v>3286</v>
      </c>
      <c r="J668" s="2">
        <v>0</v>
      </c>
      <c r="K668" s="2">
        <v>6000216.25</v>
      </c>
      <c r="L668" t="s">
        <v>3368</v>
      </c>
      <c r="M668" t="s">
        <v>3952</v>
      </c>
    </row>
    <row r="669" spans="1:13">
      <c r="A669" t="s">
        <v>23</v>
      </c>
      <c r="B669" s="1">
        <f>HYPERLINK("https://cordis.europa.eu/project/id/101081974", "101081974")</f>
        <v>0</v>
      </c>
      <c r="C669" t="s">
        <v>691</v>
      </c>
      <c r="D669" t="s">
        <v>1508</v>
      </c>
      <c r="E669" t="s">
        <v>2000</v>
      </c>
      <c r="F669" t="s">
        <v>2296</v>
      </c>
      <c r="G669" t="s">
        <v>2521</v>
      </c>
      <c r="H669" t="s">
        <v>3012</v>
      </c>
      <c r="I669" t="s">
        <v>3287</v>
      </c>
      <c r="J669" s="2">
        <v>0</v>
      </c>
      <c r="K669" s="2">
        <v>4997682.5</v>
      </c>
      <c r="L669" t="s">
        <v>3368</v>
      </c>
      <c r="M669" t="s">
        <v>3953</v>
      </c>
    </row>
    <row r="670" spans="1:13">
      <c r="A670" t="s">
        <v>23</v>
      </c>
      <c r="B670" s="1">
        <f>HYPERLINK("https://cordis.europa.eu/project/id/101056921", "101056921")</f>
        <v>0</v>
      </c>
      <c r="C670" t="s">
        <v>692</v>
      </c>
      <c r="D670" t="s">
        <v>1509</v>
      </c>
      <c r="E670" t="s">
        <v>2006</v>
      </c>
      <c r="F670" t="s">
        <v>2297</v>
      </c>
      <c r="G670" t="s">
        <v>2494</v>
      </c>
      <c r="H670" t="s">
        <v>3012</v>
      </c>
      <c r="I670" t="s">
        <v>3288</v>
      </c>
      <c r="J670" s="2">
        <v>0</v>
      </c>
      <c r="K670" s="2">
        <v>7555182</v>
      </c>
      <c r="L670" t="s">
        <v>3368</v>
      </c>
      <c r="M670" t="s">
        <v>3954</v>
      </c>
    </row>
    <row r="671" spans="1:13">
      <c r="A671" t="s">
        <v>23</v>
      </c>
      <c r="B671" s="1">
        <f>HYPERLINK("https://cordis.europa.eu/project/id/101059877", "101059877")</f>
        <v>0</v>
      </c>
      <c r="C671" t="s">
        <v>693</v>
      </c>
      <c r="D671" t="s">
        <v>1510</v>
      </c>
      <c r="E671" t="s">
        <v>2007</v>
      </c>
      <c r="F671" t="s">
        <v>2214</v>
      </c>
      <c r="G671" t="s">
        <v>2499</v>
      </c>
      <c r="H671" t="s">
        <v>3012</v>
      </c>
      <c r="I671" t="s">
        <v>3282</v>
      </c>
      <c r="J671" s="2">
        <v>0</v>
      </c>
      <c r="K671" s="2">
        <v>9024352</v>
      </c>
      <c r="L671" t="s">
        <v>3368</v>
      </c>
      <c r="M671" t="s">
        <v>3955</v>
      </c>
    </row>
    <row r="672" spans="1:13">
      <c r="A672" t="s">
        <v>23</v>
      </c>
      <c r="B672" s="1">
        <f>HYPERLINK("https://cordis.europa.eu/project/id/101071417", "101071417")</f>
        <v>0</v>
      </c>
      <c r="C672" t="s">
        <v>694</v>
      </c>
      <c r="D672" t="s">
        <v>1511</v>
      </c>
      <c r="E672" t="s">
        <v>2008</v>
      </c>
      <c r="F672" t="s">
        <v>2298</v>
      </c>
      <c r="G672" t="s">
        <v>2528</v>
      </c>
      <c r="H672" t="s">
        <v>3019</v>
      </c>
      <c r="I672" t="s">
        <v>3284</v>
      </c>
      <c r="J672" s="2">
        <v>1952122.5</v>
      </c>
      <c r="K672" s="2">
        <v>9848970</v>
      </c>
      <c r="L672" t="s">
        <v>3368</v>
      </c>
      <c r="M672" t="s">
        <v>3956</v>
      </c>
    </row>
    <row r="673" spans="1:13">
      <c r="A673" t="s">
        <v>23</v>
      </c>
      <c r="B673" s="1">
        <f>HYPERLINK("https://cordis.europa.eu/project/id/101136875", "101136875")</f>
        <v>0</v>
      </c>
      <c r="C673" t="s">
        <v>695</v>
      </c>
      <c r="D673" t="s">
        <v>1512</v>
      </c>
      <c r="E673" t="s">
        <v>2009</v>
      </c>
      <c r="F673" t="s">
        <v>2299</v>
      </c>
      <c r="G673" t="s">
        <v>2522</v>
      </c>
      <c r="H673" t="s">
        <v>3012</v>
      </c>
      <c r="I673" t="s">
        <v>3289</v>
      </c>
      <c r="J673" s="2">
        <v>0</v>
      </c>
      <c r="K673" s="2">
        <v>4847238.27</v>
      </c>
      <c r="L673" t="s">
        <v>3368</v>
      </c>
      <c r="M673" t="s">
        <v>3957</v>
      </c>
    </row>
    <row r="674" spans="1:13">
      <c r="A674" t="s">
        <v>23</v>
      </c>
      <c r="B674" s="1">
        <f>HYPERLINK("https://cordis.europa.eu/project/id/101130949", "101130949")</f>
        <v>0</v>
      </c>
      <c r="C674" t="s">
        <v>696</v>
      </c>
      <c r="D674" t="s">
        <v>1513</v>
      </c>
      <c r="E674" t="s">
        <v>2010</v>
      </c>
      <c r="F674" t="s">
        <v>2300</v>
      </c>
      <c r="G674" t="s">
        <v>2529</v>
      </c>
      <c r="H674" t="s">
        <v>3012</v>
      </c>
      <c r="I674" t="s">
        <v>3290</v>
      </c>
      <c r="J674" s="2">
        <v>695443.75</v>
      </c>
      <c r="K674" s="2">
        <v>14588114</v>
      </c>
      <c r="L674" t="s">
        <v>3368</v>
      </c>
      <c r="M674" t="s">
        <v>3958</v>
      </c>
    </row>
    <row r="675" spans="1:13">
      <c r="A675" t="s">
        <v>23</v>
      </c>
      <c r="B675" s="1">
        <f>HYPERLINK("https://cordis.europa.eu/project/id/101152621", "101152621")</f>
        <v>0</v>
      </c>
      <c r="C675" t="s">
        <v>697</v>
      </c>
      <c r="D675" t="s">
        <v>1514</v>
      </c>
      <c r="E675" t="s">
        <v>1994</v>
      </c>
      <c r="F675" t="s">
        <v>2301</v>
      </c>
      <c r="G675" t="s">
        <v>2530</v>
      </c>
      <c r="H675" t="s">
        <v>3016</v>
      </c>
      <c r="I675" t="s">
        <v>3280</v>
      </c>
      <c r="J675" s="2">
        <v>0</v>
      </c>
      <c r="K675" s="2">
        <v>257235.36</v>
      </c>
      <c r="L675" t="s">
        <v>3369</v>
      </c>
      <c r="M675" t="s">
        <v>3605</v>
      </c>
    </row>
    <row r="676" spans="1:13">
      <c r="A676" t="s">
        <v>23</v>
      </c>
      <c r="B676" s="1">
        <f>HYPERLINK("https://cordis.europa.eu/project/id/101070700", "101070700")</f>
        <v>0</v>
      </c>
      <c r="C676" t="s">
        <v>698</v>
      </c>
      <c r="D676" t="s">
        <v>1515</v>
      </c>
      <c r="E676" t="s">
        <v>2001</v>
      </c>
      <c r="F676" t="s">
        <v>2294</v>
      </c>
      <c r="G676" t="s">
        <v>2500</v>
      </c>
      <c r="H676" t="s">
        <v>3012</v>
      </c>
      <c r="I676" t="s">
        <v>3291</v>
      </c>
      <c r="J676" s="2">
        <v>0</v>
      </c>
      <c r="K676" s="2">
        <v>1240097.5</v>
      </c>
      <c r="L676" t="s">
        <v>3368</v>
      </c>
      <c r="M676" t="s">
        <v>3959</v>
      </c>
    </row>
    <row r="677" spans="1:13">
      <c r="A677" t="s">
        <v>23</v>
      </c>
      <c r="B677" s="1">
        <f>HYPERLINK("https://cordis.europa.eu/project/id/101136749", "101136749")</f>
        <v>0</v>
      </c>
      <c r="C677" t="s">
        <v>699</v>
      </c>
      <c r="D677" t="s">
        <v>1516</v>
      </c>
      <c r="E677" t="s">
        <v>2009</v>
      </c>
      <c r="F677" t="s">
        <v>2302</v>
      </c>
      <c r="G677" t="s">
        <v>2531</v>
      </c>
      <c r="H677" t="s">
        <v>3012</v>
      </c>
      <c r="I677" t="s">
        <v>3292</v>
      </c>
      <c r="J677" s="2">
        <v>0</v>
      </c>
      <c r="K677" s="2">
        <v>6999411.25</v>
      </c>
      <c r="L677" t="s">
        <v>3368</v>
      </c>
      <c r="M677" t="s">
        <v>3960</v>
      </c>
    </row>
    <row r="678" spans="1:13">
      <c r="A678" t="s">
        <v>23</v>
      </c>
      <c r="B678" s="1">
        <f>HYPERLINK("https://cordis.europa.eu/project/id/101070168", "101070168")</f>
        <v>0</v>
      </c>
      <c r="C678" t="s">
        <v>700</v>
      </c>
      <c r="D678" t="s">
        <v>1517</v>
      </c>
      <c r="E678" t="s">
        <v>2011</v>
      </c>
      <c r="F678" t="s">
        <v>2294</v>
      </c>
      <c r="G678" t="s">
        <v>2500</v>
      </c>
      <c r="H678" t="s">
        <v>3012</v>
      </c>
      <c r="I678" t="s">
        <v>3291</v>
      </c>
      <c r="J678" s="2">
        <v>0</v>
      </c>
      <c r="K678" s="2">
        <v>1941172.5</v>
      </c>
      <c r="L678" t="s">
        <v>3368</v>
      </c>
      <c r="M678" t="s">
        <v>3961</v>
      </c>
    </row>
    <row r="679" spans="1:13">
      <c r="A679" t="s">
        <v>23</v>
      </c>
      <c r="B679" s="1">
        <f>HYPERLINK("https://cordis.europa.eu/project/id/101131418", "101131418")</f>
        <v>0</v>
      </c>
      <c r="C679" t="s">
        <v>701</v>
      </c>
      <c r="D679" t="s">
        <v>1518</v>
      </c>
      <c r="E679" t="s">
        <v>1988</v>
      </c>
      <c r="F679" t="s">
        <v>2283</v>
      </c>
      <c r="G679" t="s">
        <v>2516</v>
      </c>
      <c r="H679" t="s">
        <v>3014</v>
      </c>
      <c r="I679" t="s">
        <v>3278</v>
      </c>
      <c r="J679" s="2">
        <v>0</v>
      </c>
      <c r="K679" s="2">
        <v>404800</v>
      </c>
      <c r="L679" t="s">
        <v>3369</v>
      </c>
      <c r="M679" t="s">
        <v>3962</v>
      </c>
    </row>
    <row r="680" spans="1:13">
      <c r="A680" t="s">
        <v>23</v>
      </c>
      <c r="B680" s="1">
        <f>HYPERLINK("https://cordis.europa.eu/project/id/101109520", "101109520")</f>
        <v>0</v>
      </c>
      <c r="C680" t="s">
        <v>702</v>
      </c>
      <c r="D680" t="s">
        <v>1519</v>
      </c>
      <c r="E680" t="s">
        <v>2012</v>
      </c>
      <c r="F680" t="s">
        <v>2303</v>
      </c>
      <c r="G680" t="s">
        <v>2424</v>
      </c>
      <c r="H680" t="s">
        <v>3015</v>
      </c>
      <c r="I680" t="s">
        <v>3279</v>
      </c>
      <c r="J680" s="2">
        <v>0</v>
      </c>
      <c r="K680" s="2">
        <v>226751.04</v>
      </c>
      <c r="L680" t="s">
        <v>3368</v>
      </c>
      <c r="M680" t="s">
        <v>3963</v>
      </c>
    </row>
    <row r="681" spans="1:13">
      <c r="A681" t="s">
        <v>23</v>
      </c>
      <c r="B681" s="1">
        <f>HYPERLINK("https://cordis.europa.eu/project/id/101149103", "101149103")</f>
        <v>0</v>
      </c>
      <c r="C681" t="s">
        <v>703</v>
      </c>
      <c r="D681" t="s">
        <v>1520</v>
      </c>
      <c r="E681" t="s">
        <v>1997</v>
      </c>
      <c r="F681" t="s">
        <v>2292</v>
      </c>
      <c r="G681" t="s">
        <v>2523</v>
      </c>
      <c r="H681" t="s">
        <v>3016</v>
      </c>
      <c r="I681" t="s">
        <v>3280</v>
      </c>
      <c r="J681" s="2">
        <v>0</v>
      </c>
      <c r="K681" s="2">
        <v>280751.52</v>
      </c>
      <c r="L681" t="s">
        <v>3368</v>
      </c>
      <c r="M681" t="s">
        <v>3602</v>
      </c>
    </row>
    <row r="682" spans="1:13">
      <c r="A682" t="s">
        <v>23</v>
      </c>
      <c r="B682" s="1">
        <f>HYPERLINK("https://cordis.europa.eu/project/id/101131557", "101131557")</f>
        <v>0</v>
      </c>
      <c r="C682" t="s">
        <v>704</v>
      </c>
      <c r="D682" t="s">
        <v>1521</v>
      </c>
      <c r="E682" t="s">
        <v>2013</v>
      </c>
      <c r="F682" t="s">
        <v>2283</v>
      </c>
      <c r="G682" t="s">
        <v>2516</v>
      </c>
      <c r="H682" t="s">
        <v>3014</v>
      </c>
      <c r="I682" t="s">
        <v>3278</v>
      </c>
      <c r="J682" s="2">
        <v>0</v>
      </c>
      <c r="K682" s="2">
        <v>473800</v>
      </c>
      <c r="L682" t="s">
        <v>3368</v>
      </c>
      <c r="M682" t="s">
        <v>3964</v>
      </c>
    </row>
    <row r="683" spans="1:13">
      <c r="A683" t="s">
        <v>23</v>
      </c>
      <c r="B683" s="1">
        <f>HYPERLINK("https://cordis.europa.eu/project/id/101086394", "101086394")</f>
        <v>0</v>
      </c>
      <c r="C683" t="s">
        <v>705</v>
      </c>
      <c r="D683" t="s">
        <v>1522</v>
      </c>
      <c r="E683" t="s">
        <v>2014</v>
      </c>
      <c r="F683" t="s">
        <v>2277</v>
      </c>
      <c r="G683" t="s">
        <v>2532</v>
      </c>
      <c r="H683" t="s">
        <v>3014</v>
      </c>
      <c r="I683" t="s">
        <v>3293</v>
      </c>
      <c r="J683" s="2">
        <v>0</v>
      </c>
      <c r="K683" s="2">
        <v>496800</v>
      </c>
      <c r="L683" t="s">
        <v>3368</v>
      </c>
      <c r="M683" t="s">
        <v>3965</v>
      </c>
    </row>
    <row r="684" spans="1:13">
      <c r="A684" t="s">
        <v>23</v>
      </c>
      <c r="B684" s="1">
        <f>HYPERLINK("https://cordis.europa.eu/project/id/101131233", "101131233")</f>
        <v>0</v>
      </c>
      <c r="C684" t="s">
        <v>706</v>
      </c>
      <c r="D684" t="s">
        <v>1523</v>
      </c>
      <c r="E684" t="s">
        <v>2015</v>
      </c>
      <c r="F684" t="s">
        <v>2295</v>
      </c>
      <c r="G684" t="s">
        <v>2519</v>
      </c>
      <c r="H684" t="s">
        <v>3014</v>
      </c>
      <c r="I684" t="s">
        <v>3278</v>
      </c>
      <c r="J684" s="2">
        <v>0</v>
      </c>
      <c r="K684" s="2">
        <v>294400</v>
      </c>
      <c r="L684" t="s">
        <v>3368</v>
      </c>
      <c r="M684" t="s">
        <v>3966</v>
      </c>
    </row>
    <row r="685" spans="1:13">
      <c r="A685" t="s">
        <v>23</v>
      </c>
      <c r="B685" s="1">
        <f>HYPERLINK("https://cordis.europa.eu/project/id/101119552", "101119552")</f>
        <v>0</v>
      </c>
      <c r="C685" t="s">
        <v>707</v>
      </c>
      <c r="D685" t="s">
        <v>1524</v>
      </c>
      <c r="E685" t="s">
        <v>2016</v>
      </c>
      <c r="F685" t="s">
        <v>2283</v>
      </c>
      <c r="G685" t="s">
        <v>2516</v>
      </c>
      <c r="H685" t="s">
        <v>3020</v>
      </c>
      <c r="I685" t="s">
        <v>3294</v>
      </c>
      <c r="J685" s="2">
        <v>0</v>
      </c>
      <c r="K685" s="2">
        <v>2504779.2</v>
      </c>
      <c r="L685" t="s">
        <v>3369</v>
      </c>
      <c r="M685" t="s">
        <v>3967</v>
      </c>
    </row>
    <row r="686" spans="1:13">
      <c r="A686" t="s">
        <v>23</v>
      </c>
      <c r="B686" s="1">
        <f>HYPERLINK("https://cordis.europa.eu/project/id/101131278", "101131278")</f>
        <v>0</v>
      </c>
      <c r="C686" t="s">
        <v>708</v>
      </c>
      <c r="D686" t="s">
        <v>1525</v>
      </c>
      <c r="E686" t="s">
        <v>2017</v>
      </c>
      <c r="F686" t="s">
        <v>2283</v>
      </c>
      <c r="G686" t="s">
        <v>2516</v>
      </c>
      <c r="H686" t="s">
        <v>3014</v>
      </c>
      <c r="I686" t="s">
        <v>3278</v>
      </c>
      <c r="J686" s="2">
        <v>0</v>
      </c>
      <c r="K686" s="2">
        <v>1283400</v>
      </c>
      <c r="L686" t="s">
        <v>3368</v>
      </c>
      <c r="M686" t="s">
        <v>3968</v>
      </c>
    </row>
    <row r="687" spans="1:13">
      <c r="A687" t="s">
        <v>23</v>
      </c>
      <c r="B687" s="1">
        <f>HYPERLINK("https://cordis.europa.eu/project/id/101086228", "101086228")</f>
        <v>0</v>
      </c>
      <c r="C687" t="s">
        <v>709</v>
      </c>
      <c r="D687" t="s">
        <v>1526</v>
      </c>
      <c r="E687" t="s">
        <v>2018</v>
      </c>
      <c r="F687" t="s">
        <v>2277</v>
      </c>
      <c r="G687" t="s">
        <v>2532</v>
      </c>
      <c r="H687" t="s">
        <v>3014</v>
      </c>
      <c r="I687" t="s">
        <v>3293</v>
      </c>
      <c r="J687" s="2">
        <v>0</v>
      </c>
      <c r="K687" s="2">
        <v>579600</v>
      </c>
      <c r="L687" t="s">
        <v>3368</v>
      </c>
      <c r="M687" t="s">
        <v>3969</v>
      </c>
    </row>
    <row r="688" spans="1:13">
      <c r="A688" t="s">
        <v>23</v>
      </c>
      <c r="B688" s="1">
        <f>HYPERLINK("https://cordis.europa.eu/project/id/101064374", "101064374")</f>
        <v>0</v>
      </c>
      <c r="C688" t="s">
        <v>710</v>
      </c>
      <c r="D688" t="s">
        <v>1527</v>
      </c>
      <c r="E688" t="s">
        <v>2019</v>
      </c>
      <c r="F688" t="s">
        <v>2203</v>
      </c>
      <c r="G688" t="s">
        <v>2445</v>
      </c>
      <c r="H688" t="s">
        <v>3016</v>
      </c>
      <c r="I688" t="s">
        <v>3295</v>
      </c>
      <c r="J688" s="2">
        <v>0</v>
      </c>
      <c r="K688" s="2">
        <v>183530.4</v>
      </c>
      <c r="L688" t="s">
        <v>3368</v>
      </c>
      <c r="M688" t="s">
        <v>3607</v>
      </c>
    </row>
    <row r="689" spans="1:13">
      <c r="A689" t="s">
        <v>23</v>
      </c>
      <c r="B689" s="1">
        <f>HYPERLINK("https://cordis.europa.eu/project/id/101146406", "101146406")</f>
        <v>0</v>
      </c>
      <c r="C689" t="s">
        <v>711</v>
      </c>
      <c r="D689" t="s">
        <v>1528</v>
      </c>
      <c r="E689" t="s">
        <v>1997</v>
      </c>
      <c r="F689" t="s">
        <v>2304</v>
      </c>
      <c r="G689" t="s">
        <v>2533</v>
      </c>
      <c r="H689" t="s">
        <v>3016</v>
      </c>
      <c r="I689" t="s">
        <v>3280</v>
      </c>
      <c r="J689" s="2">
        <v>0</v>
      </c>
      <c r="K689" s="2">
        <v>268025.28</v>
      </c>
      <c r="L689" t="s">
        <v>3368</v>
      </c>
      <c r="M689" t="s">
        <v>3389</v>
      </c>
    </row>
    <row r="690" spans="1:13">
      <c r="A690" t="s">
        <v>23</v>
      </c>
      <c r="B690" s="1">
        <f>HYPERLINK("https://cordis.europa.eu/project/id/101110315", "101110315")</f>
        <v>0</v>
      </c>
      <c r="C690" t="s">
        <v>712</v>
      </c>
      <c r="D690" t="s">
        <v>1529</v>
      </c>
      <c r="E690" t="s">
        <v>2020</v>
      </c>
      <c r="F690" t="s">
        <v>2290</v>
      </c>
      <c r="G690" t="s">
        <v>2495</v>
      </c>
      <c r="H690" t="s">
        <v>3016</v>
      </c>
      <c r="I690" t="s">
        <v>3279</v>
      </c>
      <c r="J690" s="2">
        <v>0</v>
      </c>
      <c r="K690" s="2">
        <v>252724.32</v>
      </c>
      <c r="L690" t="s">
        <v>3368</v>
      </c>
      <c r="M690" t="s">
        <v>3607</v>
      </c>
    </row>
    <row r="691" spans="1:13">
      <c r="A691" t="s">
        <v>23</v>
      </c>
      <c r="B691" s="1">
        <f>HYPERLINK("https://cordis.europa.eu/project/id/101131111", "101131111")</f>
        <v>0</v>
      </c>
      <c r="C691" t="s">
        <v>713</v>
      </c>
      <c r="D691" t="s">
        <v>1530</v>
      </c>
      <c r="E691" t="s">
        <v>2021</v>
      </c>
      <c r="F691" t="s">
        <v>2283</v>
      </c>
      <c r="G691" t="s">
        <v>2516</v>
      </c>
      <c r="H691" t="s">
        <v>3014</v>
      </c>
      <c r="I691" t="s">
        <v>3278</v>
      </c>
      <c r="J691" s="2">
        <v>0</v>
      </c>
      <c r="K691" s="2">
        <v>1467400</v>
      </c>
      <c r="L691" t="s">
        <v>3368</v>
      </c>
      <c r="M691" t="s">
        <v>3970</v>
      </c>
    </row>
    <row r="692" spans="1:13">
      <c r="A692" t="s">
        <v>23</v>
      </c>
      <c r="B692" s="1">
        <f>HYPERLINK("https://cordis.europa.eu/project/id/101149355", "101149355")</f>
        <v>0</v>
      </c>
      <c r="C692" t="s">
        <v>714</v>
      </c>
      <c r="D692" t="s">
        <v>1531</v>
      </c>
      <c r="E692" t="s">
        <v>2022</v>
      </c>
      <c r="F692" t="s">
        <v>2305</v>
      </c>
      <c r="G692" t="s">
        <v>2534</v>
      </c>
      <c r="H692" t="s">
        <v>3016</v>
      </c>
      <c r="I692" t="s">
        <v>3280</v>
      </c>
      <c r="J692" s="2">
        <v>0</v>
      </c>
      <c r="K692" s="2">
        <v>252724.32</v>
      </c>
      <c r="L692" t="s">
        <v>3368</v>
      </c>
      <c r="M692" t="s">
        <v>3616</v>
      </c>
    </row>
    <row r="693" spans="1:13">
      <c r="A693" t="s">
        <v>23</v>
      </c>
      <c r="B693" s="1">
        <f>HYPERLINK("https://cordis.europa.eu/project/id/101059547", "101059547")</f>
        <v>0</v>
      </c>
      <c r="C693" t="s">
        <v>715</v>
      </c>
      <c r="D693" t="s">
        <v>1532</v>
      </c>
      <c r="E693" t="s">
        <v>2023</v>
      </c>
      <c r="F693" t="s">
        <v>2297</v>
      </c>
      <c r="G693" t="s">
        <v>2484</v>
      </c>
      <c r="H693" t="s">
        <v>3012</v>
      </c>
      <c r="I693" t="s">
        <v>3296</v>
      </c>
      <c r="J693" s="2">
        <v>0</v>
      </c>
      <c r="K693" s="2">
        <v>4805246.75</v>
      </c>
      <c r="L693" t="s">
        <v>3368</v>
      </c>
      <c r="M693" t="s">
        <v>3971</v>
      </c>
    </row>
    <row r="694" spans="1:13">
      <c r="A694" t="s">
        <v>23</v>
      </c>
      <c r="B694" s="1">
        <f>HYPERLINK("https://cordis.europa.eu/project/id/101137656", "101137656")</f>
        <v>0</v>
      </c>
      <c r="C694" t="s">
        <v>716</v>
      </c>
      <c r="D694" t="s">
        <v>1533</v>
      </c>
      <c r="E694" t="s">
        <v>2024</v>
      </c>
      <c r="F694" t="s">
        <v>2305</v>
      </c>
      <c r="G694" t="s">
        <v>2523</v>
      </c>
      <c r="H694" t="s">
        <v>3012</v>
      </c>
      <c r="I694" t="s">
        <v>3297</v>
      </c>
      <c r="J694" s="2">
        <v>0</v>
      </c>
      <c r="K694" s="2">
        <v>6648370</v>
      </c>
      <c r="L694" t="s">
        <v>3368</v>
      </c>
      <c r="M694" t="s">
        <v>3972</v>
      </c>
    </row>
    <row r="695" spans="1:13">
      <c r="A695" t="s">
        <v>23</v>
      </c>
      <c r="B695" s="1">
        <f>HYPERLINK("https://cordis.europa.eu/project/id/101064175", "101064175")</f>
        <v>0</v>
      </c>
      <c r="C695" t="s">
        <v>717</v>
      </c>
      <c r="D695" t="s">
        <v>1534</v>
      </c>
      <c r="E695" t="s">
        <v>2025</v>
      </c>
      <c r="F695" t="s">
        <v>2306</v>
      </c>
      <c r="G695" t="s">
        <v>2452</v>
      </c>
      <c r="H695" t="s">
        <v>3015</v>
      </c>
      <c r="I695" t="s">
        <v>3295</v>
      </c>
      <c r="J695" s="2">
        <v>0</v>
      </c>
      <c r="K695" s="2">
        <v>191760</v>
      </c>
      <c r="L695" t="s">
        <v>3368</v>
      </c>
      <c r="M695" t="s">
        <v>3973</v>
      </c>
    </row>
    <row r="696" spans="1:13">
      <c r="A696" t="s">
        <v>23</v>
      </c>
      <c r="B696" s="1">
        <f>HYPERLINK("https://cordis.europa.eu/project/id/101086106", "101086106")</f>
        <v>0</v>
      </c>
      <c r="C696" t="s">
        <v>718</v>
      </c>
      <c r="D696" t="s">
        <v>1535</v>
      </c>
      <c r="E696" t="s">
        <v>2026</v>
      </c>
      <c r="F696" t="s">
        <v>2277</v>
      </c>
      <c r="G696" t="s">
        <v>2532</v>
      </c>
      <c r="H696" t="s">
        <v>3014</v>
      </c>
      <c r="I696" t="s">
        <v>3293</v>
      </c>
      <c r="J696" s="2">
        <v>0</v>
      </c>
      <c r="K696" s="2">
        <v>542800</v>
      </c>
      <c r="L696" t="s">
        <v>3368</v>
      </c>
      <c r="M696" t="s">
        <v>3974</v>
      </c>
    </row>
    <row r="697" spans="1:13">
      <c r="A697" t="s">
        <v>23</v>
      </c>
      <c r="B697" s="1">
        <f>HYPERLINK("https://cordis.europa.eu/project/id/101103627", "101103627")</f>
        <v>0</v>
      </c>
      <c r="C697" t="s">
        <v>719</v>
      </c>
      <c r="D697" t="s">
        <v>1536</v>
      </c>
      <c r="E697" t="s">
        <v>2003</v>
      </c>
      <c r="F697" t="s">
        <v>2303</v>
      </c>
      <c r="G697" t="s">
        <v>2499</v>
      </c>
      <c r="H697" t="s">
        <v>3016</v>
      </c>
      <c r="I697" t="s">
        <v>3279</v>
      </c>
      <c r="J697" s="2">
        <v>0</v>
      </c>
      <c r="K697" s="2">
        <v>293675.04</v>
      </c>
      <c r="L697" t="s">
        <v>3368</v>
      </c>
      <c r="M697" t="s">
        <v>3975</v>
      </c>
    </row>
    <row r="698" spans="1:13">
      <c r="A698" t="s">
        <v>23</v>
      </c>
      <c r="B698" s="1">
        <f>HYPERLINK("https://cordis.europa.eu/project/id/101064513", "101064513")</f>
        <v>0</v>
      </c>
      <c r="C698" t="s">
        <v>720</v>
      </c>
      <c r="D698" t="s">
        <v>1537</v>
      </c>
      <c r="E698" t="s">
        <v>2019</v>
      </c>
      <c r="F698" t="s">
        <v>2294</v>
      </c>
      <c r="G698" t="s">
        <v>2500</v>
      </c>
      <c r="H698" t="s">
        <v>3021</v>
      </c>
      <c r="I698" t="s">
        <v>3295</v>
      </c>
      <c r="J698" s="2">
        <v>0</v>
      </c>
      <c r="K698" s="2">
        <v>256442.88</v>
      </c>
      <c r="L698" t="s">
        <v>3368</v>
      </c>
      <c r="M698" t="s">
        <v>3608</v>
      </c>
    </row>
    <row r="699" spans="1:13">
      <c r="A699" t="s">
        <v>23</v>
      </c>
      <c r="B699" s="1">
        <f>HYPERLINK("https://cordis.europa.eu/project/id/101082451", "101082451")</f>
        <v>0</v>
      </c>
      <c r="C699" t="s">
        <v>721</v>
      </c>
      <c r="D699" t="s">
        <v>1538</v>
      </c>
      <c r="E699" t="s">
        <v>2027</v>
      </c>
      <c r="F699" t="s">
        <v>2307</v>
      </c>
      <c r="G699" t="s">
        <v>2452</v>
      </c>
      <c r="H699" t="s">
        <v>3022</v>
      </c>
      <c r="I699" t="s">
        <v>3298</v>
      </c>
      <c r="J699" s="2">
        <v>199582.5</v>
      </c>
      <c r="K699" s="2">
        <v>1148000</v>
      </c>
      <c r="L699" t="s">
        <v>3368</v>
      </c>
      <c r="M699" t="s">
        <v>3976</v>
      </c>
    </row>
    <row r="700" spans="1:13">
      <c r="A700" t="s">
        <v>23</v>
      </c>
      <c r="B700" s="1">
        <f>HYPERLINK("https://cordis.europa.eu/project/id/101070125", "101070125")</f>
        <v>0</v>
      </c>
      <c r="C700" t="s">
        <v>722</v>
      </c>
      <c r="D700" t="s">
        <v>1539</v>
      </c>
      <c r="E700" t="s">
        <v>2019</v>
      </c>
      <c r="F700" t="s">
        <v>2214</v>
      </c>
      <c r="G700" t="s">
        <v>2424</v>
      </c>
      <c r="H700" t="s">
        <v>3023</v>
      </c>
      <c r="I700" t="s">
        <v>3299</v>
      </c>
      <c r="J700" s="2">
        <v>0</v>
      </c>
      <c r="K700" s="2">
        <v>2000000</v>
      </c>
      <c r="L700" t="s">
        <v>3368</v>
      </c>
      <c r="M700" t="s">
        <v>3977</v>
      </c>
    </row>
    <row r="701" spans="1:13">
      <c r="A701" t="s">
        <v>23</v>
      </c>
      <c r="B701" s="1">
        <f>HYPERLINK("https://cordis.europa.eu/project/id/101058483", "101058483")</f>
        <v>0</v>
      </c>
      <c r="C701" t="s">
        <v>723</v>
      </c>
      <c r="D701" t="s">
        <v>1540</v>
      </c>
      <c r="E701" t="s">
        <v>2028</v>
      </c>
      <c r="F701" t="s">
        <v>2203</v>
      </c>
      <c r="G701" t="s">
        <v>2413</v>
      </c>
      <c r="H701" t="s">
        <v>3012</v>
      </c>
      <c r="I701" t="s">
        <v>3300</v>
      </c>
      <c r="J701" s="2">
        <v>0</v>
      </c>
      <c r="K701" s="2">
        <v>5606679.71</v>
      </c>
      <c r="L701" t="s">
        <v>3368</v>
      </c>
      <c r="M701" t="s">
        <v>3978</v>
      </c>
    </row>
    <row r="702" spans="1:13">
      <c r="A702" t="s">
        <v>23</v>
      </c>
      <c r="B702" s="1">
        <f>HYPERLINK("https://cordis.europa.eu/project/id/101070558", "101070558")</f>
        <v>0</v>
      </c>
      <c r="C702" t="s">
        <v>724</v>
      </c>
      <c r="D702" t="s">
        <v>1541</v>
      </c>
      <c r="E702" t="s">
        <v>2011</v>
      </c>
      <c r="F702" t="s">
        <v>2294</v>
      </c>
      <c r="G702" t="s">
        <v>2500</v>
      </c>
      <c r="H702" t="s">
        <v>3012</v>
      </c>
      <c r="I702" t="s">
        <v>3291</v>
      </c>
      <c r="J702" s="2">
        <v>0</v>
      </c>
      <c r="K702" s="2">
        <v>1247340</v>
      </c>
      <c r="L702" t="s">
        <v>3368</v>
      </c>
      <c r="M702" t="s">
        <v>3979</v>
      </c>
    </row>
    <row r="703" spans="1:13">
      <c r="A703" t="s">
        <v>23</v>
      </c>
      <c r="B703" s="1">
        <f>HYPERLINK("https://cordis.europa.eu/project/id/101135537", "101135537")</f>
        <v>0</v>
      </c>
      <c r="C703" t="s">
        <v>725</v>
      </c>
      <c r="D703" t="s">
        <v>1542</v>
      </c>
      <c r="E703" t="s">
        <v>2029</v>
      </c>
      <c r="F703" t="s">
        <v>2302</v>
      </c>
      <c r="G703" t="s">
        <v>2535</v>
      </c>
      <c r="H703" t="s">
        <v>3012</v>
      </c>
      <c r="I703" t="s">
        <v>3301</v>
      </c>
      <c r="J703" s="2">
        <v>0</v>
      </c>
      <c r="K703" s="2">
        <v>6794831.75</v>
      </c>
      <c r="L703" t="s">
        <v>3368</v>
      </c>
      <c r="M703" t="s">
        <v>3980</v>
      </c>
    </row>
    <row r="704" spans="1:13">
      <c r="A704" t="s">
        <v>23</v>
      </c>
      <c r="B704" s="1">
        <f>HYPERLINK("https://cordis.europa.eu/project/id/101063420", "101063420")</f>
        <v>0</v>
      </c>
      <c r="C704" t="s">
        <v>726</v>
      </c>
      <c r="D704" t="s">
        <v>1543</v>
      </c>
      <c r="E704" t="s">
        <v>2030</v>
      </c>
      <c r="F704" t="s">
        <v>2306</v>
      </c>
      <c r="G704" t="s">
        <v>2452</v>
      </c>
      <c r="H704" t="s">
        <v>3015</v>
      </c>
      <c r="I704" t="s">
        <v>3295</v>
      </c>
      <c r="J704" s="2">
        <v>0</v>
      </c>
      <c r="K704" s="2">
        <v>172750.08</v>
      </c>
      <c r="L704" t="s">
        <v>3368</v>
      </c>
      <c r="M704" t="s">
        <v>3981</v>
      </c>
    </row>
    <row r="705" spans="1:13">
      <c r="A705" t="s">
        <v>23</v>
      </c>
      <c r="B705" s="1">
        <f>HYPERLINK("https://cordis.europa.eu/project/id/101094341", "101094341")</f>
        <v>0</v>
      </c>
      <c r="C705" t="s">
        <v>727</v>
      </c>
      <c r="D705" t="s">
        <v>1544</v>
      </c>
      <c r="E705" t="s">
        <v>2031</v>
      </c>
      <c r="F705" t="s">
        <v>2306</v>
      </c>
      <c r="G705" t="s">
        <v>2393</v>
      </c>
      <c r="H705" t="s">
        <v>3012</v>
      </c>
      <c r="I705" t="s">
        <v>3302</v>
      </c>
      <c r="J705" s="2">
        <v>107500</v>
      </c>
      <c r="K705" s="2">
        <v>3392025</v>
      </c>
      <c r="L705" t="s">
        <v>3368</v>
      </c>
      <c r="M705" t="s">
        <v>3982</v>
      </c>
    </row>
    <row r="706" spans="1:13">
      <c r="A706" t="s">
        <v>23</v>
      </c>
      <c r="B706" s="1">
        <f>HYPERLINK("https://cordis.europa.eu/project/id/101106395", "101106395")</f>
        <v>0</v>
      </c>
      <c r="C706" t="s">
        <v>728</v>
      </c>
      <c r="D706" t="s">
        <v>1545</v>
      </c>
      <c r="E706" t="s">
        <v>2032</v>
      </c>
      <c r="F706" t="s">
        <v>2305</v>
      </c>
      <c r="G706" t="s">
        <v>2534</v>
      </c>
      <c r="H706" t="s">
        <v>3016</v>
      </c>
      <c r="I706" t="s">
        <v>3279</v>
      </c>
      <c r="J706" s="2">
        <v>0</v>
      </c>
      <c r="K706" s="2">
        <v>287700.96</v>
      </c>
      <c r="L706" t="s">
        <v>3380</v>
      </c>
      <c r="M706" t="s">
        <v>3983</v>
      </c>
    </row>
    <row r="707" spans="1:13">
      <c r="A707" t="s">
        <v>23</v>
      </c>
      <c r="B707" s="1">
        <f>HYPERLINK("https://cordis.europa.eu/project/id/101081329", "101081329")</f>
        <v>0</v>
      </c>
      <c r="C707" t="s">
        <v>729</v>
      </c>
      <c r="D707" t="s">
        <v>1546</v>
      </c>
      <c r="E707" t="s">
        <v>2033</v>
      </c>
      <c r="F707" t="s">
        <v>2303</v>
      </c>
      <c r="G707" t="s">
        <v>2536</v>
      </c>
      <c r="H707" t="s">
        <v>3013</v>
      </c>
      <c r="I707" t="s">
        <v>3303</v>
      </c>
      <c r="J707" s="2">
        <v>0</v>
      </c>
      <c r="K707" s="2">
        <v>5533252.74</v>
      </c>
      <c r="L707" t="s">
        <v>3369</v>
      </c>
      <c r="M707" t="s">
        <v>3984</v>
      </c>
    </row>
    <row r="708" spans="1:13">
      <c r="A708" t="s">
        <v>23</v>
      </c>
      <c r="B708" s="1">
        <f>HYPERLINK("https://cordis.europa.eu/project/id/101056865", "101056865")</f>
        <v>0</v>
      </c>
      <c r="C708" t="s">
        <v>730</v>
      </c>
      <c r="D708" t="s">
        <v>1547</v>
      </c>
      <c r="E708" t="s">
        <v>2034</v>
      </c>
      <c r="F708" t="s">
        <v>2214</v>
      </c>
      <c r="G708" t="s">
        <v>2499</v>
      </c>
      <c r="H708" t="s">
        <v>3012</v>
      </c>
      <c r="I708" t="s">
        <v>3304</v>
      </c>
      <c r="J708" s="2">
        <v>0</v>
      </c>
      <c r="K708" s="2">
        <v>5043800</v>
      </c>
      <c r="L708" t="s">
        <v>3368</v>
      </c>
      <c r="M708" t="s">
        <v>3985</v>
      </c>
    </row>
    <row r="709" spans="1:13">
      <c r="A709" t="s">
        <v>23</v>
      </c>
      <c r="B709" s="1">
        <f>HYPERLINK("https://cordis.europa.eu/project/id/101122363", "101122363")</f>
        <v>0</v>
      </c>
      <c r="C709" t="s">
        <v>731</v>
      </c>
      <c r="D709" t="s">
        <v>1548</v>
      </c>
      <c r="E709" t="s">
        <v>2035</v>
      </c>
      <c r="F709" t="s">
        <v>2303</v>
      </c>
      <c r="G709" t="s">
        <v>2495</v>
      </c>
      <c r="H709" t="s">
        <v>3012</v>
      </c>
      <c r="I709" t="s">
        <v>3305</v>
      </c>
      <c r="J709" s="2">
        <v>0</v>
      </c>
      <c r="K709" s="2">
        <v>2999536.25</v>
      </c>
      <c r="L709" t="s">
        <v>3368</v>
      </c>
      <c r="M709" t="s">
        <v>3986</v>
      </c>
    </row>
    <row r="710" spans="1:13">
      <c r="A710" t="s">
        <v>23</v>
      </c>
      <c r="B710" s="1">
        <f>HYPERLINK("https://cordis.europa.eu/project/id/101114765", "101114765")</f>
        <v>0</v>
      </c>
      <c r="C710" t="s">
        <v>732</v>
      </c>
      <c r="D710" t="s">
        <v>1549</v>
      </c>
      <c r="E710" t="s">
        <v>2036</v>
      </c>
      <c r="F710" t="s">
        <v>2303</v>
      </c>
      <c r="G710" t="s">
        <v>2393</v>
      </c>
      <c r="H710" t="s">
        <v>3024</v>
      </c>
      <c r="I710" t="s">
        <v>3306</v>
      </c>
      <c r="J710" s="2">
        <v>99125</v>
      </c>
      <c r="K710" s="2">
        <v>1929486</v>
      </c>
      <c r="L710" t="s">
        <v>3368</v>
      </c>
      <c r="M710" t="s">
        <v>3987</v>
      </c>
    </row>
    <row r="711" spans="1:13">
      <c r="A711" t="s">
        <v>23</v>
      </c>
      <c r="B711" s="1">
        <f>HYPERLINK("https://cordis.europa.eu/project/id/101081179", "101081179")</f>
        <v>0</v>
      </c>
      <c r="C711" t="s">
        <v>733</v>
      </c>
      <c r="D711" t="s">
        <v>1550</v>
      </c>
      <c r="E711" t="s">
        <v>2037</v>
      </c>
      <c r="F711" t="s">
        <v>2307</v>
      </c>
      <c r="G711" t="s">
        <v>2531</v>
      </c>
      <c r="H711" t="s">
        <v>3012</v>
      </c>
      <c r="I711" t="s">
        <v>3283</v>
      </c>
      <c r="J711" s="2">
        <v>137500</v>
      </c>
      <c r="K711" s="2">
        <v>3850922.5</v>
      </c>
      <c r="L711" t="s">
        <v>3368</v>
      </c>
      <c r="M711" t="s">
        <v>3988</v>
      </c>
    </row>
    <row r="712" spans="1:13">
      <c r="A712" t="s">
        <v>23</v>
      </c>
      <c r="B712" s="1">
        <f>HYPERLINK("https://cordis.europa.eu/project/id/101138411", "101138411")</f>
        <v>0</v>
      </c>
      <c r="C712" t="s">
        <v>734</v>
      </c>
      <c r="D712" t="s">
        <v>1551</v>
      </c>
      <c r="E712" t="s">
        <v>2038</v>
      </c>
      <c r="F712" t="s">
        <v>2302</v>
      </c>
      <c r="G712" t="s">
        <v>2535</v>
      </c>
      <c r="H712" t="s">
        <v>3013</v>
      </c>
      <c r="I712" t="s">
        <v>3277</v>
      </c>
      <c r="J712" s="2">
        <v>4765775</v>
      </c>
      <c r="K712" s="2">
        <v>9389662.5</v>
      </c>
      <c r="L712" t="s">
        <v>3378</v>
      </c>
      <c r="M712" t="s">
        <v>3989</v>
      </c>
    </row>
    <row r="713" spans="1:13">
      <c r="A713" t="s">
        <v>23</v>
      </c>
      <c r="B713" s="1">
        <f>HYPERLINK("https://cordis.europa.eu/project/id/101046651", "101046651")</f>
        <v>0</v>
      </c>
      <c r="C713" t="s">
        <v>735</v>
      </c>
      <c r="D713" t="s">
        <v>1552</v>
      </c>
      <c r="E713" t="s">
        <v>2039</v>
      </c>
      <c r="F713" t="s">
        <v>2214</v>
      </c>
      <c r="G713" t="s">
        <v>2499</v>
      </c>
      <c r="H713" t="s">
        <v>3025</v>
      </c>
      <c r="I713" t="s">
        <v>3307</v>
      </c>
      <c r="J713" s="2">
        <v>0</v>
      </c>
      <c r="K713" s="2">
        <v>3591780</v>
      </c>
      <c r="L713" t="s">
        <v>3368</v>
      </c>
      <c r="M713" t="s">
        <v>3990</v>
      </c>
    </row>
    <row r="714" spans="1:13">
      <c r="A714" t="s">
        <v>23</v>
      </c>
      <c r="B714" s="1">
        <f>HYPERLINK("https://cordis.europa.eu/project/id/101099596", "101099596")</f>
        <v>0</v>
      </c>
      <c r="C714" t="s">
        <v>736</v>
      </c>
      <c r="D714" t="s">
        <v>1553</v>
      </c>
      <c r="E714" t="s">
        <v>2040</v>
      </c>
      <c r="F714" t="s">
        <v>2298</v>
      </c>
      <c r="G714" t="s">
        <v>2534</v>
      </c>
      <c r="H714" t="s">
        <v>3025</v>
      </c>
      <c r="I714" t="s">
        <v>3308</v>
      </c>
      <c r="J714" s="2">
        <v>0</v>
      </c>
      <c r="K714" s="2">
        <v>3571767.25</v>
      </c>
      <c r="L714" t="s">
        <v>3368</v>
      </c>
      <c r="M714" t="s">
        <v>3991</v>
      </c>
    </row>
    <row r="715" spans="1:13">
      <c r="A715" t="s">
        <v>23</v>
      </c>
      <c r="B715" s="1">
        <f>HYPERLINK("https://cordis.europa.eu/project/id/101135775", "101135775")</f>
        <v>0</v>
      </c>
      <c r="C715" t="s">
        <v>737</v>
      </c>
      <c r="D715" t="s">
        <v>1554</v>
      </c>
      <c r="E715" t="s">
        <v>2041</v>
      </c>
      <c r="F715" t="s">
        <v>2305</v>
      </c>
      <c r="G715" t="s">
        <v>2534</v>
      </c>
      <c r="H715" t="s">
        <v>3012</v>
      </c>
      <c r="I715" t="s">
        <v>3309</v>
      </c>
      <c r="J715" s="2">
        <v>0</v>
      </c>
      <c r="K715" s="2">
        <v>8991728.75</v>
      </c>
      <c r="L715" t="s">
        <v>3368</v>
      </c>
      <c r="M715" t="s">
        <v>3992</v>
      </c>
    </row>
    <row r="716" spans="1:13">
      <c r="A716" t="s">
        <v>23</v>
      </c>
      <c r="B716" s="1">
        <f>HYPERLINK("https://cordis.europa.eu/project/id/101119590", "101119590")</f>
        <v>0</v>
      </c>
      <c r="C716" t="s">
        <v>738</v>
      </c>
      <c r="D716" t="s">
        <v>1555</v>
      </c>
      <c r="E716" t="s">
        <v>2042</v>
      </c>
      <c r="F716" t="s">
        <v>2293</v>
      </c>
      <c r="G716" t="s">
        <v>2537</v>
      </c>
      <c r="H716" t="s">
        <v>3026</v>
      </c>
      <c r="I716" t="s">
        <v>3294</v>
      </c>
      <c r="J716" s="2">
        <v>0</v>
      </c>
      <c r="K716" s="2">
        <v>3334846.8</v>
      </c>
      <c r="L716" t="s">
        <v>3368</v>
      </c>
      <c r="M716" t="s">
        <v>3993</v>
      </c>
    </row>
    <row r="717" spans="1:13">
      <c r="A717" t="s">
        <v>23</v>
      </c>
      <c r="B717" s="1">
        <f>HYPERLINK("https://cordis.europa.eu/project/id/101131117", "101131117")</f>
        <v>0</v>
      </c>
      <c r="C717" t="s">
        <v>739</v>
      </c>
      <c r="D717" t="s">
        <v>1556</v>
      </c>
      <c r="E717" t="s">
        <v>2043</v>
      </c>
      <c r="F717" t="s">
        <v>2283</v>
      </c>
      <c r="G717" t="s">
        <v>2516</v>
      </c>
      <c r="H717" t="s">
        <v>3014</v>
      </c>
      <c r="I717" t="s">
        <v>3278</v>
      </c>
      <c r="J717" s="2">
        <v>0</v>
      </c>
      <c r="K717" s="2">
        <v>892400</v>
      </c>
      <c r="L717" t="s">
        <v>3368</v>
      </c>
      <c r="M717" t="s">
        <v>3994</v>
      </c>
    </row>
    <row r="718" spans="1:13">
      <c r="A718" t="s">
        <v>23</v>
      </c>
      <c r="B718" s="1">
        <f>HYPERLINK("https://cordis.europa.eu/project/id/101136728", "101136728")</f>
        <v>0</v>
      </c>
      <c r="C718" t="s">
        <v>740</v>
      </c>
      <c r="D718" t="s">
        <v>1557</v>
      </c>
      <c r="E718" t="s">
        <v>2044</v>
      </c>
      <c r="F718" t="s">
        <v>2283</v>
      </c>
      <c r="G718" t="s">
        <v>2515</v>
      </c>
      <c r="H718" t="s">
        <v>3012</v>
      </c>
      <c r="I718" t="s">
        <v>3310</v>
      </c>
      <c r="J718" s="2">
        <v>1679000</v>
      </c>
      <c r="K718" s="2">
        <v>8743516.25</v>
      </c>
      <c r="L718" t="s">
        <v>3369</v>
      </c>
      <c r="M718" t="s">
        <v>3995</v>
      </c>
    </row>
    <row r="719" spans="1:13">
      <c r="A719" t="s">
        <v>23</v>
      </c>
      <c r="B719" s="1">
        <f>HYPERLINK("https://cordis.europa.eu/project/id/101120556", "101120556")</f>
        <v>0</v>
      </c>
      <c r="C719" t="s">
        <v>741</v>
      </c>
      <c r="D719" t="s">
        <v>1558</v>
      </c>
      <c r="E719" t="s">
        <v>2045</v>
      </c>
      <c r="F719" t="s">
        <v>2295</v>
      </c>
      <c r="G719" t="s">
        <v>2519</v>
      </c>
      <c r="H719" t="s">
        <v>3020</v>
      </c>
      <c r="I719" t="s">
        <v>3294</v>
      </c>
      <c r="J719" s="2">
        <v>0</v>
      </c>
      <c r="K719" s="2">
        <v>2097900</v>
      </c>
      <c r="L719" t="s">
        <v>3368</v>
      </c>
      <c r="M719" t="s">
        <v>3996</v>
      </c>
    </row>
    <row r="720" spans="1:13">
      <c r="A720" t="s">
        <v>23</v>
      </c>
      <c r="B720" s="1">
        <f>HYPERLINK("https://cordis.europa.eu/project/id/101130384", "101130384")</f>
        <v>0</v>
      </c>
      <c r="C720" t="s">
        <v>742</v>
      </c>
      <c r="D720" t="s">
        <v>1559</v>
      </c>
      <c r="E720" t="s">
        <v>2010</v>
      </c>
      <c r="F720" t="s">
        <v>2305</v>
      </c>
      <c r="G720" t="s">
        <v>2523</v>
      </c>
      <c r="H720" t="s">
        <v>3025</v>
      </c>
      <c r="I720" t="s">
        <v>3311</v>
      </c>
      <c r="J720" s="2">
        <v>0</v>
      </c>
      <c r="K720" s="2">
        <v>2675838.75</v>
      </c>
      <c r="L720" t="s">
        <v>3368</v>
      </c>
      <c r="M720" t="s">
        <v>3997</v>
      </c>
    </row>
    <row r="721" spans="1:13">
      <c r="A721" t="s">
        <v>23</v>
      </c>
      <c r="B721" s="1">
        <f>HYPERLINK("https://cordis.europa.eu/project/id/101120360", "101120360")</f>
        <v>0</v>
      </c>
      <c r="C721" t="s">
        <v>743</v>
      </c>
      <c r="D721" t="s">
        <v>1560</v>
      </c>
      <c r="E721" t="s">
        <v>2046</v>
      </c>
      <c r="F721" t="s">
        <v>2283</v>
      </c>
      <c r="G721" t="s">
        <v>2516</v>
      </c>
      <c r="H721" t="s">
        <v>3020</v>
      </c>
      <c r="I721" t="s">
        <v>3294</v>
      </c>
      <c r="J721" s="2">
        <v>0</v>
      </c>
      <c r="K721" s="2">
        <v>2694376.8</v>
      </c>
      <c r="L721" t="s">
        <v>3368</v>
      </c>
      <c r="M721" t="s">
        <v>3998</v>
      </c>
    </row>
    <row r="722" spans="1:13">
      <c r="A722" t="s">
        <v>23</v>
      </c>
      <c r="B722" s="1">
        <f>HYPERLINK("https://cordis.europa.eu/project/id/101061550", "101061550")</f>
        <v>0</v>
      </c>
      <c r="C722" t="s">
        <v>744</v>
      </c>
      <c r="D722" t="s">
        <v>1561</v>
      </c>
      <c r="E722" t="s">
        <v>2047</v>
      </c>
      <c r="F722" t="s">
        <v>2294</v>
      </c>
      <c r="G722" t="s">
        <v>2500</v>
      </c>
      <c r="H722" t="s">
        <v>3012</v>
      </c>
      <c r="I722" t="s">
        <v>3312</v>
      </c>
      <c r="J722" s="2">
        <v>0</v>
      </c>
      <c r="K722" s="2">
        <v>2994887</v>
      </c>
      <c r="L722" t="s">
        <v>3368</v>
      </c>
      <c r="M722" t="s">
        <v>3999</v>
      </c>
    </row>
    <row r="723" spans="1:13">
      <c r="A723" t="s">
        <v>23</v>
      </c>
      <c r="B723" s="1">
        <f>HYPERLINK("https://cordis.europa.eu/project/id/101073506", "101073506")</f>
        <v>0</v>
      </c>
      <c r="C723" t="s">
        <v>745</v>
      </c>
      <c r="D723" t="s">
        <v>1562</v>
      </c>
      <c r="E723" t="s">
        <v>2048</v>
      </c>
      <c r="F723" t="s">
        <v>2277</v>
      </c>
      <c r="G723" t="s">
        <v>2532</v>
      </c>
      <c r="H723" t="s">
        <v>3020</v>
      </c>
      <c r="I723" t="s">
        <v>3313</v>
      </c>
      <c r="J723" s="2">
        <v>0</v>
      </c>
      <c r="K723" s="2">
        <v>2675527.2</v>
      </c>
      <c r="L723" t="s">
        <v>3368</v>
      </c>
      <c r="M723" t="s">
        <v>4000</v>
      </c>
    </row>
    <row r="724" spans="1:13">
      <c r="A724" t="s">
        <v>23</v>
      </c>
      <c r="B724" s="1">
        <f>HYPERLINK("https://cordis.europa.eu/project/id/101065820", "101065820")</f>
        <v>0</v>
      </c>
      <c r="C724" t="s">
        <v>746</v>
      </c>
      <c r="D724" t="s">
        <v>1563</v>
      </c>
      <c r="E724" t="s">
        <v>2048</v>
      </c>
      <c r="F724" t="s">
        <v>2308</v>
      </c>
      <c r="G724" t="s">
        <v>2538</v>
      </c>
      <c r="H724" t="s">
        <v>3016</v>
      </c>
      <c r="I724" t="s">
        <v>3295</v>
      </c>
      <c r="J724" s="2">
        <v>0</v>
      </c>
      <c r="K724" s="2">
        <v>280202.88</v>
      </c>
      <c r="L724" t="s">
        <v>3368</v>
      </c>
      <c r="M724" t="s">
        <v>3608</v>
      </c>
    </row>
    <row r="725" spans="1:13">
      <c r="A725" t="s">
        <v>23</v>
      </c>
      <c r="B725" s="1">
        <f>HYPERLINK("https://cordis.europa.eu/project/id/101066659", "101066659")</f>
        <v>0</v>
      </c>
      <c r="C725" t="s">
        <v>747</v>
      </c>
      <c r="D725" t="s">
        <v>1564</v>
      </c>
      <c r="E725" t="s">
        <v>2049</v>
      </c>
      <c r="F725" t="s">
        <v>2294</v>
      </c>
      <c r="G725" t="s">
        <v>2500</v>
      </c>
      <c r="H725" t="s">
        <v>3016</v>
      </c>
      <c r="I725" t="s">
        <v>3295</v>
      </c>
      <c r="J725" s="2">
        <v>0</v>
      </c>
      <c r="K725" s="2">
        <v>280202.88</v>
      </c>
      <c r="L725" t="s">
        <v>3368</v>
      </c>
      <c r="M725" t="s">
        <v>3609</v>
      </c>
    </row>
    <row r="726" spans="1:13">
      <c r="A726" t="s">
        <v>23</v>
      </c>
      <c r="B726" s="1">
        <f>HYPERLINK("https://cordis.europa.eu/project/id/101083671", "101083671")</f>
        <v>0</v>
      </c>
      <c r="C726" t="s">
        <v>748</v>
      </c>
      <c r="D726" t="s">
        <v>1565</v>
      </c>
      <c r="E726" t="s">
        <v>1987</v>
      </c>
      <c r="F726" t="s">
        <v>2283</v>
      </c>
      <c r="G726" t="s">
        <v>2515</v>
      </c>
      <c r="H726" t="s">
        <v>3012</v>
      </c>
      <c r="I726" t="s">
        <v>3314</v>
      </c>
      <c r="J726" s="2">
        <v>0</v>
      </c>
      <c r="K726" s="2">
        <v>4996401</v>
      </c>
      <c r="L726" t="s">
        <v>3368</v>
      </c>
      <c r="M726" t="s">
        <v>4001</v>
      </c>
    </row>
    <row r="727" spans="1:13">
      <c r="A727" t="s">
        <v>23</v>
      </c>
      <c r="B727" s="1">
        <f>HYPERLINK("https://cordis.europa.eu/project/id/101135070", "101135070")</f>
        <v>0</v>
      </c>
      <c r="C727" t="s">
        <v>749</v>
      </c>
      <c r="D727" t="s">
        <v>1566</v>
      </c>
      <c r="E727" t="s">
        <v>2050</v>
      </c>
      <c r="F727" t="s">
        <v>2283</v>
      </c>
      <c r="G727" t="s">
        <v>2516</v>
      </c>
      <c r="H727" t="s">
        <v>3013</v>
      </c>
      <c r="I727" t="s">
        <v>3315</v>
      </c>
      <c r="J727" s="2">
        <v>0</v>
      </c>
      <c r="K727" s="2">
        <v>4957716.01</v>
      </c>
      <c r="L727" t="s">
        <v>3368</v>
      </c>
      <c r="M727" t="s">
        <v>4002</v>
      </c>
    </row>
    <row r="728" spans="1:13">
      <c r="A728" t="s">
        <v>23</v>
      </c>
      <c r="B728" s="1">
        <f>HYPERLINK("https://cordis.europa.eu/project/id/101122303", "101122303")</f>
        <v>0</v>
      </c>
      <c r="C728" t="s">
        <v>750</v>
      </c>
      <c r="D728" t="s">
        <v>1567</v>
      </c>
      <c r="E728" t="s">
        <v>2051</v>
      </c>
      <c r="F728" t="s">
        <v>2295</v>
      </c>
      <c r="G728" t="s">
        <v>2398</v>
      </c>
      <c r="H728" t="s">
        <v>3012</v>
      </c>
      <c r="I728" t="s">
        <v>3305</v>
      </c>
      <c r="J728" s="2">
        <v>0</v>
      </c>
      <c r="K728" s="2">
        <v>3161948.25</v>
      </c>
      <c r="L728" t="s">
        <v>3368</v>
      </c>
      <c r="M728" t="s">
        <v>4003</v>
      </c>
    </row>
    <row r="729" spans="1:13">
      <c r="A729" t="s">
        <v>23</v>
      </c>
      <c r="B729" s="1">
        <f>HYPERLINK("https://cordis.europa.eu/project/id/101059492", "101059492")</f>
        <v>0</v>
      </c>
      <c r="C729" t="s">
        <v>751</v>
      </c>
      <c r="D729" t="s">
        <v>1568</v>
      </c>
      <c r="E729" t="s">
        <v>2007</v>
      </c>
      <c r="F729" t="s">
        <v>2214</v>
      </c>
      <c r="G729" t="s">
        <v>2393</v>
      </c>
      <c r="H729" t="s">
        <v>3012</v>
      </c>
      <c r="I729" t="s">
        <v>3282</v>
      </c>
      <c r="J729" s="2">
        <v>0</v>
      </c>
      <c r="K729" s="2">
        <v>17080738</v>
      </c>
      <c r="L729" t="s">
        <v>3368</v>
      </c>
      <c r="M729" t="s">
        <v>4004</v>
      </c>
    </row>
    <row r="730" spans="1:13">
      <c r="A730" t="s">
        <v>23</v>
      </c>
      <c r="B730" s="1">
        <f>HYPERLINK("https://cordis.europa.eu/project/id/101106820", "101106820")</f>
        <v>0</v>
      </c>
      <c r="C730" t="s">
        <v>752</v>
      </c>
      <c r="D730" t="s">
        <v>1569</v>
      </c>
      <c r="E730" t="s">
        <v>2052</v>
      </c>
      <c r="F730" t="s">
        <v>2290</v>
      </c>
      <c r="G730" t="s">
        <v>2536</v>
      </c>
      <c r="H730" t="s">
        <v>3016</v>
      </c>
      <c r="I730" t="s">
        <v>3279</v>
      </c>
      <c r="J730" s="2">
        <v>0</v>
      </c>
      <c r="K730" s="2">
        <v>328251.12</v>
      </c>
      <c r="L730" t="s">
        <v>3368</v>
      </c>
      <c r="M730" t="s">
        <v>4005</v>
      </c>
    </row>
    <row r="731" spans="1:13">
      <c r="A731" t="s">
        <v>23</v>
      </c>
      <c r="B731" s="1">
        <f>HYPERLINK("https://cordis.europa.eu/project/id/101125250", "101125250")</f>
        <v>0</v>
      </c>
      <c r="C731" t="s">
        <v>753</v>
      </c>
      <c r="D731" t="s">
        <v>1570</v>
      </c>
      <c r="E731" t="s">
        <v>2053</v>
      </c>
      <c r="F731" t="s">
        <v>2293</v>
      </c>
      <c r="G731" t="s">
        <v>2524</v>
      </c>
      <c r="H731" t="s">
        <v>3017</v>
      </c>
      <c r="I731" t="s">
        <v>3281</v>
      </c>
      <c r="J731" s="2">
        <v>0</v>
      </c>
      <c r="K731" s="2">
        <v>3360000</v>
      </c>
      <c r="L731" t="s">
        <v>3368</v>
      </c>
      <c r="M731" t="s">
        <v>4006</v>
      </c>
    </row>
    <row r="732" spans="1:13">
      <c r="A732" t="s">
        <v>23</v>
      </c>
      <c r="B732" s="1">
        <f>HYPERLINK("https://cordis.europa.eu/project/id/101131612", "101131612")</f>
        <v>0</v>
      </c>
      <c r="C732" t="s">
        <v>754</v>
      </c>
      <c r="D732" t="s">
        <v>1571</v>
      </c>
      <c r="E732" t="s">
        <v>2054</v>
      </c>
      <c r="F732" t="s">
        <v>2293</v>
      </c>
      <c r="G732" t="s">
        <v>2537</v>
      </c>
      <c r="H732" t="s">
        <v>3014</v>
      </c>
      <c r="I732" t="s">
        <v>3278</v>
      </c>
      <c r="J732" s="2">
        <v>0</v>
      </c>
      <c r="K732" s="2">
        <v>179400</v>
      </c>
      <c r="L732" t="s">
        <v>3368</v>
      </c>
      <c r="M732" t="s">
        <v>4007</v>
      </c>
    </row>
    <row r="733" spans="1:13">
      <c r="A733" t="s">
        <v>23</v>
      </c>
      <c r="B733" s="1">
        <f>HYPERLINK("https://cordis.europa.eu/project/id/101059794", "101059794")</f>
        <v>0</v>
      </c>
      <c r="C733" t="s">
        <v>755</v>
      </c>
      <c r="D733" t="s">
        <v>1572</v>
      </c>
      <c r="E733" t="s">
        <v>2007</v>
      </c>
      <c r="F733" t="s">
        <v>2297</v>
      </c>
      <c r="G733" t="s">
        <v>2494</v>
      </c>
      <c r="H733" t="s">
        <v>3012</v>
      </c>
      <c r="I733" t="s">
        <v>3296</v>
      </c>
      <c r="J733" s="2">
        <v>0</v>
      </c>
      <c r="K733" s="2">
        <v>3667138.25</v>
      </c>
      <c r="L733" t="s">
        <v>3368</v>
      </c>
      <c r="M733" t="s">
        <v>4008</v>
      </c>
    </row>
    <row r="734" spans="1:13">
      <c r="A734" t="s">
        <v>23</v>
      </c>
      <c r="B734" s="1">
        <f>HYPERLINK("https://cordis.europa.eu/project/id/101061677", "101061677")</f>
        <v>0</v>
      </c>
      <c r="C734" t="s">
        <v>756</v>
      </c>
      <c r="D734" t="s">
        <v>1573</v>
      </c>
      <c r="E734" t="s">
        <v>2007</v>
      </c>
      <c r="F734" t="s">
        <v>2203</v>
      </c>
      <c r="G734" t="s">
        <v>2539</v>
      </c>
      <c r="H734" t="s">
        <v>3027</v>
      </c>
      <c r="I734" t="s">
        <v>3316</v>
      </c>
      <c r="J734" s="2">
        <v>0</v>
      </c>
      <c r="K734" s="2">
        <v>6917833</v>
      </c>
      <c r="L734" t="s">
        <v>3368</v>
      </c>
      <c r="M734" t="s">
        <v>4009</v>
      </c>
    </row>
    <row r="735" spans="1:13">
      <c r="A735" t="s">
        <v>23</v>
      </c>
      <c r="B735" s="1">
        <f>HYPERLINK("https://cordis.europa.eu/project/id/101137270", "101137270")</f>
        <v>0</v>
      </c>
      <c r="C735" t="s">
        <v>757</v>
      </c>
      <c r="D735" t="s">
        <v>1574</v>
      </c>
      <c r="E735" t="s">
        <v>2055</v>
      </c>
      <c r="F735" t="s">
        <v>2283</v>
      </c>
      <c r="G735" t="s">
        <v>2515</v>
      </c>
      <c r="H735" t="s">
        <v>3012</v>
      </c>
      <c r="I735" t="s">
        <v>3317</v>
      </c>
      <c r="J735" s="2">
        <v>384476.25</v>
      </c>
      <c r="K735" s="2">
        <v>5723637</v>
      </c>
      <c r="L735" t="s">
        <v>3368</v>
      </c>
      <c r="M735" t="s">
        <v>4010</v>
      </c>
    </row>
    <row r="736" spans="1:13">
      <c r="A736" t="s">
        <v>23</v>
      </c>
      <c r="B736" s="1">
        <f>HYPERLINK("https://cordis.europa.eu/project/id/101120104", "101120104")</f>
        <v>0</v>
      </c>
      <c r="C736" t="s">
        <v>758</v>
      </c>
      <c r="D736" t="s">
        <v>1575</v>
      </c>
      <c r="E736" t="s">
        <v>2042</v>
      </c>
      <c r="F736" t="s">
        <v>2300</v>
      </c>
      <c r="G736" t="s">
        <v>2536</v>
      </c>
      <c r="H736" t="s">
        <v>3020</v>
      </c>
      <c r="I736" t="s">
        <v>3294</v>
      </c>
      <c r="J736" s="2">
        <v>0</v>
      </c>
      <c r="K736" s="2">
        <v>2718979.2</v>
      </c>
      <c r="L736" t="s">
        <v>3368</v>
      </c>
      <c r="M736" t="s">
        <v>4011</v>
      </c>
    </row>
    <row r="737" spans="1:13">
      <c r="A737" t="s">
        <v>23</v>
      </c>
      <c r="B737" s="1">
        <f>HYPERLINK("https://cordis.europa.eu/project/id/101066639", "101066639")</f>
        <v>0</v>
      </c>
      <c r="C737" t="s">
        <v>759</v>
      </c>
      <c r="D737" t="s">
        <v>1576</v>
      </c>
      <c r="E737" t="s">
        <v>2056</v>
      </c>
      <c r="F737" t="s">
        <v>2309</v>
      </c>
      <c r="G737" t="s">
        <v>2413</v>
      </c>
      <c r="H737" t="s">
        <v>3015</v>
      </c>
      <c r="I737" t="s">
        <v>3295</v>
      </c>
      <c r="J737" s="2">
        <v>0</v>
      </c>
      <c r="K737" s="2">
        <v>189687.36</v>
      </c>
      <c r="L737" t="s">
        <v>3369</v>
      </c>
      <c r="M737" t="s">
        <v>4012</v>
      </c>
    </row>
    <row r="738" spans="1:13">
      <c r="A738" t="s">
        <v>23</v>
      </c>
      <c r="B738" s="1">
        <f>HYPERLINK("https://cordis.europa.eu/project/id/101129945", "101129945")</f>
        <v>0</v>
      </c>
      <c r="C738" t="s">
        <v>760</v>
      </c>
      <c r="D738" t="s">
        <v>1577</v>
      </c>
      <c r="E738" t="s">
        <v>2057</v>
      </c>
      <c r="F738" t="s">
        <v>2283</v>
      </c>
      <c r="G738" t="s">
        <v>2516</v>
      </c>
      <c r="H738" t="s">
        <v>3014</v>
      </c>
      <c r="I738" t="s">
        <v>3278</v>
      </c>
      <c r="J738" s="2">
        <v>0</v>
      </c>
      <c r="K738" s="2">
        <v>1518000</v>
      </c>
      <c r="L738" t="s">
        <v>3368</v>
      </c>
      <c r="M738" t="s">
        <v>4013</v>
      </c>
    </row>
    <row r="739" spans="1:13">
      <c r="A739" t="s">
        <v>23</v>
      </c>
      <c r="B739" s="1">
        <f>HYPERLINK("https://cordis.europa.eu/project/id/101072625", "101072625")</f>
        <v>0</v>
      </c>
      <c r="C739" t="s">
        <v>761</v>
      </c>
      <c r="D739" t="s">
        <v>1578</v>
      </c>
      <c r="E739" t="s">
        <v>2058</v>
      </c>
      <c r="F739" t="s">
        <v>2294</v>
      </c>
      <c r="G739" t="s">
        <v>2398</v>
      </c>
      <c r="H739" t="s">
        <v>3026</v>
      </c>
      <c r="I739" t="s">
        <v>3313</v>
      </c>
      <c r="J739" s="2">
        <v>0</v>
      </c>
      <c r="K739" s="2">
        <v>4103866.8</v>
      </c>
      <c r="L739" t="s">
        <v>3368</v>
      </c>
      <c r="M739" t="s">
        <v>4014</v>
      </c>
    </row>
    <row r="740" spans="1:13">
      <c r="A740" t="s">
        <v>23</v>
      </c>
      <c r="B740" s="1">
        <f>HYPERLINK("https://cordis.europa.eu/project/id/101126676", "101126676")</f>
        <v>0</v>
      </c>
      <c r="C740" t="s">
        <v>762</v>
      </c>
      <c r="D740" t="s">
        <v>1579</v>
      </c>
      <c r="E740" t="s">
        <v>2059</v>
      </c>
      <c r="F740" t="s">
        <v>2290</v>
      </c>
      <c r="G740" t="s">
        <v>2540</v>
      </c>
      <c r="H740" t="s">
        <v>3017</v>
      </c>
      <c r="I740" t="s">
        <v>3281</v>
      </c>
      <c r="J740" s="2">
        <v>0</v>
      </c>
      <c r="K740" s="2">
        <v>1344000</v>
      </c>
      <c r="L740" t="s">
        <v>3368</v>
      </c>
      <c r="M740" t="s">
        <v>4015</v>
      </c>
    </row>
    <row r="741" spans="1:13">
      <c r="A741" t="s">
        <v>23</v>
      </c>
      <c r="B741" s="1">
        <f>HYPERLINK("https://cordis.europa.eu/project/id/101073374", "101073374")</f>
        <v>0</v>
      </c>
      <c r="C741" t="s">
        <v>763</v>
      </c>
      <c r="D741" t="s">
        <v>1580</v>
      </c>
      <c r="E741" t="s">
        <v>2060</v>
      </c>
      <c r="F741" t="s">
        <v>2277</v>
      </c>
      <c r="G741" t="s">
        <v>2532</v>
      </c>
      <c r="H741" t="s">
        <v>3020</v>
      </c>
      <c r="I741" t="s">
        <v>3313</v>
      </c>
      <c r="J741" s="2">
        <v>0</v>
      </c>
      <c r="K741" s="2">
        <v>2666836.8</v>
      </c>
      <c r="L741" t="s">
        <v>3368</v>
      </c>
      <c r="M741" t="s">
        <v>4016</v>
      </c>
    </row>
    <row r="742" spans="1:13">
      <c r="A742" t="s">
        <v>23</v>
      </c>
      <c r="B742" s="1">
        <f>HYPERLINK("https://cordis.europa.eu/project/id/101119427", "101119427")</f>
        <v>0</v>
      </c>
      <c r="C742" t="s">
        <v>764</v>
      </c>
      <c r="D742" t="s">
        <v>1581</v>
      </c>
      <c r="E742" t="s">
        <v>2061</v>
      </c>
      <c r="F742" t="s">
        <v>2283</v>
      </c>
      <c r="G742" t="s">
        <v>2516</v>
      </c>
      <c r="H742" t="s">
        <v>3020</v>
      </c>
      <c r="I742" t="s">
        <v>3294</v>
      </c>
      <c r="J742" s="2">
        <v>0</v>
      </c>
      <c r="K742" s="2">
        <v>2526933.6</v>
      </c>
      <c r="L742" t="s">
        <v>3368</v>
      </c>
      <c r="M742" t="s">
        <v>4017</v>
      </c>
    </row>
    <row r="743" spans="1:13">
      <c r="A743" t="s">
        <v>23</v>
      </c>
      <c r="B743" s="1">
        <f>HYPERLINK("https://cordis.europa.eu/project/id/101086276", "101086276")</f>
        <v>0</v>
      </c>
      <c r="C743" t="s">
        <v>765</v>
      </c>
      <c r="D743" t="s">
        <v>1582</v>
      </c>
      <c r="E743" t="s">
        <v>2062</v>
      </c>
      <c r="F743" t="s">
        <v>2306</v>
      </c>
      <c r="G743" t="s">
        <v>2541</v>
      </c>
      <c r="H743" t="s">
        <v>3014</v>
      </c>
      <c r="I743" t="s">
        <v>3293</v>
      </c>
      <c r="J743" s="2">
        <v>0</v>
      </c>
      <c r="K743" s="2">
        <v>1398400</v>
      </c>
      <c r="L743" t="s">
        <v>3368</v>
      </c>
      <c r="M743" t="s">
        <v>4018</v>
      </c>
    </row>
    <row r="744" spans="1:13">
      <c r="A744" t="s">
        <v>23</v>
      </c>
      <c r="B744" s="1">
        <f>HYPERLINK("https://cordis.europa.eu/project/id/101062023", "101062023")</f>
        <v>0</v>
      </c>
      <c r="C744" t="s">
        <v>766</v>
      </c>
      <c r="D744" t="s">
        <v>1583</v>
      </c>
      <c r="E744" t="s">
        <v>2063</v>
      </c>
      <c r="F744" t="s">
        <v>2073</v>
      </c>
      <c r="G744" t="s">
        <v>2542</v>
      </c>
      <c r="H744" t="s">
        <v>3028</v>
      </c>
      <c r="I744" t="s">
        <v>3295</v>
      </c>
      <c r="J744" s="2">
        <v>0</v>
      </c>
      <c r="K744" s="2">
        <v>291785.28</v>
      </c>
      <c r="L744" t="s">
        <v>3368</v>
      </c>
      <c r="M744" t="s">
        <v>3662</v>
      </c>
    </row>
    <row r="745" spans="1:13">
      <c r="A745" t="s">
        <v>23</v>
      </c>
      <c r="B745" s="1">
        <f>HYPERLINK("https://cordis.europa.eu/project/id/101086184", "101086184")</f>
        <v>0</v>
      </c>
      <c r="C745" t="s">
        <v>767</v>
      </c>
      <c r="D745" t="s">
        <v>1584</v>
      </c>
      <c r="E745" t="s">
        <v>2064</v>
      </c>
      <c r="F745" t="s">
        <v>2101</v>
      </c>
      <c r="G745" t="s">
        <v>2543</v>
      </c>
      <c r="H745" t="s">
        <v>3014</v>
      </c>
      <c r="I745" t="s">
        <v>3293</v>
      </c>
      <c r="J745" s="2">
        <v>0</v>
      </c>
      <c r="K745" s="2">
        <v>1389200</v>
      </c>
      <c r="L745" t="s">
        <v>3368</v>
      </c>
      <c r="M745" t="s">
        <v>4019</v>
      </c>
    </row>
    <row r="746" spans="1:13">
      <c r="A746" t="s">
        <v>23</v>
      </c>
      <c r="B746" s="1">
        <f>HYPERLINK("https://cordis.europa.eu/project/id/101106239", "101106239")</f>
        <v>0</v>
      </c>
      <c r="C746" t="s">
        <v>768</v>
      </c>
      <c r="D746" t="s">
        <v>1585</v>
      </c>
      <c r="E746" t="s">
        <v>2052</v>
      </c>
      <c r="F746" t="s">
        <v>2290</v>
      </c>
      <c r="G746" t="s">
        <v>2499</v>
      </c>
      <c r="H746" t="s">
        <v>3016</v>
      </c>
      <c r="I746" t="s">
        <v>3279</v>
      </c>
      <c r="J746" s="2">
        <v>0</v>
      </c>
      <c r="K746" s="2">
        <v>187248.96</v>
      </c>
      <c r="L746" t="s">
        <v>3368</v>
      </c>
      <c r="M746" t="s">
        <v>3609</v>
      </c>
    </row>
    <row r="747" spans="1:13">
      <c r="A747" t="s">
        <v>23</v>
      </c>
      <c r="B747" s="1">
        <f>HYPERLINK("https://cordis.europa.eu/project/id/101068442", "101068442")</f>
        <v>0</v>
      </c>
      <c r="C747" t="s">
        <v>769</v>
      </c>
      <c r="D747" t="s">
        <v>1586</v>
      </c>
      <c r="E747" t="s">
        <v>2065</v>
      </c>
      <c r="F747" t="s">
        <v>2101</v>
      </c>
      <c r="G747" t="s">
        <v>2489</v>
      </c>
      <c r="H747" t="s">
        <v>3016</v>
      </c>
      <c r="I747" t="s">
        <v>3295</v>
      </c>
      <c r="J747" s="2">
        <v>0</v>
      </c>
      <c r="K747" s="2">
        <v>291785.28</v>
      </c>
      <c r="L747" t="s">
        <v>3368</v>
      </c>
      <c r="M747" t="s">
        <v>3389</v>
      </c>
    </row>
    <row r="748" spans="1:13">
      <c r="A748" t="s">
        <v>23</v>
      </c>
      <c r="B748" s="1">
        <f>HYPERLINK("https://cordis.europa.eu/project/id/101105332", "101105332")</f>
        <v>0</v>
      </c>
      <c r="C748" t="s">
        <v>770</v>
      </c>
      <c r="D748" t="s">
        <v>1587</v>
      </c>
      <c r="E748" t="s">
        <v>2066</v>
      </c>
      <c r="F748" t="s">
        <v>2310</v>
      </c>
      <c r="G748" t="s">
        <v>2544</v>
      </c>
      <c r="H748" t="s">
        <v>3016</v>
      </c>
      <c r="I748" t="s">
        <v>3279</v>
      </c>
      <c r="J748" s="2">
        <v>0</v>
      </c>
      <c r="K748" s="2">
        <v>271743.84</v>
      </c>
      <c r="L748" t="s">
        <v>3369</v>
      </c>
      <c r="M748" t="s">
        <v>4020</v>
      </c>
    </row>
    <row r="749" spans="1:13">
      <c r="A749" t="s">
        <v>23</v>
      </c>
      <c r="B749" s="1">
        <f>HYPERLINK("https://cordis.europa.eu/project/id/101073394", "101073394")</f>
        <v>0</v>
      </c>
      <c r="C749" t="s">
        <v>771</v>
      </c>
      <c r="D749" t="s">
        <v>1588</v>
      </c>
      <c r="E749" t="s">
        <v>2067</v>
      </c>
      <c r="F749" t="s">
        <v>2306</v>
      </c>
      <c r="G749" t="s">
        <v>2541</v>
      </c>
      <c r="H749" t="s">
        <v>3026</v>
      </c>
      <c r="I749" t="s">
        <v>3313</v>
      </c>
      <c r="J749" s="2">
        <v>0</v>
      </c>
      <c r="K749" s="2">
        <v>3823509.6</v>
      </c>
      <c r="L749" t="s">
        <v>3376</v>
      </c>
      <c r="M749" t="s">
        <v>4021</v>
      </c>
    </row>
    <row r="750" spans="1:13">
      <c r="A750" t="s">
        <v>23</v>
      </c>
      <c r="B750" s="1">
        <f>HYPERLINK("https://cordis.europa.eu/project/id/101068090", "101068090")</f>
        <v>0</v>
      </c>
      <c r="C750" t="s">
        <v>772</v>
      </c>
      <c r="D750" t="s">
        <v>1589</v>
      </c>
      <c r="E750" t="s">
        <v>2047</v>
      </c>
      <c r="F750" t="s">
        <v>2296</v>
      </c>
      <c r="G750" t="s">
        <v>2488</v>
      </c>
      <c r="H750" t="s">
        <v>3028</v>
      </c>
      <c r="I750" t="s">
        <v>3295</v>
      </c>
      <c r="J750" s="2">
        <v>0</v>
      </c>
      <c r="K750" s="2">
        <v>277535.04</v>
      </c>
      <c r="L750" t="s">
        <v>3368</v>
      </c>
      <c r="M750" t="s">
        <v>3709</v>
      </c>
    </row>
    <row r="751" spans="1:13">
      <c r="A751" t="s">
        <v>23</v>
      </c>
      <c r="B751" s="1">
        <f>HYPERLINK("https://cordis.europa.eu/project/id/101072579", "101072579")</f>
        <v>0</v>
      </c>
      <c r="C751" t="s">
        <v>773</v>
      </c>
      <c r="D751" t="s">
        <v>1590</v>
      </c>
      <c r="E751" t="s">
        <v>2068</v>
      </c>
      <c r="F751" t="s">
        <v>2311</v>
      </c>
      <c r="G751" t="s">
        <v>2545</v>
      </c>
      <c r="H751" t="s">
        <v>3020</v>
      </c>
      <c r="I751" t="s">
        <v>3313</v>
      </c>
      <c r="J751" s="2">
        <v>0</v>
      </c>
      <c r="K751" s="2">
        <v>2224461.6</v>
      </c>
      <c r="L751" t="s">
        <v>3368</v>
      </c>
      <c r="M751" t="s">
        <v>4022</v>
      </c>
    </row>
    <row r="752" spans="1:13">
      <c r="A752" t="s">
        <v>23</v>
      </c>
      <c r="B752" s="1">
        <f>HYPERLINK("https://cordis.europa.eu/project/id/101071485", "101071485")</f>
        <v>0</v>
      </c>
      <c r="C752" t="s">
        <v>774</v>
      </c>
      <c r="D752" t="s">
        <v>1591</v>
      </c>
      <c r="E752" t="s">
        <v>2069</v>
      </c>
      <c r="F752" t="s">
        <v>2311</v>
      </c>
      <c r="G752" t="s">
        <v>2545</v>
      </c>
      <c r="H752" t="s">
        <v>3020</v>
      </c>
      <c r="I752" t="s">
        <v>3313</v>
      </c>
      <c r="J752" s="2">
        <v>0</v>
      </c>
      <c r="K752" s="2">
        <v>2160201.6</v>
      </c>
      <c r="L752" t="s">
        <v>3368</v>
      </c>
      <c r="M752" t="s">
        <v>4023</v>
      </c>
    </row>
    <row r="753" spans="1:13">
      <c r="A753" t="s">
        <v>23</v>
      </c>
      <c r="B753" s="1">
        <f>HYPERLINK("https://cordis.europa.eu/project/id/101107336", "101107336")</f>
        <v>0</v>
      </c>
      <c r="C753" t="s">
        <v>775</v>
      </c>
      <c r="D753" t="s">
        <v>1592</v>
      </c>
      <c r="E753" t="s">
        <v>2070</v>
      </c>
      <c r="F753" t="s">
        <v>2304</v>
      </c>
      <c r="G753" t="s">
        <v>2533</v>
      </c>
      <c r="H753" t="s">
        <v>3016</v>
      </c>
      <c r="I753" t="s">
        <v>3279</v>
      </c>
      <c r="J753" s="2">
        <v>0</v>
      </c>
      <c r="K753" s="2">
        <v>257235.36</v>
      </c>
      <c r="L753" t="s">
        <v>3369</v>
      </c>
      <c r="M753" t="s">
        <v>4024</v>
      </c>
    </row>
    <row r="754" spans="1:13">
      <c r="A754" t="s">
        <v>23</v>
      </c>
      <c r="B754" s="1">
        <f>HYPERLINK("https://cordis.europa.eu/project/id/101086293", "101086293")</f>
        <v>0</v>
      </c>
      <c r="C754" t="s">
        <v>776</v>
      </c>
      <c r="D754" t="s">
        <v>1593</v>
      </c>
      <c r="E754" t="s">
        <v>2071</v>
      </c>
      <c r="F754" t="s">
        <v>2277</v>
      </c>
      <c r="G754" t="s">
        <v>2532</v>
      </c>
      <c r="H754" t="s">
        <v>3014</v>
      </c>
      <c r="I754" t="s">
        <v>3293</v>
      </c>
      <c r="J754" s="2">
        <v>0</v>
      </c>
      <c r="K754" s="2">
        <v>588800</v>
      </c>
      <c r="L754" t="s">
        <v>3368</v>
      </c>
      <c r="M754" t="s">
        <v>4025</v>
      </c>
    </row>
    <row r="755" spans="1:13">
      <c r="A755" t="s">
        <v>23</v>
      </c>
      <c r="B755" s="1">
        <f>HYPERLINK("https://cordis.europa.eu/project/id/101059248", "101059248")</f>
        <v>0</v>
      </c>
      <c r="C755" t="s">
        <v>777</v>
      </c>
      <c r="D755" t="s">
        <v>1594</v>
      </c>
      <c r="E755" t="s">
        <v>2072</v>
      </c>
      <c r="F755" t="s">
        <v>2312</v>
      </c>
      <c r="G755" t="s">
        <v>2456</v>
      </c>
      <c r="H755" t="s">
        <v>3015</v>
      </c>
      <c r="I755" t="s">
        <v>3295</v>
      </c>
      <c r="J755" s="2">
        <v>0</v>
      </c>
      <c r="K755" s="2">
        <v>189687.36</v>
      </c>
      <c r="L755" t="s">
        <v>3368</v>
      </c>
      <c r="M755" t="s">
        <v>3621</v>
      </c>
    </row>
    <row r="756" spans="1:13">
      <c r="A756" t="s">
        <v>23</v>
      </c>
      <c r="B756" s="1">
        <f>HYPERLINK("https://cordis.europa.eu/project/id/101060856", "101060856")</f>
        <v>0</v>
      </c>
      <c r="C756" t="s">
        <v>778</v>
      </c>
      <c r="D756" t="s">
        <v>1595</v>
      </c>
      <c r="E756" t="s">
        <v>2073</v>
      </c>
      <c r="F756" t="s">
        <v>2303</v>
      </c>
      <c r="G756" t="s">
        <v>2424</v>
      </c>
      <c r="H756" t="s">
        <v>3016</v>
      </c>
      <c r="I756" t="s">
        <v>3295</v>
      </c>
      <c r="J756" s="2">
        <v>0</v>
      </c>
      <c r="K756" s="2">
        <v>187248.96</v>
      </c>
      <c r="L756" t="s">
        <v>3368</v>
      </c>
      <c r="M756" t="s">
        <v>3609</v>
      </c>
    </row>
    <row r="757" spans="1:13">
      <c r="A757" t="s">
        <v>23</v>
      </c>
      <c r="B757" s="1">
        <f>HYPERLINK("https://cordis.europa.eu/project/id/101063255", "101063255")</f>
        <v>0</v>
      </c>
      <c r="C757" t="s">
        <v>779</v>
      </c>
      <c r="D757" t="s">
        <v>1596</v>
      </c>
      <c r="E757" t="s">
        <v>2074</v>
      </c>
      <c r="F757" t="s">
        <v>2298</v>
      </c>
      <c r="G757" t="s">
        <v>2429</v>
      </c>
      <c r="H757" t="s">
        <v>3028</v>
      </c>
      <c r="I757" t="s">
        <v>3295</v>
      </c>
      <c r="J757" s="2">
        <v>0</v>
      </c>
      <c r="K757" s="2">
        <v>222727.68</v>
      </c>
      <c r="L757" t="s">
        <v>3368</v>
      </c>
      <c r="M757" t="s">
        <v>3628</v>
      </c>
    </row>
    <row r="758" spans="1:13">
      <c r="A758" t="s">
        <v>23</v>
      </c>
      <c r="B758" s="1">
        <f>HYPERLINK("https://cordis.europa.eu/project/id/101064383", "101064383")</f>
        <v>0</v>
      </c>
      <c r="C758" t="s">
        <v>780</v>
      </c>
      <c r="D758" t="s">
        <v>1597</v>
      </c>
      <c r="E758" t="s">
        <v>2065</v>
      </c>
      <c r="F758" t="s">
        <v>2303</v>
      </c>
      <c r="G758" t="s">
        <v>2499</v>
      </c>
      <c r="H758" t="s">
        <v>3016</v>
      </c>
      <c r="I758" t="s">
        <v>3295</v>
      </c>
      <c r="J758" s="2">
        <v>0</v>
      </c>
      <c r="K758" s="2">
        <v>269915.04</v>
      </c>
      <c r="L758" t="s">
        <v>3368</v>
      </c>
      <c r="M758" t="s">
        <v>4026</v>
      </c>
    </row>
    <row r="759" spans="1:13">
      <c r="A759" t="s">
        <v>23</v>
      </c>
      <c r="B759" s="1">
        <f>HYPERLINK("https://cordis.europa.eu/project/id/101086218", "101086218")</f>
        <v>0</v>
      </c>
      <c r="C759" t="s">
        <v>781</v>
      </c>
      <c r="D759" t="s">
        <v>1598</v>
      </c>
      <c r="E759" t="s">
        <v>2064</v>
      </c>
      <c r="F759" t="s">
        <v>2277</v>
      </c>
      <c r="G759" t="s">
        <v>2532</v>
      </c>
      <c r="H759" t="s">
        <v>3014</v>
      </c>
      <c r="I759" t="s">
        <v>3293</v>
      </c>
      <c r="J759" s="2">
        <v>0</v>
      </c>
      <c r="K759" s="2">
        <v>423200</v>
      </c>
      <c r="L759" t="s">
        <v>3368</v>
      </c>
      <c r="M759" t="s">
        <v>4027</v>
      </c>
    </row>
    <row r="760" spans="1:13">
      <c r="A760" t="s">
        <v>23</v>
      </c>
      <c r="B760" s="1">
        <f>HYPERLINK("https://cordis.europa.eu/project/id/101086206", "101086206")</f>
        <v>0</v>
      </c>
      <c r="C760" t="s">
        <v>782</v>
      </c>
      <c r="D760" t="s">
        <v>1599</v>
      </c>
      <c r="E760" t="s">
        <v>2075</v>
      </c>
      <c r="F760" t="s">
        <v>2296</v>
      </c>
      <c r="G760" t="s">
        <v>2521</v>
      </c>
      <c r="H760" t="s">
        <v>3014</v>
      </c>
      <c r="I760" t="s">
        <v>3293</v>
      </c>
      <c r="J760" s="2">
        <v>0</v>
      </c>
      <c r="K760" s="2">
        <v>998200</v>
      </c>
      <c r="L760" t="s">
        <v>3370</v>
      </c>
      <c r="M760" t="s">
        <v>4028</v>
      </c>
    </row>
    <row r="761" spans="1:13">
      <c r="A761" t="s">
        <v>23</v>
      </c>
      <c r="B761" s="1">
        <f>HYPERLINK("https://cordis.europa.eu/project/id/101072637", "101072637")</f>
        <v>0</v>
      </c>
      <c r="C761" t="s">
        <v>783</v>
      </c>
      <c r="D761" t="s">
        <v>1600</v>
      </c>
      <c r="E761" t="s">
        <v>2025</v>
      </c>
      <c r="F761" t="s">
        <v>2294</v>
      </c>
      <c r="G761" t="s">
        <v>2398</v>
      </c>
      <c r="H761" t="s">
        <v>3020</v>
      </c>
      <c r="I761" t="s">
        <v>3313</v>
      </c>
      <c r="J761" s="2">
        <v>0</v>
      </c>
      <c r="K761" s="2">
        <v>2157141.6</v>
      </c>
      <c r="L761" t="s">
        <v>3368</v>
      </c>
      <c r="M761" t="s">
        <v>4029</v>
      </c>
    </row>
    <row r="762" spans="1:13">
      <c r="A762" t="s">
        <v>23</v>
      </c>
      <c r="B762" s="1">
        <f>HYPERLINK("https://cordis.europa.eu/project/id/101059916", "101059916")</f>
        <v>0</v>
      </c>
      <c r="C762" t="s">
        <v>784</v>
      </c>
      <c r="D762" t="s">
        <v>1601</v>
      </c>
      <c r="E762" t="s">
        <v>2076</v>
      </c>
      <c r="F762" t="s">
        <v>2311</v>
      </c>
      <c r="G762" t="s">
        <v>2463</v>
      </c>
      <c r="H762" t="s">
        <v>3015</v>
      </c>
      <c r="I762" t="s">
        <v>3295</v>
      </c>
      <c r="J762" s="2">
        <v>0</v>
      </c>
      <c r="K762" s="2">
        <v>172750.08</v>
      </c>
      <c r="L762" t="s">
        <v>3368</v>
      </c>
      <c r="M762" t="s">
        <v>3609</v>
      </c>
    </row>
    <row r="763" spans="1:13">
      <c r="A763" t="s">
        <v>23</v>
      </c>
      <c r="B763" s="1">
        <f>HYPERLINK("https://cordis.europa.eu/project/id/101104484", "101104484")</f>
        <v>0</v>
      </c>
      <c r="C763" t="s">
        <v>785</v>
      </c>
      <c r="D763" t="s">
        <v>1602</v>
      </c>
      <c r="E763" t="s">
        <v>2033</v>
      </c>
      <c r="F763" t="s">
        <v>2302</v>
      </c>
      <c r="G763" t="s">
        <v>2457</v>
      </c>
      <c r="H763" t="s">
        <v>3015</v>
      </c>
      <c r="I763" t="s">
        <v>3279</v>
      </c>
      <c r="J763" s="2">
        <v>0</v>
      </c>
      <c r="K763" s="2">
        <v>189687.36</v>
      </c>
      <c r="L763" t="s">
        <v>3368</v>
      </c>
      <c r="M763" t="s">
        <v>3621</v>
      </c>
    </row>
    <row r="764" spans="1:13">
      <c r="A764" t="s">
        <v>23</v>
      </c>
      <c r="B764" s="1">
        <f>HYPERLINK("https://cordis.europa.eu/project/id/101106142", "101106142")</f>
        <v>0</v>
      </c>
      <c r="C764" t="s">
        <v>786</v>
      </c>
      <c r="D764" t="s">
        <v>1603</v>
      </c>
      <c r="E764" t="s">
        <v>2077</v>
      </c>
      <c r="F764" t="s">
        <v>2283</v>
      </c>
      <c r="G764" t="s">
        <v>2398</v>
      </c>
      <c r="H764" t="s">
        <v>3016</v>
      </c>
      <c r="I764" t="s">
        <v>3279</v>
      </c>
      <c r="J764" s="2">
        <v>0</v>
      </c>
      <c r="K764" s="2">
        <v>275008.56</v>
      </c>
      <c r="L764" t="s">
        <v>3368</v>
      </c>
      <c r="M764" t="s">
        <v>4030</v>
      </c>
    </row>
    <row r="765" spans="1:13">
      <c r="A765" t="s">
        <v>23</v>
      </c>
      <c r="B765" s="1">
        <f>HYPERLINK("https://cordis.europa.eu/project/id/101107932", "101107932")</f>
        <v>0</v>
      </c>
      <c r="C765" t="s">
        <v>787</v>
      </c>
      <c r="D765" t="s">
        <v>1604</v>
      </c>
      <c r="E765" t="s">
        <v>2020</v>
      </c>
      <c r="F765" t="s">
        <v>2296</v>
      </c>
      <c r="G765" t="s">
        <v>2488</v>
      </c>
      <c r="H765" t="s">
        <v>3016</v>
      </c>
      <c r="I765" t="s">
        <v>3279</v>
      </c>
      <c r="J765" s="2">
        <v>0</v>
      </c>
      <c r="K765" s="2">
        <v>269047.2</v>
      </c>
      <c r="L765" t="s">
        <v>3368</v>
      </c>
      <c r="M765" t="s">
        <v>4031</v>
      </c>
    </row>
    <row r="766" spans="1:13">
      <c r="A766" t="s">
        <v>23</v>
      </c>
      <c r="B766" s="1">
        <f>HYPERLINK("https://cordis.europa.eu/project/id/101073292", "101073292")</f>
        <v>0</v>
      </c>
      <c r="C766" t="s">
        <v>788</v>
      </c>
      <c r="D766" t="s">
        <v>1606</v>
      </c>
      <c r="E766" t="s">
        <v>2058</v>
      </c>
      <c r="F766" t="s">
        <v>2294</v>
      </c>
      <c r="G766" t="s">
        <v>2398</v>
      </c>
      <c r="H766" t="s">
        <v>3029</v>
      </c>
      <c r="I766" t="s">
        <v>3313</v>
      </c>
      <c r="J766" s="2">
        <v>0</v>
      </c>
      <c r="K766" s="2">
        <v>3993645.6</v>
      </c>
      <c r="L766" t="s">
        <v>3368</v>
      </c>
      <c r="M766" t="s">
        <v>4032</v>
      </c>
    </row>
    <row r="767" spans="1:13">
      <c r="A767" t="s">
        <v>23</v>
      </c>
      <c r="B767" s="1">
        <f>HYPERLINK("https://cordis.europa.eu/project/id/101082394", "101082394")</f>
        <v>0</v>
      </c>
      <c r="C767" t="s">
        <v>789</v>
      </c>
      <c r="D767" t="s">
        <v>1607</v>
      </c>
      <c r="E767" t="s">
        <v>2079</v>
      </c>
      <c r="F767" t="s">
        <v>2306</v>
      </c>
      <c r="G767" t="s">
        <v>2541</v>
      </c>
      <c r="H767" t="s">
        <v>3014</v>
      </c>
      <c r="I767" t="s">
        <v>3293</v>
      </c>
      <c r="J767" s="2">
        <v>0</v>
      </c>
      <c r="K767" s="2">
        <v>437000</v>
      </c>
      <c r="L767" t="s">
        <v>3368</v>
      </c>
      <c r="M767" t="s">
        <v>4033</v>
      </c>
    </row>
    <row r="768" spans="1:13">
      <c r="A768" t="s">
        <v>23</v>
      </c>
      <c r="B768" s="1">
        <f>HYPERLINK("https://cordis.europa.eu/project/id/101086142", "101086142")</f>
        <v>0</v>
      </c>
      <c r="C768" t="s">
        <v>790</v>
      </c>
      <c r="D768" t="s">
        <v>1608</v>
      </c>
      <c r="E768" t="s">
        <v>2080</v>
      </c>
      <c r="F768" t="s">
        <v>2101</v>
      </c>
      <c r="G768" t="s">
        <v>2543</v>
      </c>
      <c r="H768" t="s">
        <v>3014</v>
      </c>
      <c r="I768" t="s">
        <v>3293</v>
      </c>
      <c r="J768" s="2">
        <v>0</v>
      </c>
      <c r="K768" s="2">
        <v>791200</v>
      </c>
      <c r="L768" t="s">
        <v>3368</v>
      </c>
      <c r="M768" t="s">
        <v>4034</v>
      </c>
    </row>
    <row r="769" spans="1:13">
      <c r="A769" t="s">
        <v>23</v>
      </c>
      <c r="B769" s="1">
        <f>HYPERLINK("https://cordis.europa.eu/project/id/101107488", "101107488")</f>
        <v>0</v>
      </c>
      <c r="C769" t="s">
        <v>791</v>
      </c>
      <c r="D769" t="s">
        <v>1609</v>
      </c>
      <c r="E769" t="s">
        <v>2081</v>
      </c>
      <c r="F769" t="s">
        <v>2299</v>
      </c>
      <c r="G769" t="s">
        <v>2545</v>
      </c>
      <c r="H769" t="s">
        <v>3016</v>
      </c>
      <c r="I769" t="s">
        <v>3279</v>
      </c>
      <c r="J769" s="2">
        <v>0</v>
      </c>
      <c r="K769" s="2">
        <v>272536.32</v>
      </c>
      <c r="L769" t="s">
        <v>3369</v>
      </c>
      <c r="M769" t="s">
        <v>3610</v>
      </c>
    </row>
    <row r="770" spans="1:13">
      <c r="A770" t="s">
        <v>23</v>
      </c>
      <c r="B770" s="1">
        <f>HYPERLINK("https://cordis.europa.eu/project/id/101105823", "101105823")</f>
        <v>0</v>
      </c>
      <c r="C770" t="s">
        <v>792</v>
      </c>
      <c r="D770" t="s">
        <v>1610</v>
      </c>
      <c r="E770" t="s">
        <v>2082</v>
      </c>
      <c r="F770" t="s">
        <v>2290</v>
      </c>
      <c r="G770" t="s">
        <v>2495</v>
      </c>
      <c r="H770" t="s">
        <v>3016</v>
      </c>
      <c r="I770" t="s">
        <v>3279</v>
      </c>
      <c r="J770" s="2">
        <v>0</v>
      </c>
      <c r="K770" s="2">
        <v>252724.32</v>
      </c>
      <c r="L770" t="s">
        <v>3368</v>
      </c>
      <c r="M770" t="s">
        <v>3616</v>
      </c>
    </row>
    <row r="771" spans="1:13">
      <c r="A771" t="s">
        <v>23</v>
      </c>
      <c r="B771" s="1">
        <f>HYPERLINK("https://cordis.europa.eu/project/id/101103629", "101103629")</f>
        <v>0</v>
      </c>
      <c r="C771" t="s">
        <v>793</v>
      </c>
      <c r="D771" t="s">
        <v>1611</v>
      </c>
      <c r="E771" t="s">
        <v>2083</v>
      </c>
      <c r="F771" t="s">
        <v>2303</v>
      </c>
      <c r="G771" t="s">
        <v>2499</v>
      </c>
      <c r="H771" t="s">
        <v>3016</v>
      </c>
      <c r="I771" t="s">
        <v>3279</v>
      </c>
      <c r="J771" s="2">
        <v>0</v>
      </c>
      <c r="K771" s="2">
        <v>280202.88</v>
      </c>
      <c r="L771" t="s">
        <v>3368</v>
      </c>
      <c r="M771" t="s">
        <v>3609</v>
      </c>
    </row>
    <row r="772" spans="1:13">
      <c r="A772" t="s">
        <v>23</v>
      </c>
      <c r="B772" s="1">
        <f>HYPERLINK("https://cordis.europa.eu/project/id/101064972", "101064972")</f>
        <v>0</v>
      </c>
      <c r="C772" t="s">
        <v>794</v>
      </c>
      <c r="D772" t="s">
        <v>1612</v>
      </c>
      <c r="E772" t="s">
        <v>2001</v>
      </c>
      <c r="F772" t="s">
        <v>2298</v>
      </c>
      <c r="G772" t="s">
        <v>2502</v>
      </c>
      <c r="H772" t="s">
        <v>3021</v>
      </c>
      <c r="I772" t="s">
        <v>3295</v>
      </c>
      <c r="J772" s="2">
        <v>0</v>
      </c>
      <c r="K772" s="2">
        <v>256442.88</v>
      </c>
      <c r="L772" t="s">
        <v>3368</v>
      </c>
      <c r="M772" t="s">
        <v>3608</v>
      </c>
    </row>
    <row r="773" spans="1:13">
      <c r="A773" t="s">
        <v>23</v>
      </c>
      <c r="B773" s="1">
        <f>HYPERLINK("https://cordis.europa.eu/project/id/101060505", "101060505")</f>
        <v>0</v>
      </c>
      <c r="C773" t="s">
        <v>795</v>
      </c>
      <c r="D773" t="s">
        <v>1613</v>
      </c>
      <c r="E773" t="s">
        <v>2084</v>
      </c>
      <c r="F773" t="s">
        <v>2303</v>
      </c>
      <c r="G773" t="s">
        <v>2424</v>
      </c>
      <c r="H773" t="s">
        <v>3028</v>
      </c>
      <c r="I773" t="s">
        <v>3295</v>
      </c>
      <c r="J773" s="2">
        <v>0</v>
      </c>
      <c r="K773" s="2">
        <v>173847.36</v>
      </c>
      <c r="L773" t="s">
        <v>3368</v>
      </c>
      <c r="M773" t="s">
        <v>4035</v>
      </c>
    </row>
    <row r="774" spans="1:13">
      <c r="A774" t="s">
        <v>23</v>
      </c>
      <c r="B774" s="1">
        <f>HYPERLINK("https://cordis.europa.eu/project/id/101119873", "101119873")</f>
        <v>0</v>
      </c>
      <c r="C774" t="s">
        <v>796</v>
      </c>
      <c r="D774" t="s">
        <v>1614</v>
      </c>
      <c r="E774" t="s">
        <v>2086</v>
      </c>
      <c r="F774" t="s">
        <v>2295</v>
      </c>
      <c r="G774" t="s">
        <v>2519</v>
      </c>
      <c r="H774" t="s">
        <v>3020</v>
      </c>
      <c r="I774" t="s">
        <v>3294</v>
      </c>
      <c r="J774" s="2">
        <v>0</v>
      </c>
      <c r="K774" s="2">
        <v>2736849.6</v>
      </c>
      <c r="L774" t="s">
        <v>3368</v>
      </c>
      <c r="M774" t="s">
        <v>4036</v>
      </c>
    </row>
    <row r="775" spans="1:13">
      <c r="A775" t="s">
        <v>23</v>
      </c>
      <c r="B775" s="1">
        <f>HYPERLINK("https://cordis.europa.eu/project/id/101126658", "101126658")</f>
        <v>0</v>
      </c>
      <c r="C775" t="s">
        <v>797</v>
      </c>
      <c r="D775" t="s">
        <v>1615</v>
      </c>
      <c r="E775" t="s">
        <v>2087</v>
      </c>
      <c r="F775" t="s">
        <v>2288</v>
      </c>
      <c r="G775" t="s">
        <v>2526</v>
      </c>
      <c r="H775" t="s">
        <v>3030</v>
      </c>
      <c r="I775" t="s">
        <v>3281</v>
      </c>
      <c r="J775" s="2">
        <v>0</v>
      </c>
      <c r="K775" s="2">
        <v>1050720</v>
      </c>
      <c r="L775" t="s">
        <v>3369</v>
      </c>
      <c r="M775" t="s">
        <v>4037</v>
      </c>
    </row>
    <row r="776" spans="1:13">
      <c r="A776" t="s">
        <v>23</v>
      </c>
      <c r="B776" s="1">
        <f>HYPERLINK("https://cordis.europa.eu/project/id/101095643", "101095643")</f>
        <v>0</v>
      </c>
      <c r="C776" t="s">
        <v>798</v>
      </c>
      <c r="D776" t="s">
        <v>1616</v>
      </c>
      <c r="E776" t="s">
        <v>2088</v>
      </c>
      <c r="F776" t="s">
        <v>2277</v>
      </c>
      <c r="G776" t="s">
        <v>2532</v>
      </c>
      <c r="H776" t="s">
        <v>3012</v>
      </c>
      <c r="I776" t="s">
        <v>3318</v>
      </c>
      <c r="J776" s="2">
        <v>0</v>
      </c>
      <c r="K776" s="2">
        <v>2567165</v>
      </c>
      <c r="L776" t="s">
        <v>3368</v>
      </c>
      <c r="M776" t="s">
        <v>4038</v>
      </c>
    </row>
    <row r="777" spans="1:13">
      <c r="A777" t="s">
        <v>23</v>
      </c>
      <c r="B777" s="1">
        <f>HYPERLINK("https://cordis.europa.eu/project/id/101057114", "101057114")</f>
        <v>0</v>
      </c>
      <c r="C777" t="s">
        <v>799</v>
      </c>
      <c r="D777" t="s">
        <v>1617</v>
      </c>
      <c r="E777" t="s">
        <v>2089</v>
      </c>
      <c r="F777" t="s">
        <v>2214</v>
      </c>
      <c r="G777" t="s">
        <v>2495</v>
      </c>
      <c r="H777" t="s">
        <v>3012</v>
      </c>
      <c r="I777" t="s">
        <v>3319</v>
      </c>
      <c r="J777" s="2">
        <v>0</v>
      </c>
      <c r="K777" s="2">
        <v>6535672</v>
      </c>
      <c r="L777" t="s">
        <v>3368</v>
      </c>
      <c r="M777" t="s">
        <v>4039</v>
      </c>
    </row>
    <row r="778" spans="1:13">
      <c r="A778" t="s">
        <v>23</v>
      </c>
      <c r="B778" s="1">
        <f>HYPERLINK("https://cordis.europa.eu/project/id/101072686", "101072686")</f>
        <v>0</v>
      </c>
      <c r="C778" t="s">
        <v>800</v>
      </c>
      <c r="D778" t="s">
        <v>1618</v>
      </c>
      <c r="E778" t="s">
        <v>2067</v>
      </c>
      <c r="F778" t="s">
        <v>2277</v>
      </c>
      <c r="G778" t="s">
        <v>2532</v>
      </c>
      <c r="H778" t="s">
        <v>3020</v>
      </c>
      <c r="I778" t="s">
        <v>3313</v>
      </c>
      <c r="J778" s="2">
        <v>0</v>
      </c>
      <c r="K778" s="2">
        <v>2635624.8</v>
      </c>
      <c r="L778" t="s">
        <v>3368</v>
      </c>
      <c r="M778" t="s">
        <v>4040</v>
      </c>
    </row>
    <row r="779" spans="1:13">
      <c r="A779" t="s">
        <v>23</v>
      </c>
      <c r="B779" s="1">
        <f>HYPERLINK("https://cordis.europa.eu/project/id/101081280", "101081280")</f>
        <v>0</v>
      </c>
      <c r="C779" t="s">
        <v>801</v>
      </c>
      <c r="D779" t="s">
        <v>1619</v>
      </c>
      <c r="E779" t="s">
        <v>2064</v>
      </c>
      <c r="F779" t="s">
        <v>2101</v>
      </c>
      <c r="G779" t="s">
        <v>2537</v>
      </c>
      <c r="H779" t="s">
        <v>3017</v>
      </c>
      <c r="I779" t="s">
        <v>3320</v>
      </c>
      <c r="J779" s="2">
        <v>0</v>
      </c>
      <c r="K779" s="2">
        <v>3360000</v>
      </c>
      <c r="L779" t="s">
        <v>3369</v>
      </c>
      <c r="M779" t="s">
        <v>4041</v>
      </c>
    </row>
    <row r="780" spans="1:13">
      <c r="A780" t="s">
        <v>23</v>
      </c>
      <c r="B780" s="1">
        <f>HYPERLINK("https://cordis.europa.eu/project/id/101107702", "101107702")</f>
        <v>0</v>
      </c>
      <c r="C780" t="s">
        <v>802</v>
      </c>
      <c r="D780" t="s">
        <v>1620</v>
      </c>
      <c r="E780" t="s">
        <v>2081</v>
      </c>
      <c r="F780" t="s">
        <v>2293</v>
      </c>
      <c r="G780" t="s">
        <v>2543</v>
      </c>
      <c r="H780" t="s">
        <v>3016</v>
      </c>
      <c r="I780" t="s">
        <v>3279</v>
      </c>
      <c r="J780" s="2">
        <v>0</v>
      </c>
      <c r="K780" s="2">
        <v>275523.36</v>
      </c>
      <c r="L780" t="s">
        <v>3368</v>
      </c>
      <c r="M780" t="s">
        <v>4042</v>
      </c>
    </row>
    <row r="781" spans="1:13">
      <c r="A781" t="s">
        <v>23</v>
      </c>
      <c r="B781" s="1">
        <f>HYPERLINK("https://cordis.europa.eu/project/id/101126560", "101126560")</f>
        <v>0</v>
      </c>
      <c r="C781" t="s">
        <v>803</v>
      </c>
      <c r="D781" t="s">
        <v>1621</v>
      </c>
      <c r="E781" t="s">
        <v>1999</v>
      </c>
      <c r="F781" t="s">
        <v>2283</v>
      </c>
      <c r="G781" t="s">
        <v>2515</v>
      </c>
      <c r="H781" t="s">
        <v>3030</v>
      </c>
      <c r="I781" t="s">
        <v>3281</v>
      </c>
      <c r="J781" s="2">
        <v>0</v>
      </c>
      <c r="K781" s="2">
        <v>2865600</v>
      </c>
      <c r="L781" t="s">
        <v>3368</v>
      </c>
      <c r="M781" t="s">
        <v>4043</v>
      </c>
    </row>
    <row r="782" spans="1:13">
      <c r="A782" t="s">
        <v>23</v>
      </c>
      <c r="B782" s="1">
        <f>HYPERLINK("https://cordis.europa.eu/project/id/101082070", "101082070")</f>
        <v>0</v>
      </c>
      <c r="C782" t="s">
        <v>804</v>
      </c>
      <c r="D782" t="s">
        <v>1622</v>
      </c>
      <c r="E782" t="s">
        <v>2090</v>
      </c>
      <c r="F782" t="s">
        <v>2101</v>
      </c>
      <c r="G782" t="s">
        <v>2543</v>
      </c>
      <c r="H782" t="s">
        <v>3013</v>
      </c>
      <c r="I782" t="s">
        <v>3321</v>
      </c>
      <c r="J782" s="2">
        <v>0</v>
      </c>
      <c r="K782" s="2">
        <v>6999100</v>
      </c>
      <c r="L782" t="s">
        <v>3368</v>
      </c>
      <c r="M782" t="s">
        <v>4044</v>
      </c>
    </row>
    <row r="783" spans="1:13">
      <c r="A783" t="s">
        <v>23</v>
      </c>
      <c r="B783" s="1">
        <f>HYPERLINK("https://cordis.europa.eu/project/id/101061314", "101061314")</f>
        <v>0</v>
      </c>
      <c r="C783" t="s">
        <v>805</v>
      </c>
      <c r="D783" t="s">
        <v>1623</v>
      </c>
      <c r="E783" t="s">
        <v>2047</v>
      </c>
      <c r="F783" t="s">
        <v>2294</v>
      </c>
      <c r="G783" t="s">
        <v>2500</v>
      </c>
      <c r="H783" t="s">
        <v>3023</v>
      </c>
      <c r="I783" t="s">
        <v>3322</v>
      </c>
      <c r="J783" s="2">
        <v>0</v>
      </c>
      <c r="K783" s="2">
        <v>2788250</v>
      </c>
      <c r="L783" t="s">
        <v>3368</v>
      </c>
      <c r="M783" t="s">
        <v>4045</v>
      </c>
    </row>
    <row r="784" spans="1:13">
      <c r="A784" t="s">
        <v>23</v>
      </c>
      <c r="B784" s="1">
        <f>HYPERLINK("https://cordis.europa.eu/project/id/101055397", "101055397")</f>
        <v>0</v>
      </c>
      <c r="C784" t="s">
        <v>806</v>
      </c>
      <c r="D784" t="s">
        <v>1624</v>
      </c>
      <c r="E784" t="s">
        <v>2068</v>
      </c>
      <c r="F784" t="s">
        <v>2277</v>
      </c>
      <c r="G784" t="s">
        <v>2516</v>
      </c>
      <c r="H784" t="s">
        <v>3031</v>
      </c>
      <c r="I784" t="s">
        <v>3323</v>
      </c>
      <c r="J784" s="2">
        <v>16250</v>
      </c>
      <c r="K784" s="2">
        <v>2332184</v>
      </c>
      <c r="L784" t="s">
        <v>3368</v>
      </c>
      <c r="M784" t="s">
        <v>3597</v>
      </c>
    </row>
    <row r="785" spans="1:13">
      <c r="A785" t="s">
        <v>23</v>
      </c>
      <c r="B785" s="1">
        <f>HYPERLINK("https://cordis.europa.eu/project/id/101094394", "101094394")</f>
        <v>0</v>
      </c>
      <c r="C785" t="s">
        <v>807</v>
      </c>
      <c r="D785" t="s">
        <v>1625</v>
      </c>
      <c r="E785" t="s">
        <v>2091</v>
      </c>
      <c r="F785" t="s">
        <v>2306</v>
      </c>
      <c r="G785" t="s">
        <v>2541</v>
      </c>
      <c r="H785" t="s">
        <v>3012</v>
      </c>
      <c r="I785" t="s">
        <v>3324</v>
      </c>
      <c r="J785" s="2">
        <v>0</v>
      </c>
      <c r="K785" s="2">
        <v>2992512.5</v>
      </c>
      <c r="L785" t="s">
        <v>3368</v>
      </c>
      <c r="M785" t="s">
        <v>4046</v>
      </c>
    </row>
    <row r="786" spans="1:13">
      <c r="A786" t="s">
        <v>23</v>
      </c>
      <c r="B786" s="1">
        <f>HYPERLINK("https://cordis.europa.eu/project/id/101130467", "101130467")</f>
        <v>0</v>
      </c>
      <c r="C786" t="s">
        <v>808</v>
      </c>
      <c r="D786" t="s">
        <v>1626</v>
      </c>
      <c r="E786" t="s">
        <v>2057</v>
      </c>
      <c r="F786" t="s">
        <v>2283</v>
      </c>
      <c r="G786" t="s">
        <v>2532</v>
      </c>
      <c r="H786" t="s">
        <v>3023</v>
      </c>
      <c r="I786" t="s">
        <v>3325</v>
      </c>
      <c r="J786" s="2">
        <v>171000</v>
      </c>
      <c r="K786" s="2">
        <v>2884500</v>
      </c>
      <c r="L786" t="s">
        <v>3371</v>
      </c>
      <c r="M786" t="s">
        <v>4047</v>
      </c>
    </row>
    <row r="787" spans="1:13">
      <c r="A787" t="s">
        <v>23</v>
      </c>
      <c r="B787" s="1">
        <f>HYPERLINK("https://cordis.europa.eu/project/id/101094649", "101094649")</f>
        <v>0</v>
      </c>
      <c r="C787" t="s">
        <v>809</v>
      </c>
      <c r="D787" t="s">
        <v>1627</v>
      </c>
      <c r="E787" t="s">
        <v>2092</v>
      </c>
      <c r="F787" t="s">
        <v>2277</v>
      </c>
      <c r="G787" t="s">
        <v>2532</v>
      </c>
      <c r="H787" t="s">
        <v>3012</v>
      </c>
      <c r="I787" t="s">
        <v>3326</v>
      </c>
      <c r="J787" s="2">
        <v>0</v>
      </c>
      <c r="K787" s="2">
        <v>3285944.5</v>
      </c>
      <c r="L787" t="s">
        <v>3368</v>
      </c>
      <c r="M787" t="s">
        <v>4048</v>
      </c>
    </row>
    <row r="788" spans="1:13">
      <c r="A788" t="s">
        <v>23</v>
      </c>
      <c r="B788" s="1">
        <f>HYPERLINK("https://cordis.europa.eu/project/id/101072777", "101072777")</f>
        <v>0</v>
      </c>
      <c r="C788" t="s">
        <v>810</v>
      </c>
      <c r="D788" t="s">
        <v>1628</v>
      </c>
      <c r="E788" t="s">
        <v>2069</v>
      </c>
      <c r="F788" t="s">
        <v>2307</v>
      </c>
      <c r="G788" t="s">
        <v>2531</v>
      </c>
      <c r="H788" t="s">
        <v>3020</v>
      </c>
      <c r="I788" t="s">
        <v>3313</v>
      </c>
      <c r="J788" s="2">
        <v>0</v>
      </c>
      <c r="K788" s="2">
        <v>2489724</v>
      </c>
      <c r="L788" t="s">
        <v>3368</v>
      </c>
      <c r="M788" t="s">
        <v>4049</v>
      </c>
    </row>
    <row r="789" spans="1:13">
      <c r="A789" t="s">
        <v>23</v>
      </c>
      <c r="B789" s="1">
        <f>HYPERLINK("https://cordis.europa.eu/project/id/101136926", "101136926")</f>
        <v>0</v>
      </c>
      <c r="C789" t="s">
        <v>811</v>
      </c>
      <c r="D789" t="s">
        <v>1629</v>
      </c>
      <c r="E789" t="s">
        <v>2093</v>
      </c>
      <c r="F789" t="s">
        <v>2283</v>
      </c>
      <c r="G789" t="s">
        <v>2516</v>
      </c>
      <c r="H789" t="s">
        <v>3012</v>
      </c>
      <c r="I789" t="s">
        <v>3327</v>
      </c>
      <c r="J789" s="2">
        <v>0</v>
      </c>
      <c r="K789" s="2">
        <v>8547711.5</v>
      </c>
      <c r="L789" t="s">
        <v>3368</v>
      </c>
      <c r="M789" t="s">
        <v>4050</v>
      </c>
    </row>
    <row r="790" spans="1:13">
      <c r="A790" t="s">
        <v>23</v>
      </c>
      <c r="B790" s="1">
        <f>HYPERLINK("https://cordis.europa.eu/project/id/101136835", "101136835")</f>
        <v>0</v>
      </c>
      <c r="C790" t="s">
        <v>812</v>
      </c>
      <c r="D790" t="s">
        <v>1630</v>
      </c>
      <c r="E790" t="s">
        <v>2093</v>
      </c>
      <c r="F790" t="s">
        <v>2302</v>
      </c>
      <c r="G790" t="s">
        <v>2535</v>
      </c>
      <c r="H790" t="s">
        <v>3012</v>
      </c>
      <c r="I790" t="s">
        <v>3327</v>
      </c>
      <c r="J790" s="2">
        <v>0</v>
      </c>
      <c r="K790" s="2">
        <v>9650975</v>
      </c>
      <c r="L790" t="s">
        <v>3368</v>
      </c>
      <c r="M790" t="s">
        <v>4051</v>
      </c>
    </row>
    <row r="791" spans="1:13">
      <c r="A791" t="s">
        <v>23</v>
      </c>
      <c r="B791" s="1">
        <f>HYPERLINK("https://cordis.europa.eu/project/id/101081674", "101081674")</f>
        <v>0</v>
      </c>
      <c r="C791" t="s">
        <v>813</v>
      </c>
      <c r="D791" t="s">
        <v>1631</v>
      </c>
      <c r="E791" t="s">
        <v>2064</v>
      </c>
      <c r="F791" t="s">
        <v>2277</v>
      </c>
      <c r="G791" t="s">
        <v>2516</v>
      </c>
      <c r="H791" t="s">
        <v>3017</v>
      </c>
      <c r="I791" t="s">
        <v>3320</v>
      </c>
      <c r="J791" s="2">
        <v>0</v>
      </c>
      <c r="K791" s="2">
        <v>3024000</v>
      </c>
      <c r="L791" t="s">
        <v>3368</v>
      </c>
      <c r="M791" t="s">
        <v>4052</v>
      </c>
    </row>
    <row r="792" spans="1:13">
      <c r="A792" t="s">
        <v>23</v>
      </c>
      <c r="B792" s="1">
        <f>HYPERLINK("https://cordis.europa.eu/project/id/101057385", "101057385")</f>
        <v>0</v>
      </c>
      <c r="C792" t="s">
        <v>814</v>
      </c>
      <c r="D792" t="s">
        <v>1632</v>
      </c>
      <c r="E792" t="s">
        <v>2094</v>
      </c>
      <c r="F792" t="s">
        <v>2214</v>
      </c>
      <c r="G792" t="s">
        <v>2495</v>
      </c>
      <c r="H792" t="s">
        <v>3012</v>
      </c>
      <c r="I792" t="s">
        <v>3328</v>
      </c>
      <c r="J792" s="2">
        <v>0</v>
      </c>
      <c r="K792" s="2">
        <v>7856503.75</v>
      </c>
      <c r="L792" t="s">
        <v>3368</v>
      </c>
      <c r="M792" t="s">
        <v>4053</v>
      </c>
    </row>
    <row r="793" spans="1:13">
      <c r="A793" t="s">
        <v>23</v>
      </c>
      <c r="B793" s="1">
        <f>HYPERLINK("https://cordis.europa.eu/project/id/101136611", "101136611")</f>
        <v>0</v>
      </c>
      <c r="C793" t="s">
        <v>815</v>
      </c>
      <c r="D793" t="s">
        <v>1633</v>
      </c>
      <c r="E793" t="s">
        <v>2038</v>
      </c>
      <c r="F793" t="s">
        <v>2300</v>
      </c>
      <c r="G793" t="s">
        <v>2536</v>
      </c>
      <c r="H793" t="s">
        <v>3013</v>
      </c>
      <c r="I793" t="s">
        <v>3292</v>
      </c>
      <c r="J793" s="2">
        <v>0</v>
      </c>
      <c r="K793" s="2">
        <v>5671625</v>
      </c>
      <c r="L793" t="s">
        <v>3368</v>
      </c>
      <c r="M793" t="s">
        <v>4054</v>
      </c>
    </row>
    <row r="794" spans="1:13">
      <c r="A794" t="s">
        <v>23</v>
      </c>
      <c r="B794" s="1">
        <f>HYPERLINK("https://cordis.europa.eu/project/id/101136916", "101136916")</f>
        <v>0</v>
      </c>
      <c r="C794" t="s">
        <v>816</v>
      </c>
      <c r="D794" t="s">
        <v>1634</v>
      </c>
      <c r="E794" t="s">
        <v>1987</v>
      </c>
      <c r="F794" t="s">
        <v>2283</v>
      </c>
      <c r="G794" t="s">
        <v>2516</v>
      </c>
      <c r="H794" t="s">
        <v>3012</v>
      </c>
      <c r="I794" t="s">
        <v>3292</v>
      </c>
      <c r="J794" s="2">
        <v>0</v>
      </c>
      <c r="K794" s="2">
        <v>4984995</v>
      </c>
      <c r="L794" t="s">
        <v>3368</v>
      </c>
      <c r="M794" t="s">
        <v>4055</v>
      </c>
    </row>
    <row r="795" spans="1:13">
      <c r="A795" t="s">
        <v>23</v>
      </c>
      <c r="B795" s="1">
        <f>HYPERLINK("https://cordis.europa.eu/project/id/101058684", "101058684")</f>
        <v>0</v>
      </c>
      <c r="C795" t="s">
        <v>817</v>
      </c>
      <c r="D795" t="s">
        <v>1635</v>
      </c>
      <c r="E795" t="s">
        <v>2011</v>
      </c>
      <c r="F795" t="s">
        <v>2203</v>
      </c>
      <c r="G795" t="s">
        <v>2539</v>
      </c>
      <c r="H795" t="s">
        <v>3012</v>
      </c>
      <c r="I795" t="s">
        <v>3329</v>
      </c>
      <c r="J795" s="2">
        <v>1144600</v>
      </c>
      <c r="K795" s="2">
        <v>10616225</v>
      </c>
      <c r="L795" t="s">
        <v>3368</v>
      </c>
      <c r="M795" t="s">
        <v>4056</v>
      </c>
    </row>
    <row r="796" spans="1:13">
      <c r="A796" t="s">
        <v>23</v>
      </c>
      <c r="B796" s="1">
        <f>HYPERLINK("https://cordis.europa.eu/project/id/101132476", "101132476")</f>
        <v>0</v>
      </c>
      <c r="C796" t="s">
        <v>818</v>
      </c>
      <c r="D796" t="s">
        <v>818</v>
      </c>
      <c r="E796" t="s">
        <v>2095</v>
      </c>
      <c r="F796" t="s">
        <v>2283</v>
      </c>
      <c r="G796" t="s">
        <v>2532</v>
      </c>
      <c r="H796" t="s">
        <v>3012</v>
      </c>
      <c r="I796" t="s">
        <v>3330</v>
      </c>
      <c r="J796" s="2">
        <v>348750</v>
      </c>
      <c r="K796" s="2">
        <v>2999350</v>
      </c>
      <c r="L796" t="s">
        <v>3368</v>
      </c>
      <c r="M796" t="s">
        <v>4057</v>
      </c>
    </row>
    <row r="797" spans="1:13">
      <c r="A797" t="s">
        <v>23</v>
      </c>
      <c r="B797" s="1">
        <f>HYPERLINK("https://cordis.europa.eu/project/id/101132694", "101132694")</f>
        <v>0</v>
      </c>
      <c r="C797" t="s">
        <v>819</v>
      </c>
      <c r="D797" t="s">
        <v>1636</v>
      </c>
      <c r="E797" t="s">
        <v>2096</v>
      </c>
      <c r="F797" t="s">
        <v>2283</v>
      </c>
      <c r="G797" t="s">
        <v>2516</v>
      </c>
      <c r="H797" t="s">
        <v>3012</v>
      </c>
      <c r="I797" t="s">
        <v>3331</v>
      </c>
      <c r="J797" s="2">
        <v>145031.25</v>
      </c>
      <c r="K797" s="2">
        <v>2106591.25</v>
      </c>
      <c r="L797" t="s">
        <v>3369</v>
      </c>
      <c r="M797" t="s">
        <v>4058</v>
      </c>
    </row>
    <row r="798" spans="1:13">
      <c r="A798" t="s">
        <v>23</v>
      </c>
      <c r="B798" s="1">
        <f>HYPERLINK("https://cordis.europa.eu/project/id/101058393", "101058393")</f>
        <v>0</v>
      </c>
      <c r="C798" t="s">
        <v>820</v>
      </c>
      <c r="D798" t="s">
        <v>1637</v>
      </c>
      <c r="E798" t="s">
        <v>2034</v>
      </c>
      <c r="F798" t="s">
        <v>2203</v>
      </c>
      <c r="G798" t="s">
        <v>2445</v>
      </c>
      <c r="H798" t="s">
        <v>3023</v>
      </c>
      <c r="I798" t="s">
        <v>3332</v>
      </c>
      <c r="J798" s="2">
        <v>150000</v>
      </c>
      <c r="K798" s="2">
        <v>1883841.25</v>
      </c>
      <c r="L798" t="s">
        <v>3369</v>
      </c>
      <c r="M798" t="s">
        <v>4059</v>
      </c>
    </row>
    <row r="799" spans="1:13">
      <c r="A799" t="s">
        <v>23</v>
      </c>
      <c r="B799" s="1">
        <f>HYPERLINK("https://cordis.europa.eu/project/id/101093849", "101093849")</f>
        <v>0</v>
      </c>
      <c r="C799" t="s">
        <v>821</v>
      </c>
      <c r="D799" t="s">
        <v>1638</v>
      </c>
      <c r="E799" t="s">
        <v>2097</v>
      </c>
      <c r="F799" t="s">
        <v>2277</v>
      </c>
      <c r="G799" t="s">
        <v>2532</v>
      </c>
      <c r="H799" t="s">
        <v>2993</v>
      </c>
      <c r="I799" t="s">
        <v>3302</v>
      </c>
      <c r="J799" s="2">
        <v>330471</v>
      </c>
      <c r="K799" s="2">
        <v>2951569.75</v>
      </c>
      <c r="L799" t="s">
        <v>3368</v>
      </c>
      <c r="M799" t="s">
        <v>4060</v>
      </c>
    </row>
    <row r="800" spans="1:13">
      <c r="A800" t="s">
        <v>23</v>
      </c>
      <c r="B800" s="1">
        <f>HYPERLINK("https://cordis.europa.eu/project/id/101043986", "101043986")</f>
        <v>0</v>
      </c>
      <c r="C800" t="s">
        <v>822</v>
      </c>
      <c r="D800" t="s">
        <v>1639</v>
      </c>
      <c r="E800" t="s">
        <v>2098</v>
      </c>
      <c r="F800" t="s">
        <v>2296</v>
      </c>
      <c r="G800" t="s">
        <v>2547</v>
      </c>
      <c r="H800" t="s">
        <v>3032</v>
      </c>
      <c r="I800" t="s">
        <v>3333</v>
      </c>
      <c r="J800" s="2">
        <v>198000</v>
      </c>
      <c r="K800" s="2">
        <v>2051921</v>
      </c>
      <c r="L800" t="s">
        <v>3369</v>
      </c>
      <c r="M800" t="s">
        <v>3605</v>
      </c>
    </row>
    <row r="801" spans="1:13">
      <c r="A801" t="s">
        <v>23</v>
      </c>
      <c r="B801" s="1">
        <f>HYPERLINK("https://cordis.europa.eu/project/id/101071330", "101071330")</f>
        <v>0</v>
      </c>
      <c r="C801" t="s">
        <v>823</v>
      </c>
      <c r="D801" t="s">
        <v>1640</v>
      </c>
      <c r="E801" t="s">
        <v>2099</v>
      </c>
      <c r="F801" t="s">
        <v>2294</v>
      </c>
      <c r="G801" t="s">
        <v>2500</v>
      </c>
      <c r="H801" t="s">
        <v>3023</v>
      </c>
      <c r="I801" t="s">
        <v>3334</v>
      </c>
      <c r="J801" s="2">
        <v>0</v>
      </c>
      <c r="K801" s="2">
        <v>1964601.76</v>
      </c>
      <c r="L801" t="s">
        <v>3368</v>
      </c>
      <c r="M801" t="s">
        <v>4061</v>
      </c>
    </row>
    <row r="802" spans="1:13">
      <c r="A802" t="s">
        <v>23</v>
      </c>
      <c r="B802" s="1">
        <f>HYPERLINK("https://cordis.europa.eu/project/id/101136627", "101136627")</f>
        <v>0</v>
      </c>
      <c r="C802" t="s">
        <v>824</v>
      </c>
      <c r="D802" t="s">
        <v>1641</v>
      </c>
      <c r="E802" t="s">
        <v>1987</v>
      </c>
      <c r="F802" t="s">
        <v>2283</v>
      </c>
      <c r="G802" t="s">
        <v>2515</v>
      </c>
      <c r="H802" t="s">
        <v>3023</v>
      </c>
      <c r="I802" t="s">
        <v>3335</v>
      </c>
      <c r="J802" s="2">
        <v>0</v>
      </c>
      <c r="K802" s="2">
        <v>4999868</v>
      </c>
      <c r="L802" t="s">
        <v>3368</v>
      </c>
      <c r="M802" t="s">
        <v>4062</v>
      </c>
    </row>
    <row r="803" spans="1:13">
      <c r="A803" t="s">
        <v>23</v>
      </c>
      <c r="B803" s="1">
        <f>HYPERLINK("https://cordis.europa.eu/project/id/101095020", "101095020")</f>
        <v>0</v>
      </c>
      <c r="C803" t="s">
        <v>825</v>
      </c>
      <c r="D803" t="s">
        <v>1642</v>
      </c>
      <c r="E803" t="s">
        <v>2091</v>
      </c>
      <c r="F803" t="s">
        <v>2306</v>
      </c>
      <c r="G803" t="s">
        <v>2541</v>
      </c>
      <c r="H803" t="s">
        <v>3012</v>
      </c>
      <c r="I803" t="s">
        <v>3302</v>
      </c>
      <c r="J803" s="2">
        <v>0</v>
      </c>
      <c r="K803" s="2">
        <v>3049101.25</v>
      </c>
      <c r="L803" t="s">
        <v>3368</v>
      </c>
      <c r="M803" t="s">
        <v>4063</v>
      </c>
    </row>
    <row r="804" spans="1:13">
      <c r="A804" t="s">
        <v>23</v>
      </c>
      <c r="B804" s="1">
        <f>HYPERLINK("https://cordis.europa.eu/project/id/101134750", "101134750")</f>
        <v>0</v>
      </c>
      <c r="C804" t="s">
        <v>826</v>
      </c>
      <c r="D804" t="s">
        <v>1643</v>
      </c>
      <c r="E804" t="s">
        <v>2004</v>
      </c>
      <c r="F804" t="s">
        <v>2283</v>
      </c>
      <c r="G804" t="s">
        <v>2516</v>
      </c>
      <c r="H804" t="s">
        <v>3012</v>
      </c>
      <c r="I804" t="s">
        <v>3336</v>
      </c>
      <c r="J804" s="2">
        <v>286937.5</v>
      </c>
      <c r="K804" s="2">
        <v>4998037.5</v>
      </c>
      <c r="L804" t="s">
        <v>3369</v>
      </c>
      <c r="M804" t="s">
        <v>4064</v>
      </c>
    </row>
    <row r="805" spans="1:13">
      <c r="A805" t="s">
        <v>23</v>
      </c>
      <c r="B805" s="1">
        <f>HYPERLINK("https://cordis.europa.eu/project/id/101057361", "101057361")</f>
        <v>0</v>
      </c>
      <c r="C805" t="s">
        <v>827</v>
      </c>
      <c r="D805" t="s">
        <v>1644</v>
      </c>
      <c r="E805" t="s">
        <v>2100</v>
      </c>
      <c r="F805" t="s">
        <v>2214</v>
      </c>
      <c r="G805" t="s">
        <v>2495</v>
      </c>
      <c r="H805" t="s">
        <v>3012</v>
      </c>
      <c r="I805" t="s">
        <v>3319</v>
      </c>
      <c r="J805" s="2">
        <v>263500</v>
      </c>
      <c r="K805" s="2">
        <v>5993222</v>
      </c>
      <c r="L805" t="s">
        <v>3368</v>
      </c>
      <c r="M805" t="s">
        <v>4065</v>
      </c>
    </row>
    <row r="806" spans="1:13">
      <c r="A806" t="s">
        <v>23</v>
      </c>
      <c r="B806" s="1">
        <f>HYPERLINK("https://cordis.europa.eu/project/id/101095461", "101095461")</f>
        <v>0</v>
      </c>
      <c r="C806" t="s">
        <v>828</v>
      </c>
      <c r="D806" t="s">
        <v>1645</v>
      </c>
      <c r="E806" t="s">
        <v>2101</v>
      </c>
      <c r="F806" t="s">
        <v>2277</v>
      </c>
      <c r="G806" t="s">
        <v>2532</v>
      </c>
      <c r="H806" t="s">
        <v>3012</v>
      </c>
      <c r="I806" t="s">
        <v>3318</v>
      </c>
      <c r="J806" s="2">
        <v>75000</v>
      </c>
      <c r="K806" s="2">
        <v>2149813.75</v>
      </c>
      <c r="L806" t="s">
        <v>3368</v>
      </c>
      <c r="M806" t="s">
        <v>4066</v>
      </c>
    </row>
    <row r="807" spans="1:13">
      <c r="A807" t="s">
        <v>23</v>
      </c>
      <c r="B807" s="1">
        <f>HYPERLINK("https://cordis.europa.eu/project/id/101055476", "101055476")</f>
        <v>0</v>
      </c>
      <c r="C807" t="s">
        <v>829</v>
      </c>
      <c r="D807" t="s">
        <v>1646</v>
      </c>
      <c r="E807" t="s">
        <v>2102</v>
      </c>
      <c r="F807" t="s">
        <v>2216</v>
      </c>
      <c r="G807" t="s">
        <v>2495</v>
      </c>
      <c r="H807" t="s">
        <v>3033</v>
      </c>
      <c r="I807" t="s">
        <v>3337</v>
      </c>
      <c r="J807" s="2">
        <v>0</v>
      </c>
      <c r="K807" s="2">
        <v>69644027.12</v>
      </c>
      <c r="L807" t="s">
        <v>3368</v>
      </c>
      <c r="M807" t="s">
        <v>4067</v>
      </c>
    </row>
    <row r="808" spans="1:13">
      <c r="A808" t="s">
        <v>23</v>
      </c>
      <c r="B808" s="1">
        <f>HYPERLINK("https://cordis.europa.eu/project/id/101132352", "101132352")</f>
        <v>0</v>
      </c>
      <c r="C808" t="s">
        <v>830</v>
      </c>
      <c r="D808" t="s">
        <v>1647</v>
      </c>
      <c r="E808" t="s">
        <v>2103</v>
      </c>
      <c r="F808" t="s">
        <v>2283</v>
      </c>
      <c r="G808" t="s">
        <v>2484</v>
      </c>
      <c r="H808" t="s">
        <v>3012</v>
      </c>
      <c r="I808" t="s">
        <v>3338</v>
      </c>
      <c r="J808" s="2">
        <v>141968.75</v>
      </c>
      <c r="K808" s="2">
        <v>2999968.75</v>
      </c>
      <c r="L808" t="s">
        <v>3369</v>
      </c>
      <c r="M808" t="s">
        <v>4068</v>
      </c>
    </row>
    <row r="809" spans="1:13">
      <c r="A809" t="s">
        <v>23</v>
      </c>
      <c r="B809" s="1">
        <f>HYPERLINK("https://cordis.europa.eu/project/id/101059632", "101059632")</f>
        <v>0</v>
      </c>
      <c r="C809" t="s">
        <v>831</v>
      </c>
      <c r="D809" t="s">
        <v>1648</v>
      </c>
      <c r="E809" t="s">
        <v>2007</v>
      </c>
      <c r="F809" t="s">
        <v>2214</v>
      </c>
      <c r="G809" t="s">
        <v>2499</v>
      </c>
      <c r="H809" t="s">
        <v>3012</v>
      </c>
      <c r="I809" t="s">
        <v>3339</v>
      </c>
      <c r="J809" s="2">
        <v>0</v>
      </c>
      <c r="K809" s="2">
        <v>10272862.66</v>
      </c>
      <c r="L809" t="s">
        <v>3368</v>
      </c>
      <c r="M809" t="s">
        <v>4069</v>
      </c>
    </row>
    <row r="810" spans="1:13">
      <c r="A810" t="s">
        <v>23</v>
      </c>
      <c r="B810" s="1">
        <f>HYPERLINK("https://cordis.europa.eu/project/id/101080249", "101080249")</f>
        <v>0</v>
      </c>
      <c r="C810" t="s">
        <v>832</v>
      </c>
      <c r="D810" t="s">
        <v>1649</v>
      </c>
      <c r="E810" t="s">
        <v>2104</v>
      </c>
      <c r="F810" t="s">
        <v>2284</v>
      </c>
      <c r="G810" t="s">
        <v>2527</v>
      </c>
      <c r="H810" t="s">
        <v>3012</v>
      </c>
      <c r="I810" t="s">
        <v>3340</v>
      </c>
      <c r="J810" s="2">
        <v>58750</v>
      </c>
      <c r="K810" s="2">
        <v>8826970</v>
      </c>
      <c r="L810" t="s">
        <v>3368</v>
      </c>
      <c r="M810" t="s">
        <v>4070</v>
      </c>
    </row>
    <row r="811" spans="1:13">
      <c r="A811" t="s">
        <v>23</v>
      </c>
      <c r="B811" s="1">
        <f>HYPERLINK("https://cordis.europa.eu/project/id/101058479", "101058479")</f>
        <v>0</v>
      </c>
      <c r="C811" t="s">
        <v>833</v>
      </c>
      <c r="D811" t="s">
        <v>1650</v>
      </c>
      <c r="E811" t="s">
        <v>2007</v>
      </c>
      <c r="F811" t="s">
        <v>2294</v>
      </c>
      <c r="G811" t="s">
        <v>2485</v>
      </c>
      <c r="H811" t="s">
        <v>3012</v>
      </c>
      <c r="I811" t="s">
        <v>3341</v>
      </c>
      <c r="J811" s="2">
        <v>0</v>
      </c>
      <c r="K811" s="2">
        <v>4836125</v>
      </c>
      <c r="L811" t="s">
        <v>3368</v>
      </c>
      <c r="M811" t="s">
        <v>4071</v>
      </c>
    </row>
    <row r="812" spans="1:13">
      <c r="A812" t="s">
        <v>23</v>
      </c>
      <c r="B812" s="1">
        <f>HYPERLINK("https://cordis.europa.eu/project/id/101072180", "101072180")</f>
        <v>0</v>
      </c>
      <c r="C812" t="s">
        <v>834</v>
      </c>
      <c r="D812" t="s">
        <v>1651</v>
      </c>
      <c r="E812" t="s">
        <v>2105</v>
      </c>
      <c r="F812" t="s">
        <v>2298</v>
      </c>
      <c r="G812" t="s">
        <v>2528</v>
      </c>
      <c r="H812" t="s">
        <v>3019</v>
      </c>
      <c r="I812" t="s">
        <v>3284</v>
      </c>
      <c r="J812" s="2">
        <v>50000</v>
      </c>
      <c r="K812" s="2">
        <v>13929477</v>
      </c>
      <c r="L812" t="s">
        <v>3368</v>
      </c>
      <c r="M812" t="s">
        <v>4072</v>
      </c>
    </row>
  </sheetData>
  <autoFilter ref="A1:M81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9"/>
  <sheetViews>
    <sheetView workbookViewId="0"/>
  </sheetViews>
  <sheetFormatPr defaultRowHeight="15"/>
  <cols>
    <col min="1" max="1" width="7.7109375" customWidth="1"/>
    <col min="2" max="2" width="14.7109375" customWidth="1"/>
    <col min="3" max="3" width="54.7109375" customWidth="1"/>
    <col min="4" max="5" width="7.7109375" customWidth="1"/>
    <col min="6" max="6" width="12.7109375" style="2" customWidth="1"/>
    <col min="7" max="8" width="7.7109375" customWidth="1"/>
    <col min="9" max="9" width="12.7109375" style="2" customWidth="1"/>
    <col min="10" max="11" width="7.7109375" customWidth="1"/>
    <col min="12" max="12" width="12.7109375" style="2" customWidth="1"/>
    <col min="13" max="14" width="7.7109375" customWidth="1"/>
    <col min="15" max="15" width="12.7109375" style="2" customWidth="1"/>
  </cols>
  <sheetData>
    <row r="1" spans="1:15">
      <c r="A1" s="3" t="s">
        <v>7</v>
      </c>
      <c r="B1" s="3" t="s">
        <v>8</v>
      </c>
      <c r="C1" s="3" t="s">
        <v>4073</v>
      </c>
      <c r="D1" s="3" t="s">
        <v>3351</v>
      </c>
      <c r="E1" s="3" t="s">
        <v>3352</v>
      </c>
      <c r="F1" s="3" t="s">
        <v>4074</v>
      </c>
      <c r="G1" s="3" t="s">
        <v>3354</v>
      </c>
      <c r="H1" s="3" t="s">
        <v>3355</v>
      </c>
      <c r="I1" s="3" t="s">
        <v>4075</v>
      </c>
      <c r="J1" s="3" t="s">
        <v>3357</v>
      </c>
      <c r="K1" s="3" t="s">
        <v>3358</v>
      </c>
      <c r="L1" s="3" t="s">
        <v>4076</v>
      </c>
      <c r="M1" s="3" t="s">
        <v>4077</v>
      </c>
      <c r="N1" s="3" t="s">
        <v>4078</v>
      </c>
      <c r="O1" s="3" t="s">
        <v>4079</v>
      </c>
    </row>
    <row r="2" spans="1:15">
      <c r="A2" t="s">
        <v>2548</v>
      </c>
      <c r="B2" t="s">
        <v>2556</v>
      </c>
      <c r="C2" t="s">
        <v>4080</v>
      </c>
      <c r="D2">
        <v>171</v>
      </c>
      <c r="E2">
        <v>79</v>
      </c>
      <c r="F2" s="2">
        <v>12495472.71</v>
      </c>
      <c r="G2">
        <v>392</v>
      </c>
      <c r="H2">
        <v>52</v>
      </c>
      <c r="I2" s="2">
        <v>15513802.51</v>
      </c>
      <c r="J2">
        <v>149</v>
      </c>
      <c r="K2">
        <v>17</v>
      </c>
      <c r="L2" s="2">
        <v>6131321</v>
      </c>
      <c r="M2">
        <v>712</v>
      </c>
      <c r="N2">
        <v>148</v>
      </c>
      <c r="O2" s="2">
        <v>34140596.22</v>
      </c>
    </row>
    <row r="3" spans="1:15">
      <c r="A3" t="s">
        <v>2549</v>
      </c>
      <c r="B3" t="s">
        <v>2557</v>
      </c>
      <c r="C3" t="s">
        <v>4081</v>
      </c>
      <c r="D3">
        <v>42</v>
      </c>
      <c r="E3">
        <v>27</v>
      </c>
      <c r="F3" s="2">
        <v>4327803.2</v>
      </c>
      <c r="G3">
        <v>70</v>
      </c>
      <c r="H3">
        <v>13</v>
      </c>
      <c r="I3" s="2">
        <v>2636419</v>
      </c>
      <c r="J3">
        <v>19</v>
      </c>
      <c r="K3">
        <v>8</v>
      </c>
      <c r="L3" s="2">
        <v>2771937.5</v>
      </c>
      <c r="M3">
        <v>131</v>
      </c>
      <c r="N3">
        <v>48</v>
      </c>
      <c r="O3" s="2">
        <v>9736159.699999999</v>
      </c>
    </row>
    <row r="4" spans="1:15">
      <c r="A4" t="s">
        <v>2550</v>
      </c>
      <c r="B4" t="s">
        <v>2558</v>
      </c>
      <c r="C4" t="s">
        <v>4082</v>
      </c>
      <c r="D4">
        <v>4</v>
      </c>
      <c r="E4">
        <v>4</v>
      </c>
      <c r="F4" s="2">
        <v>619906</v>
      </c>
      <c r="G4">
        <v>1</v>
      </c>
      <c r="H4">
        <v>0</v>
      </c>
      <c r="I4" s="2">
        <v>0</v>
      </c>
      <c r="J4">
        <v>1</v>
      </c>
      <c r="K4">
        <v>0</v>
      </c>
      <c r="L4" s="2">
        <v>0</v>
      </c>
      <c r="M4">
        <v>6</v>
      </c>
      <c r="N4">
        <v>4</v>
      </c>
      <c r="O4" s="2">
        <v>619906</v>
      </c>
    </row>
    <row r="5" spans="1:15">
      <c r="A5" t="s">
        <v>2551</v>
      </c>
      <c r="B5" t="s">
        <v>2559</v>
      </c>
      <c r="C5" t="s">
        <v>4083</v>
      </c>
      <c r="D5">
        <v>3</v>
      </c>
      <c r="E5">
        <v>3</v>
      </c>
      <c r="F5" s="2">
        <v>507982.5</v>
      </c>
      <c r="G5">
        <v>1</v>
      </c>
      <c r="H5">
        <v>0</v>
      </c>
      <c r="I5" s="2">
        <v>0</v>
      </c>
      <c r="J5">
        <v>1</v>
      </c>
      <c r="K5">
        <v>0</v>
      </c>
      <c r="L5" s="2">
        <v>0</v>
      </c>
      <c r="M5">
        <v>5</v>
      </c>
      <c r="N5">
        <v>3</v>
      </c>
      <c r="O5" s="2">
        <v>507982.5</v>
      </c>
    </row>
    <row r="6" spans="1:15">
      <c r="A6" t="s">
        <v>2552</v>
      </c>
      <c r="B6" t="s">
        <v>2560</v>
      </c>
      <c r="C6" t="s">
        <v>4084</v>
      </c>
      <c r="D6">
        <v>1</v>
      </c>
      <c r="E6">
        <v>1</v>
      </c>
      <c r="F6" s="2">
        <v>70085</v>
      </c>
      <c r="G6">
        <v>1</v>
      </c>
      <c r="H6">
        <v>0</v>
      </c>
      <c r="I6" s="2">
        <v>0</v>
      </c>
      <c r="J6">
        <v>0</v>
      </c>
      <c r="K6">
        <v>0</v>
      </c>
      <c r="L6" s="2">
        <v>0</v>
      </c>
      <c r="M6">
        <v>2</v>
      </c>
      <c r="N6">
        <v>1</v>
      </c>
      <c r="O6" s="2">
        <v>70085</v>
      </c>
    </row>
    <row r="7" spans="1:15">
      <c r="A7" t="s">
        <v>2553</v>
      </c>
      <c r="B7" t="s">
        <v>2561</v>
      </c>
      <c r="C7" t="s">
        <v>4085</v>
      </c>
      <c r="D7">
        <v>1</v>
      </c>
      <c r="E7">
        <v>1</v>
      </c>
      <c r="F7" s="2">
        <v>102720</v>
      </c>
      <c r="G7">
        <v>0</v>
      </c>
      <c r="H7">
        <v>0</v>
      </c>
      <c r="I7" s="2">
        <v>0</v>
      </c>
      <c r="J7">
        <v>0</v>
      </c>
      <c r="K7">
        <v>0</v>
      </c>
      <c r="L7" s="2">
        <v>0</v>
      </c>
      <c r="M7">
        <v>1</v>
      </c>
      <c r="N7">
        <v>1</v>
      </c>
      <c r="O7" s="2">
        <v>102720</v>
      </c>
    </row>
    <row r="8" spans="1:15">
      <c r="A8" t="s">
        <v>2554</v>
      </c>
      <c r="B8" t="s">
        <v>2562</v>
      </c>
      <c r="C8" t="s">
        <v>4086</v>
      </c>
      <c r="D8">
        <v>1</v>
      </c>
      <c r="E8">
        <v>1</v>
      </c>
      <c r="F8" s="2">
        <v>48700</v>
      </c>
      <c r="G8">
        <v>1</v>
      </c>
      <c r="H8">
        <v>1</v>
      </c>
      <c r="I8" s="2">
        <v>67725</v>
      </c>
      <c r="J8">
        <v>1</v>
      </c>
      <c r="K8">
        <v>1</v>
      </c>
      <c r="L8" s="2">
        <v>4765775</v>
      </c>
      <c r="M8">
        <v>3</v>
      </c>
      <c r="N8">
        <v>3</v>
      </c>
      <c r="O8" s="2">
        <v>4882200</v>
      </c>
    </row>
    <row r="9" spans="1:15">
      <c r="A9" t="s">
        <v>2555</v>
      </c>
      <c r="B9" t="s">
        <v>2563</v>
      </c>
      <c r="C9" t="s">
        <v>4087</v>
      </c>
      <c r="D9">
        <v>0</v>
      </c>
      <c r="E9">
        <v>0</v>
      </c>
      <c r="F9" s="2">
        <v>0</v>
      </c>
      <c r="G9">
        <v>1</v>
      </c>
      <c r="H9">
        <v>0</v>
      </c>
      <c r="I9" s="2">
        <v>0</v>
      </c>
      <c r="J9">
        <v>0</v>
      </c>
      <c r="K9">
        <v>0</v>
      </c>
      <c r="L9" s="2">
        <v>0</v>
      </c>
      <c r="M9">
        <v>1</v>
      </c>
      <c r="N9">
        <v>0</v>
      </c>
      <c r="O9" s="2">
        <v>0</v>
      </c>
    </row>
  </sheetData>
  <autoFilter ref="A1:O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FP_participation</vt:lpstr>
      <vt:lpstr>Orgs_summary</vt:lpstr>
      <vt:lpstr>FP_projects</vt:lpstr>
      <vt:lpstr>Countries_summary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2024-06-02T09:09:52Z</dcterms:created>
  <dcterms:modified xsi:type="dcterms:W3CDTF">2024-06-02T09:09:52Z</dcterms:modified>
</cp:coreProperties>
</file>