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8.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154D3D47-FFA7-4B61-ABAD-D9459E18F523}" xr6:coauthVersionLast="47" xr6:coauthVersionMax="47" xr10:uidLastSave="{00000000-0000-0000-0000-000000000000}"/>
  <bookViews>
    <workbookView xWindow="-120" yWindow="-120" windowWidth="29040" windowHeight="15840" tabRatio="915" activeTab="5" xr2:uid="{DFCDD37B-58B4-4573-B1CA-EE1232A8CBC3}"/>
  </bookViews>
  <sheets>
    <sheet name="Feed Chart" sheetId="93" r:id="rId1"/>
    <sheet name="User1" sheetId="105" r:id="rId2"/>
    <sheet name="User2" sheetId="106" r:id="rId3"/>
    <sheet name="User3" sheetId="107" r:id="rId4"/>
    <sheet name="$" sheetId="74" r:id="rId5"/>
    <sheet name="Room" sheetId="108" r:id="rId6"/>
    <sheet name="Room (4)" sheetId="112" r:id="rId7"/>
    <sheet name="Room (2)" sheetId="110" r:id="rId8"/>
    <sheet name="Room (3)" sheetId="111" r:id="rId9"/>
    <sheet name="Arduino" sheetId="109" r:id="rId10"/>
    <sheet name="Panel" sheetId="104" r:id="rId11"/>
    <sheet name="Light Layout" sheetId="45" r:id="rId12"/>
    <sheet name="Brian" sheetId="103" r:id="rId13"/>
    <sheet name="SaltMix" sheetId="102" r:id="rId14"/>
    <sheet name="VPD Calc" sheetId="100" r:id="rId15"/>
    <sheet name="Electricity" sheetId="6" r:id="rId16"/>
    <sheet name="PPM Calc" sheetId="20" r:id="rId17"/>
    <sheet name="PPM" sheetId="96" r:id="rId18"/>
    <sheet name="NPK Calculator" sheetId="98" r:id="rId19"/>
    <sheet name="Ternary Chart" sheetId="94" r:id="rId20"/>
    <sheet name="Element to Oxide" sheetId="91" r:id="rId21"/>
    <sheet name="Labels" sheetId="89" r:id="rId22"/>
    <sheet name="RO Water" sheetId="101" r:id="rId23"/>
    <sheet name="Hardware" sheetId="99" r:id="rId24"/>
    <sheet name="LEDS" sheetId="87" r:id="rId25"/>
    <sheet name="Ohms Law" sheetId="88" r:id="rId26"/>
    <sheet name="EC" sheetId="73" r:id="rId27"/>
    <sheet name="VPD" sheetId="7" r:id="rId28"/>
    <sheet name="Defoliation" sheetId="17" r:id="rId29"/>
    <sheet name="Cloning" sheetId="41" r:id="rId30"/>
    <sheet name="Harvest" sheetId="15" r:id="rId31"/>
    <sheet name="Deficiency" sheetId="14" r:id="rId32"/>
    <sheet name="Concentrates" sheetId="18" r:id="rId33"/>
    <sheet name="Root Health" sheetId="43" r:id="rId34"/>
    <sheet name="Strains" sheetId="8" r:id="rId35"/>
    <sheet name="Soil" sheetId="38" r:id="rId36"/>
    <sheet name="GH Feedchart" sheetId="90" r:id="rId37"/>
  </sheets>
  <externalReferences>
    <externalReference r:id="rId38"/>
    <externalReference r:id="rId39"/>
    <externalReference r:id="rId40"/>
  </externalReferences>
  <definedNames>
    <definedName name="Appliances">'[1]Appliances Data'!$C$5:$C$104</definedName>
    <definedName name="Classes">[2]!TaskSchedule[[#All],[Column1]]</definedName>
    <definedName name="daygrid" localSheetId="4">'$'!days+'$'!weeks*7</definedName>
    <definedName name="daygrid" localSheetId="26">EC!days+EC!weeks*7</definedName>
    <definedName name="daygrid" localSheetId="0">'Feed Chart'!days+'Feed Chart'!weeks*7</definedName>
    <definedName name="daygrid" localSheetId="23">Hardware!days+Hardware!weeks*7</definedName>
    <definedName name="daygrid" localSheetId="24">LEDS!days+LEDS!weeks*7</definedName>
    <definedName name="daygrid" localSheetId="10">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6">{0,1,2,3,4,5,6}</definedName>
    <definedName name="days" localSheetId="0">{0,1,2,3,4,5,6}</definedName>
    <definedName name="days" localSheetId="23">{0,1,2,3,4,5,6}</definedName>
    <definedName name="days" localSheetId="24">{0,1,2,3,4,5,6}</definedName>
    <definedName name="days" localSheetId="10">{0,1,2,3,4,5,6}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6">{"January","February","March","April","May","June","July","August","September","October","November","December"}</definedName>
    <definedName name="months" localSheetId="0">{"January","February","March","April","May","June","July","August","September","October","November","December"}</definedName>
    <definedName name="months" localSheetId="23">{"January","February","March","April","May","June","July","August","September","October","November","December"}</definedName>
    <definedName name="months" localSheetId="24">{"January","February","March","April","May","June","July","August","September","October","November","December"}</definedName>
    <definedName name="months" localSheetId="10">{"January","February","March","April","May","June","July","August","September","October","November","December"}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6">MATCH(DayToStart,EC!weekdays_reversed,0)-2</definedName>
    <definedName name="weekday_option" localSheetId="0">MATCH([0]!DayToStart,'Feed Chart'!weekdays_reversed,0)-2</definedName>
    <definedName name="weekday_option" localSheetId="23">MATCH([0]!DayToStart,Hardware!weekdays_reversed,0)-2</definedName>
    <definedName name="weekday_option" localSheetId="24">MATCH([0]!DayToStart,LEDS!weekdays_reversed,0)-2</definedName>
    <definedName name="weekday_option" localSheetId="10">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6">{"Sunday","Saturday","Friday","Thursday","Wednesday","Tuesday","Monday"}</definedName>
    <definedName name="weekdays_reversed" localSheetId="0">{"Sunday","Saturday","Friday","Thursday","Wednesday","Tuesday","Monday"}</definedName>
    <definedName name="weekdays_reversed" localSheetId="23">{"Sunday","Saturday","Friday","Thursday","Wednesday","Tuesday","Monday"}</definedName>
    <definedName name="weekdays_reversed" localSheetId="24">{"Sunday","Saturday","Friday","Thursday","Wednesday","Tuesday","Monday"}</definedName>
    <definedName name="weekdays_reversed" localSheetId="10">{"Sunday","Saturday","Friday","Thursday","Wednesday","Tuesday","Monday"}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6">{0;1;2;3;4;5;6}</definedName>
    <definedName name="weeks" localSheetId="0">{0;1;2;3;4;5;6}</definedName>
    <definedName name="weeks" localSheetId="23">{0;1;2;3;4;5;6}</definedName>
    <definedName name="weeks" localSheetId="24">{0;1;2;3;4;5;6}</definedName>
    <definedName name="weeks" localSheetId="10">{0;1;2;3;4;5;6}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JN375" i="93" s="1"/>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E365" i="93" l="1"/>
  <c r="LE365" i="93" s="1"/>
  <c r="JM365" i="93"/>
  <c r="LM365" i="93" s="1"/>
  <c r="JU365" i="93"/>
  <c r="LU365" i="93" s="1"/>
  <c r="KC365" i="93"/>
  <c r="MC365" i="93" s="1"/>
  <c r="KK365" i="93"/>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JM373" i="93"/>
  <c r="JU373" i="93"/>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JM379" i="93"/>
  <c r="JU379" i="93"/>
  <c r="KC379" i="93"/>
  <c r="MC379" i="93" s="1"/>
  <c r="JE381" i="93"/>
  <c r="JM381" i="93"/>
  <c r="LM381" i="93" s="1"/>
  <c r="JU381" i="93"/>
  <c r="KC381" i="93"/>
  <c r="KK381" i="93"/>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JD352" i="93"/>
  <c r="LD352" i="93" s="1"/>
  <c r="JL352" i="93"/>
  <c r="LL352" i="93" s="1"/>
  <c r="JT352" i="93"/>
  <c r="LT352" i="93" s="1"/>
  <c r="KB352" i="93"/>
  <c r="MB352" i="93" s="1"/>
  <c r="KJ352" i="93"/>
  <c r="MJ352" i="93" s="1"/>
  <c r="JE360" i="93"/>
  <c r="LE360" i="93" s="1"/>
  <c r="JM360" i="93"/>
  <c r="LM360" i="93" s="1"/>
  <c r="JU360" i="93"/>
  <c r="LU360" i="93" s="1"/>
  <c r="LU377" i="93"/>
  <c r="JN369" i="93"/>
  <c r="JF369" i="93"/>
  <c r="KD369" i="93"/>
  <c r="KL369" i="93"/>
  <c r="JV369" i="93"/>
  <c r="LV369" i="93" s="1"/>
  <c r="DQ369" i="93"/>
  <c r="JE349" i="93"/>
  <c r="LE349" i="93" s="1"/>
  <c r="JM349" i="93"/>
  <c r="LM349" i="93" s="1"/>
  <c r="JU349" i="93"/>
  <c r="LU349" i="93" s="1"/>
  <c r="FP464" i="93"/>
  <c r="FP491" i="93"/>
  <c r="JU387" i="93"/>
  <c r="LU387" i="93" s="1"/>
  <c r="JG360" i="93"/>
  <c r="LG360" i="93" s="1"/>
  <c r="JO360" i="93"/>
  <c r="JW360" i="93"/>
  <c r="LW360" i="93" s="1"/>
  <c r="KE360" i="93"/>
  <c r="ME360" i="93" s="1"/>
  <c r="KM360" i="93"/>
  <c r="MM360" i="93" s="1"/>
  <c r="JG365" i="93"/>
  <c r="JG367" i="93"/>
  <c r="LG367" i="93" s="1"/>
  <c r="JO365" i="93"/>
  <c r="JG382" i="93"/>
  <c r="LG382" i="93" s="1"/>
  <c r="JO382" i="93"/>
  <c r="JW382" i="93"/>
  <c r="KE382" i="93"/>
  <c r="ME382" i="93" s="1"/>
  <c r="JG384" i="93"/>
  <c r="LG384" i="93" s="1"/>
  <c r="JO384" i="93"/>
  <c r="JW384" i="93"/>
  <c r="LW384" i="93" s="1"/>
  <c r="KE384" i="93"/>
  <c r="JG388" i="93"/>
  <c r="LG388" i="93" s="1"/>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MM367" i="93" s="1"/>
  <c r="LU379" i="93"/>
  <c r="KC350" i="93"/>
  <c r="MC350" i="93" s="1"/>
  <c r="KK350" i="93"/>
  <c r="MK350" i="93" s="1"/>
  <c r="LM373" i="93"/>
  <c r="MK373" i="93"/>
  <c r="LM379" i="93"/>
  <c r="KM382" i="93"/>
  <c r="KE388" i="93"/>
  <c r="ME388" i="93" s="1"/>
  <c r="JW390" i="93"/>
  <c r="JG351" i="93"/>
  <c r="LG351" i="93" s="1"/>
  <c r="JO351" i="93"/>
  <c r="LO351" i="93" s="1"/>
  <c r="JW351" i="93"/>
  <c r="LW351" i="93" s="1"/>
  <c r="KE351" i="93"/>
  <c r="ME351" i="93" s="1"/>
  <c r="KM351" i="93"/>
  <c r="JA364" i="93"/>
  <c r="LA364" i="93" s="1"/>
  <c r="JI364" i="93"/>
  <c r="LI364" i="93" s="1"/>
  <c r="JQ364" i="93"/>
  <c r="LQ364" i="93" s="1"/>
  <c r="JY364" i="93"/>
  <c r="LY364" i="93" s="1"/>
  <c r="KG364" i="93"/>
  <c r="KO364" i="93"/>
  <c r="MO364" i="93" s="1"/>
  <c r="IO364" i="93" s="1"/>
  <c r="JA366" i="93"/>
  <c r="LA366" i="93" s="1"/>
  <c r="JI366" i="93"/>
  <c r="JQ366" i="93"/>
  <c r="LQ366" i="93" s="1"/>
  <c r="JY366" i="93"/>
  <c r="LY366" i="93" s="1"/>
  <c r="KG366" i="93"/>
  <c r="MG366" i="93" s="1"/>
  <c r="KO366" i="93"/>
  <c r="MO366" i="93" s="1"/>
  <c r="IO366" i="93" s="1"/>
  <c r="JA368" i="93"/>
  <c r="LA368" i="93" s="1"/>
  <c r="JI368" i="93"/>
  <c r="LI368" i="93" s="1"/>
  <c r="JQ368" i="93"/>
  <c r="LQ368" i="93" s="1"/>
  <c r="JA372" i="93"/>
  <c r="JI372" i="93"/>
  <c r="LI372" i="93" s="1"/>
  <c r="JQ372" i="93"/>
  <c r="LQ372" i="93" s="1"/>
  <c r="JY372" i="93"/>
  <c r="LY372" i="93" s="1"/>
  <c r="KG372" i="93"/>
  <c r="MG372" i="93" s="1"/>
  <c r="KO372" i="93"/>
  <c r="MO372" i="93" s="1"/>
  <c r="IO372" i="93" s="1"/>
  <c r="JA374" i="93"/>
  <c r="LA374" i="93" s="1"/>
  <c r="JI374" i="93"/>
  <c r="LI374" i="93" s="1"/>
  <c r="JQ374" i="93"/>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MI364" i="93" s="1"/>
  <c r="JC366" i="93"/>
  <c r="JK366" i="93"/>
  <c r="LK366" i="93" s="1"/>
  <c r="JC368" i="93"/>
  <c r="LC368" i="93" s="1"/>
  <c r="JC372" i="93"/>
  <c r="LC372" i="93" s="1"/>
  <c r="JK372" i="93"/>
  <c r="LK372" i="93" s="1"/>
  <c r="JS372" i="93"/>
  <c r="LS372" i="93" s="1"/>
  <c r="KA372" i="93"/>
  <c r="KI372" i="93"/>
  <c r="MI372" i="93" s="1"/>
  <c r="KQ372" i="93"/>
  <c r="MQ372" i="93" s="1"/>
  <c r="JC374" i="93"/>
  <c r="LC374" i="93" s="1"/>
  <c r="JK374" i="93"/>
  <c r="LK374" i="93" s="1"/>
  <c r="JS374" i="93"/>
  <c r="LS374" i="93" s="1"/>
  <c r="KA374" i="93"/>
  <c r="MA374" i="93" s="1"/>
  <c r="KI374" i="93"/>
  <c r="MI374" i="93" s="1"/>
  <c r="KQ374" i="93"/>
  <c r="JC376" i="93"/>
  <c r="LC376" i="93" s="1"/>
  <c r="JK376" i="93"/>
  <c r="LK376" i="93" s="1"/>
  <c r="JS376" i="93"/>
  <c r="LS376" i="93" s="1"/>
  <c r="KA376" i="93"/>
  <c r="MA376" i="93" s="1"/>
  <c r="KI376" i="93"/>
  <c r="MI376" i="93" s="1"/>
  <c r="KQ376" i="93"/>
  <c r="MQ376" i="93" s="1"/>
  <c r="JC388" i="93"/>
  <c r="LC388" i="93" s="1"/>
  <c r="JK388" i="93"/>
  <c r="LK388" i="93" s="1"/>
  <c r="JS388" i="93"/>
  <c r="LS388" i="93" s="1"/>
  <c r="KA388" i="93"/>
  <c r="KI388" i="93"/>
  <c r="MI388" i="93" s="1"/>
  <c r="KQ388" i="93"/>
  <c r="MQ388" i="93" s="1"/>
  <c r="JC390" i="93"/>
  <c r="LC390" i="93" s="1"/>
  <c r="JK390" i="93"/>
  <c r="LK390" i="93" s="1"/>
  <c r="JS390" i="93"/>
  <c r="LS390" i="93" s="1"/>
  <c r="KA390" i="93"/>
  <c r="KI390" i="93"/>
  <c r="MI390" i="93" s="1"/>
  <c r="KQ390" i="93"/>
  <c r="MQ390" i="93" s="1"/>
  <c r="JC392" i="93"/>
  <c r="LC392" i="93" s="1"/>
  <c r="JK392" i="93"/>
  <c r="LK392" i="93" s="1"/>
  <c r="JS392" i="93"/>
  <c r="LS392" i="93" s="1"/>
  <c r="KA392" i="93"/>
  <c r="MA392" i="93" s="1"/>
  <c r="KI392" i="93"/>
  <c r="MI392" i="93" s="1"/>
  <c r="JD368" i="93"/>
  <c r="JD372" i="93"/>
  <c r="LD372" i="93" s="1"/>
  <c r="JD386" i="93"/>
  <c r="JL386" i="93"/>
  <c r="LL386" i="93" s="1"/>
  <c r="JT386" i="93"/>
  <c r="LT386" i="93" s="1"/>
  <c r="KB386" i="93"/>
  <c r="MB386" i="93" s="1"/>
  <c r="KJ386" i="93"/>
  <c r="JD388" i="93"/>
  <c r="LD388" i="93" s="1"/>
  <c r="JL388" i="93"/>
  <c r="JT388" i="93"/>
  <c r="LT388" i="93" s="1"/>
  <c r="KB388" i="93"/>
  <c r="MB388" i="93" s="1"/>
  <c r="KJ388" i="93"/>
  <c r="MJ388" i="93" s="1"/>
  <c r="JD390" i="93"/>
  <c r="LD390" i="93" s="1"/>
  <c r="JL390" i="93"/>
  <c r="LL390" i="93" s="1"/>
  <c r="JT390" i="93"/>
  <c r="LT390" i="93" s="1"/>
  <c r="KB390" i="93"/>
  <c r="MB390" i="93" s="1"/>
  <c r="JD392" i="93"/>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JX370" i="93"/>
  <c r="LX370" i="93" s="1"/>
  <c r="KF370" i="93"/>
  <c r="MF370" i="93" s="1"/>
  <c r="JH372" i="93"/>
  <c r="LH372" i="93" s="1"/>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LL381" i="93" s="1"/>
  <c r="JT381" i="93"/>
  <c r="LT381" i="93" s="1"/>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LT387" i="93" s="1"/>
  <c r="KB387" i="93"/>
  <c r="MB387" i="93" s="1"/>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LO373" i="93" s="1"/>
  <c r="JW373" i="93"/>
  <c r="KE373" i="93"/>
  <c r="ME373" i="93" s="1"/>
  <c r="KM373" i="93"/>
  <c r="MM373" i="93" s="1"/>
  <c r="JG375" i="93"/>
  <c r="JO375" i="93"/>
  <c r="LO375" i="93" s="1"/>
  <c r="JW375" i="93"/>
  <c r="LW375" i="93" s="1"/>
  <c r="KE375" i="93"/>
  <c r="ME375" i="93" s="1"/>
  <c r="KM375" i="93"/>
  <c r="MM375" i="93" s="1"/>
  <c r="JG377" i="93"/>
  <c r="LG377" i="93" s="1"/>
  <c r="JO377" i="93"/>
  <c r="LO377" i="93" s="1"/>
  <c r="JW377" i="93"/>
  <c r="LW377" i="93" s="1"/>
  <c r="KE377" i="93"/>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LW387" i="93" s="1"/>
  <c r="KE387" i="93"/>
  <c r="ME387" i="93" s="1"/>
  <c r="JG389" i="93"/>
  <c r="LG389" i="93" s="1"/>
  <c r="JO389" i="93"/>
  <c r="LO389" i="93" s="1"/>
  <c r="JW389" i="93"/>
  <c r="KE389" i="93"/>
  <c r="ME389" i="93" s="1"/>
  <c r="KM389" i="93"/>
  <c r="MM389" i="93" s="1"/>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O360" i="93"/>
  <c r="LE353" i="93"/>
  <c r="LM353" i="93"/>
  <c r="LU353" i="93"/>
  <c r="MC353" i="93"/>
  <c r="MK353" i="93"/>
  <c r="KK384" i="93"/>
  <c r="MK384" i="93" s="1"/>
  <c r="JW358" i="93"/>
  <c r="LW358" i="93" s="1"/>
  <c r="KE358" i="93"/>
  <c r="ME358" i="93" s="1"/>
  <c r="KM358" i="93"/>
  <c r="MM358" i="93" s="1"/>
  <c r="JX358" i="93"/>
  <c r="LX358" i="93" s="1"/>
  <c r="KF358" i="93"/>
  <c r="MF358" i="93" s="1"/>
  <c r="JY358" i="93"/>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JA349" i="93"/>
  <c r="LA349" i="93" s="1"/>
  <c r="KG349" i="93"/>
  <c r="MG349" i="93" s="1"/>
  <c r="LE351" i="93"/>
  <c r="LM351" i="93"/>
  <c r="LU351" i="93"/>
  <c r="MC351" i="93"/>
  <c r="MK351" i="93"/>
  <c r="DQ351" i="93"/>
  <c r="JG353" i="93"/>
  <c r="LG353" i="93" s="1"/>
  <c r="JO353" i="93"/>
  <c r="LO353" i="93" s="1"/>
  <c r="JW353" i="93"/>
  <c r="LW353" i="93" s="1"/>
  <c r="ME369" i="93"/>
  <c r="LW373" i="93"/>
  <c r="LG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LP375" i="93"/>
  <c r="JD376" i="93"/>
  <c r="LD376" i="93" s="1"/>
  <c r="JL376" i="93"/>
  <c r="LL376" i="93" s="1"/>
  <c r="JT376" i="93"/>
  <c r="LT376" i="93" s="1"/>
  <c r="KB376" i="93"/>
  <c r="MB376" i="93" s="1"/>
  <c r="KJ376" i="93"/>
  <c r="MJ376" i="93" s="1"/>
  <c r="LX379" i="93"/>
  <c r="MF379" i="93"/>
  <c r="LP383" i="93"/>
  <c r="MN385" i="93"/>
  <c r="MF391" i="93"/>
  <c r="KE353" i="93"/>
  <c r="ME353" i="93" s="1"/>
  <c r="KM353" i="93"/>
  <c r="MM353" i="93" s="1"/>
  <c r="JA355" i="93"/>
  <c r="LA355" i="93" s="1"/>
  <c r="JI355" i="93"/>
  <c r="LI355" i="93" s="1"/>
  <c r="LY371" i="93"/>
  <c r="KC374" i="93"/>
  <c r="MC374" i="93" s="1"/>
  <c r="KK374" i="93"/>
  <c r="MK374" i="93" s="1"/>
  <c r="LA375" i="93"/>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I383" i="93"/>
  <c r="LY385" i="93"/>
  <c r="MO387" i="93"/>
  <c r="LI391" i="93"/>
  <c r="KF353" i="93"/>
  <c r="MF353" i="93" s="1"/>
  <c r="KN353" i="93"/>
  <c r="MN353" i="93" s="1"/>
  <c r="JB355" i="93"/>
  <c r="LB355" i="93" s="1"/>
  <c r="JJ355" i="93"/>
  <c r="LJ355" i="93" s="1"/>
  <c r="JR355" i="93"/>
  <c r="LR355" i="93" s="1"/>
  <c r="DQ363" i="93"/>
  <c r="LZ369" i="93"/>
  <c r="LR373" i="93"/>
  <c r="MH375" i="93"/>
  <c r="LJ379" i="93"/>
  <c r="LZ381"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MA379" i="93"/>
  <c r="JG380" i="93"/>
  <c r="LG380" i="93" s="1"/>
  <c r="JO380" i="93"/>
  <c r="LO380" i="93" s="1"/>
  <c r="LK381" i="93"/>
  <c r="MA383" i="93"/>
  <c r="LK389" i="93"/>
  <c r="MA391" i="93"/>
  <c r="KI391" i="93"/>
  <c r="MI391" i="93" s="1"/>
  <c r="JB353" i="93"/>
  <c r="LB353" i="93" s="1"/>
  <c r="JJ353" i="93"/>
  <c r="LJ353" i="93" s="1"/>
  <c r="JR353" i="93"/>
  <c r="LR353" i="93" s="1"/>
  <c r="LL369" i="93"/>
  <c r="LT373" i="93"/>
  <c r="KF374" i="93"/>
  <c r="MF374" i="93" s="1"/>
  <c r="KN374" i="93"/>
  <c r="LT375" i="93"/>
  <c r="JH376" i="93"/>
  <c r="LH376" i="93" s="1"/>
  <c r="JP376" i="93"/>
  <c r="LP376" i="93" s="1"/>
  <c r="JX376" i="93"/>
  <c r="LX376" i="93" s="1"/>
  <c r="KF376" i="93"/>
  <c r="MF376" i="93" s="1"/>
  <c r="KN376" i="93"/>
  <c r="MN376" i="93" s="1"/>
  <c r="LT379" i="93"/>
  <c r="MB379" i="93"/>
  <c r="LD383" i="93"/>
  <c r="LL383" i="93"/>
  <c r="MB385" i="93"/>
  <c r="MJ385"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MA372" i="93"/>
  <c r="MQ374" i="93"/>
  <c r="MA388" i="93"/>
  <c r="MA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LI366" i="93"/>
  <c r="JY368" i="93"/>
  <c r="LY368" i="93" s="1"/>
  <c r="KG368" i="93"/>
  <c r="MG368" i="93" s="1"/>
  <c r="KO368" i="93"/>
  <c r="MO368" i="93" s="1"/>
  <c r="LA372" i="93"/>
  <c r="LQ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LR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MB372" i="93"/>
  <c r="LD386" i="93"/>
  <c r="MJ386" i="93"/>
  <c r="LD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P368" i="93"/>
  <c r="KN368" i="93"/>
  <c r="MN368" i="93" s="1"/>
  <c r="LP370"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BX26" i="93"/>
  <c r="BX25" i="93"/>
  <c r="BX24" i="93"/>
  <c r="BX23" i="93"/>
  <c r="BX22" i="93"/>
  <c r="BX21" i="93"/>
  <c r="BX20" i="93"/>
  <c r="JB20" i="93" s="1"/>
  <c r="BX19" i="93"/>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C19" i="93" l="1"/>
  <c r="LC19" i="93" s="1"/>
  <c r="JP27" i="93"/>
  <c r="LP27" i="93" s="1"/>
  <c r="JB19" i="93"/>
  <c r="LB19" i="93" s="1"/>
  <c r="JB27" i="93"/>
  <c r="LB27" i="93" s="1"/>
  <c r="JI19" i="93"/>
  <c r="LI19" i="93" s="1"/>
  <c r="JQ21" i="93"/>
  <c r="LQ21" i="93" s="1"/>
  <c r="LB20" i="93"/>
  <c r="LB28" i="93"/>
  <c r="JI18" i="93"/>
  <c r="LI18" i="93" s="1"/>
  <c r="LM20" i="93"/>
  <c r="JC22" i="93"/>
  <c r="LC22" i="93" s="1"/>
  <c r="JI26" i="93"/>
  <c r="LI26" i="93" s="1"/>
  <c r="LM28" i="93"/>
  <c r="JQ18" i="93"/>
  <c r="LQ18" i="93" s="1"/>
  <c r="JG14" i="93"/>
  <c r="JI22" i="93"/>
  <c r="LI22" i="93" s="1"/>
  <c r="JQ26" i="93"/>
  <c r="LQ26" i="93" s="1"/>
  <c r="JB18" i="93"/>
  <c r="JB26" i="93"/>
  <c r="JA18" i="93"/>
  <c r="LA18" i="93" s="1"/>
  <c r="JA26" i="93"/>
  <c r="LA26" i="93" s="1"/>
  <c r="JD28" i="93"/>
  <c r="LD28" i="93" s="1"/>
  <c r="JF28" i="93"/>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LG22" i="93" s="1"/>
  <c r="HG22" i="93" s="1"/>
  <c r="JC27" i="93"/>
  <c r="LC27" i="93" s="1"/>
  <c r="JI14" i="93"/>
  <c r="LI14" i="93" s="1"/>
  <c r="JF19" i="93"/>
  <c r="LF19" i="93" s="1"/>
  <c r="JK22" i="93"/>
  <c r="LK22" i="93" s="1"/>
  <c r="JF27" i="93"/>
  <c r="LF27" i="93" s="1"/>
  <c r="LB18" i="93"/>
  <c r="LB26" i="93"/>
  <c r="JK14" i="93"/>
  <c r="LK14" i="93" s="1"/>
  <c r="JG19" i="93"/>
  <c r="LG19" i="93" s="1"/>
  <c r="HG19" i="93" s="1"/>
  <c r="LK21" i="93"/>
  <c r="HK21" i="93" s="1"/>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HH116" i="93" s="1"/>
  <c r="JR16" i="93"/>
  <c r="LR16" i="93" s="1"/>
  <c r="KJ136" i="93"/>
  <c r="MJ136" i="93" s="1"/>
  <c r="IJ136" i="93" s="1"/>
  <c r="JH176" i="93"/>
  <c r="LH176" i="93" s="1"/>
  <c r="JL96" i="93"/>
  <c r="LL96" i="93" s="1"/>
  <c r="JT16" i="93"/>
  <c r="LT16" i="93" s="1"/>
  <c r="H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H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KF16" i="93"/>
  <c r="MF16" i="93" s="1"/>
  <c r="JU16" i="93"/>
  <c r="LU16" i="93" s="1"/>
  <c r="JH216" i="93"/>
  <c r="LH216" i="93" s="1"/>
  <c r="HH216" i="93" s="1"/>
  <c r="KI16" i="93"/>
  <c r="MI16" i="93" s="1"/>
  <c r="JH276" i="93"/>
  <c r="LH276" i="93" s="1"/>
  <c r="H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KL36" i="93"/>
  <c r="ML36" i="93" s="1"/>
  <c r="KK96" i="93"/>
  <c r="MK96" i="93" s="1"/>
  <c r="JE176" i="93"/>
  <c r="LE176" i="93" s="1"/>
  <c r="KA176" i="93"/>
  <c r="MA176" i="93" s="1"/>
  <c r="I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JX76" i="93"/>
  <c r="LX76" i="93" s="1"/>
  <c r="JW196" i="93"/>
  <c r="LW196" i="93" s="1"/>
  <c r="KH176" i="93"/>
  <c r="MH176" i="93" s="1"/>
  <c r="JY176" i="93"/>
  <c r="LY176" i="93" s="1"/>
  <c r="H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I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KF156" i="93"/>
  <c r="MF156" i="93" s="1"/>
  <c r="KE116" i="93"/>
  <c r="ME116" i="93" s="1"/>
  <c r="KG256" i="93"/>
  <c r="MG256" i="93" s="1"/>
  <c r="IG256" i="93" s="1"/>
  <c r="JX236" i="93"/>
  <c r="LX236" i="93" s="1"/>
  <c r="JR116" i="93"/>
  <c r="LR116" i="93" s="1"/>
  <c r="H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IQ256" i="93" s="1"/>
  <c r="KC116" i="93"/>
  <c r="MC116" i="93" s="1"/>
  <c r="KB156" i="93"/>
  <c r="MB156" i="93" s="1"/>
  <c r="JN276" i="93"/>
  <c r="LN276" i="93" s="1"/>
  <c r="JS116" i="93"/>
  <c r="LS116" i="93" s="1"/>
  <c r="KQ136" i="93"/>
  <c r="MQ136" i="93" s="1"/>
  <c r="IQ136" i="93" s="1"/>
  <c r="KM196" i="93"/>
  <c r="MM196" i="93" s="1"/>
  <c r="JT36" i="93"/>
  <c r="LT36" i="93" s="1"/>
  <c r="JJ76" i="93"/>
  <c r="LJ76" i="93" s="1"/>
  <c r="H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I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I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HT196" i="93" s="1"/>
  <c r="JJ256" i="93"/>
  <c r="LJ256" i="93" s="1"/>
  <c r="JV116" i="93"/>
  <c r="LV116" i="93" s="1"/>
  <c r="JE36" i="93"/>
  <c r="LE36" i="93" s="1"/>
  <c r="KA56" i="93"/>
  <c r="MA56" i="93" s="1"/>
  <c r="JV176" i="93"/>
  <c r="LV176" i="93" s="1"/>
  <c r="HV176" i="93" s="1"/>
  <c r="JE76" i="93"/>
  <c r="LE76" i="93" s="1"/>
  <c r="KA36" i="93"/>
  <c r="MA36" i="93" s="1"/>
  <c r="JV56" i="93"/>
  <c r="LV56" i="93" s="1"/>
  <c r="H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H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JR76" i="93"/>
  <c r="LR76" i="93" s="1"/>
  <c r="JW276" i="93"/>
  <c r="LW276" i="93" s="1"/>
  <c r="KH276" i="93"/>
  <c r="MH276" i="93" s="1"/>
  <c r="KG136" i="93"/>
  <c r="MG136" i="93" s="1"/>
  <c r="JX136" i="93"/>
  <c r="LX136" i="93" s="1"/>
  <c r="HX136" i="93" s="1"/>
  <c r="JR156" i="93"/>
  <c r="LR156" i="93" s="1"/>
  <c r="KF76" i="93"/>
  <c r="MF76" i="93" s="1"/>
  <c r="IF76" i="93" s="1"/>
  <c r="KE216" i="93"/>
  <c r="ME216" i="93" s="1"/>
  <c r="JZ256" i="93"/>
  <c r="LZ256" i="93" s="1"/>
  <c r="JW56" i="93"/>
  <c r="LW56" i="93" s="1"/>
  <c r="KG176" i="93"/>
  <c r="MG176" i="93" s="1"/>
  <c r="JX196" i="93"/>
  <c r="LX196" i="93" s="1"/>
  <c r="JR56" i="93"/>
  <c r="LR56" i="93" s="1"/>
  <c r="H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HZ116" i="93" s="1"/>
  <c r="KL156" i="93"/>
  <c r="ML156" i="93" s="1"/>
  <c r="JR136" i="93"/>
  <c r="LR136" i="93" s="1"/>
  <c r="HR136" i="93" s="1"/>
  <c r="JZ216" i="93"/>
  <c r="L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O216" i="93"/>
  <c r="IN56" i="93"/>
  <c r="IN256" i="93"/>
  <c r="IP256" i="93"/>
  <c r="IO176" i="93"/>
  <c r="IN236" i="93"/>
  <c r="IO56" i="93"/>
  <c r="IP196" i="93"/>
  <c r="IN1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I136" i="93"/>
  <c r="IQ96" i="93"/>
  <c r="IQ156" i="93"/>
  <c r="IQ196" i="93"/>
  <c r="II216" i="93"/>
  <c r="II116" i="93"/>
  <c r="II276" i="93"/>
  <c r="IQ116" i="93"/>
  <c r="IQ7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5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J236" i="93"/>
  <c r="HJ276" i="93"/>
  <c r="HN56" i="93"/>
  <c r="IA276" i="93"/>
  <c r="HJ216" i="93"/>
  <c r="ID96" i="93"/>
  <c r="HV136" i="93"/>
  <c r="IG116" i="93"/>
  <c r="IC36" i="93"/>
  <c r="IA196" i="93"/>
  <c r="HU96" i="93"/>
  <c r="HN76" i="93"/>
  <c r="HS276" i="93"/>
  <c r="HS136" i="93"/>
  <c r="HS156" i="93"/>
  <c r="HZ176" i="93"/>
  <c r="II36" i="93"/>
  <c r="IC76" i="93"/>
  <c r="IB116" i="93"/>
  <c r="IC96" i="93"/>
  <c r="IC236" i="93"/>
  <c r="HS236" i="93"/>
  <c r="ID156" i="93"/>
  <c r="HU156" i="93"/>
  <c r="HJ256" i="93"/>
  <c r="HT36" i="93"/>
  <c r="HT76" i="93"/>
  <c r="HJ116" i="93"/>
  <c r="ID196" i="93"/>
  <c r="HV96" i="93"/>
  <c r="IH76" i="93"/>
  <c r="IE216" i="93"/>
  <c r="IF216" i="93"/>
  <c r="HR216" i="93"/>
  <c r="IA156" i="93"/>
  <c r="IC116" i="93"/>
  <c r="IH276" i="93"/>
  <c r="HY196" i="93"/>
  <c r="HV276" i="93"/>
  <c r="IE56" i="93"/>
  <c r="IH256" i="93"/>
  <c r="IF96" i="93"/>
  <c r="HZ96" i="93"/>
  <c r="HE96" i="93"/>
  <c r="HN136" i="93"/>
  <c r="HY156" i="93"/>
  <c r="HY36" i="93"/>
  <c r="IF256" i="93"/>
  <c r="HZ256" i="93"/>
  <c r="IG176" i="93"/>
  <c r="HS116" i="93"/>
  <c r="HE256" i="93"/>
  <c r="IC56" i="93"/>
  <c r="HS56" i="93"/>
  <c r="IG216" i="93"/>
  <c r="IF156" i="93"/>
  <c r="HX236" i="93"/>
  <c r="IH36" i="93"/>
  <c r="IA36" i="93"/>
  <c r="HN176" i="93"/>
  <c r="IC196" i="93"/>
  <c r="IH56" i="93"/>
  <c r="IE156" i="93"/>
  <c r="HZ136" i="93"/>
  <c r="HR76" i="93"/>
  <c r="HZ56" i="93"/>
  <c r="HR176" i="93"/>
  <c r="HE156" i="93"/>
  <c r="IA56" i="93"/>
  <c r="IC176" i="93"/>
  <c r="HS176" i="93"/>
  <c r="HR256" i="93"/>
  <c r="IG136" i="93"/>
  <c r="HZ216" i="93"/>
  <c r="ID256" i="93"/>
  <c r="HE176" i="93"/>
  <c r="HE76" i="93"/>
  <c r="HU76" i="93"/>
  <c r="IG76" i="93"/>
  <c r="IF36" i="93"/>
  <c r="HY56" i="93"/>
  <c r="IF236" i="93"/>
  <c r="IG196" i="93"/>
  <c r="IF136" i="93"/>
  <c r="HW36" i="93"/>
  <c r="HE196" i="93"/>
  <c r="HE36" i="93"/>
  <c r="HJ136" i="93"/>
  <c r="HZ276" i="93"/>
  <c r="ID56" i="93"/>
  <c r="HT276" i="93"/>
  <c r="ID216" i="93"/>
  <c r="HU216" i="93"/>
  <c r="HR236" i="93"/>
  <c r="IH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<sst xmlns="http://schemas.openxmlformats.org/spreadsheetml/2006/main" count="4486" uniqueCount="2763">
  <si>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</si>
  <si>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</si>
  <si>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</si>
  <si>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</si>
  <si>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</si>
  <si>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</si>
  <si>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</si>
  <si>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</si>
  <si>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</si>
  <si>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</si>
  <si>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</si>
  <si>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</si>
  <si>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</si>
  <si>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</si>
  <si>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</si>
  <si>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</si>
  <si>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</si>
  <si>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</si>
  <si>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</si>
  <si>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</si>
  <si>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</si>
  <si>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</si>
  <si>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</si>
  <si>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</si>
  <si>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</si>
  <si>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</si>
  <si>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</si>
  <si>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</si>
  <si>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</si>
  <si>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</si>
  <si>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</si>
  <si>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</si>
  <si>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</si>
  <si>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</si>
  <si>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</si>
  <si>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</si>
  <si>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</si>
  <si>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</si>
  <si>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</si>
  <si>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</si>
  <si>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</si>
  <si>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</si>
  <si>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</si>
  <si>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</si>
  <si>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</si>
  <si>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</si>
  <si>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</si>
  <si>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</si>
  <si>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</si>
  <si>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</si>
  <si>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</si>
  <si>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</si>
  <si>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</si>
  <si>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</si>
  <si>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</si>
  <si>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</si>
  <si>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</si>
  <si>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</si>
  <si>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</si>
  <si>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</si>
  <si>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</si>
  <si>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</si>
  <si>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</si>
  <si>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</si>
  <si>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</si>
  <si>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</si>
  <si>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</si>
  <si>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</si>
  <si>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</si>
  <si>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</si>
  <si>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</si>
  <si>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</si>
  <si>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</si>
  <si>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</si>
  <si>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</si>
  <si>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</si>
  <si>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</si>
  <si>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</si>
  <si>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</si>
  <si>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</si>
  <si>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</si>
  <si>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</si>
  <si>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</si>
  <si>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</si>
  <si>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</si>
  <si>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</si>
  <si>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</si>
  <si>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</si>
  <si>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</si>
  <si>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</si>
  <si>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</si>
  <si>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</si>
  <si>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</si>
  <si>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</si>
  <si>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</si>
  <si>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</si>
  <si>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</si>
  <si>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</si>
  <si>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</si>
  <si>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</si>
  <si>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</si>
  <si>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</si>
  <si>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</si>
  <si>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</si>
  <si>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</si>
  <si>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</si>
  <si>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</si>
  <si>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</si>
  <si>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</si>
  <si>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</si>
  <si>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</si>
  <si>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</si>
  <si>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</si>
  <si>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</si>
  <si>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</si>
  <si>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</si>
  <si>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</si>
  <si>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</si>
  <si>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</si>
  <si>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</si>
  <si>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</si>
  <si>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</si>
  <si>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</si>
  <si>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</si>
  <si>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</si>
  <si>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</si>
  <si>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</si>
  <si>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</si>
  <si>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</si>
  <si>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</si>
  <si>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</si>
  <si>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</si>
  <si>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</si>
  <si>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</si>
  <si>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</si>
  <si>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</si>
  <si>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</si>
  <si>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</si>
  <si>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</si>
  <si>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</si>
  <si>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</si>
  <si>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</si>
  <si>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</si>
  <si>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</si>
  <si>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</si>
  <si>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</si>
  <si>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</si>
  <si>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</si>
  <si>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</si>
  <si>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</si>
  <si>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</si>
  <si>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</si>
  <si>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</si>
  <si>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</si>
  <si>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</si>
  <si>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</si>
  <si>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</si>
  <si>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</si>
  <si>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</si>
  <si>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</si>
  <si>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</si>
  <si>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</si>
  <si>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</si>
  <si>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</si>
  <si>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</si>
  <si>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</si>
  <si>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</si>
  <si>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</si>
  <si>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</si>
  <si>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</si>
  <si>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</si>
  <si>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</si>
  <si>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</si>
  <si>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</si>
  <si>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</si>
  <si>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</si>
  <si>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</si>
  <si>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</si>
  <si>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</si>
  <si>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</si>
  <si>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</si>
  <si>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</si>
  <si>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</si>
  <si>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</si>
  <si>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</si>
  <si>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</si>
  <si>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</si>
  <si>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</si>
  <si>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</si>
  <si>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</si>
  <si>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</si>
  <si>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</si>
  <si>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</si>
  <si>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</si>
  <si>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</si>
  <si>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</si>
  <si>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</si>
  <si>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</si>
  <si>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</si>
  <si>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</si>
  <si>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</si>
  <si>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</si>
  <si>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</si>
  <si>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</si>
  <si>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</si>
  <si>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</si>
  <si>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</si>
  <si>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</si>
  <si>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</si>
  <si>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</si>
  <si>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</si>
  <si>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</si>
  <si>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</si>
  <si>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</si>
  <si>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</si>
  <si>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</si>
  <si>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</si>
  <si>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</si>
  <si>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</si>
  <si>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</si>
  <si>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</si>
  <si>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</si>
  <si>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</si>
  <si>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</si>
  <si>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</si>
  <si>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</si>
  <si>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</si>
  <si>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</si>
  <si>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</si>
  <si>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</si>
  <si>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</si>
  <si>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</si>
  <si>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</si>
  <si>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</si>
  <si>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</si>
  <si>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</si>
  <si>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</si>
  <si>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</si>
  <si>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</si>
  <si>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</si>
  <si>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</si>
  <si>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</si>
  <si>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</si>
  <si>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</si>
  <si>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</si>
  <si>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</si>
  <si>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</si>
  <si>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</si>
  <si>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</si>
  <si>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</si>
  <si>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</si>
  <si>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</si>
  <si>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</si>
  <si>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</si>
  <si>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</si>
  <si>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</si>
  <si>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</si>
  <si>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</si>
  <si>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</si>
  <si>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</si>
  <si>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</si>
  <si>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</si>
  <si>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</si>
  <si>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</si>
  <si>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</si>
  <si>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</si>
  <si>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</si>
  <si>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</si>
  <si>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</si>
  <si>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</si>
  <si>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</si>
  <si>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</si>
  <si>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</si>
  <si>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</si>
  <si>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</si>
  <si>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</si>
  <si>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</si>
  <si>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</si>
  <si>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</si>
  <si>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</si>
  <si>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</si>
  <si>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</si>
  <si>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</si>
  <si>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</si>
  <si>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</si>
  <si>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</si>
  <si>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</si>
  <si>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</si>
  <si>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</si>
  <si>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</si>
  <si>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</si>
  <si>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</si>
  <si>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</si>
  <si>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</si>
  <si>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</si>
  <si>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</si>
  <si>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</si>
  <si>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</si>
  <si>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</si>
  <si>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</si>
  <si>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</si>
  <si>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</si>
  <si>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</si>
  <si>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</si>
  <si>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</si>
  <si>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</si>
  <si>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</si>
  <si>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</si>
  <si>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</si>
  <si>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</si>
  <si>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</si>
  <si>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</si>
  <si>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</si>
  <si>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</si>
  <si>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</si>
  <si>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</si>
  <si>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</si>
  <si>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</si>
  <si>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</si>
  <si>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</si>
  <si>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</si>
  <si>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</si>
  <si>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</si>
  <si>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</si>
  <si>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</si>
  <si>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</si>
  <si>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</si>
  <si>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</si>
  <si>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</si>
  <si>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</si>
  <si>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</si>
  <si>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</si>
  <si>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</si>
  <si>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</si>
  <si>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</si>
  <si>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</si>
  <si>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</si>
  <si>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</si>
  <si>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</si>
  <si>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</si>
  <si>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</si>
  <si>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</si>
  <si>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</si>
  <si>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</si>
  <si>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</si>
  <si>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</si>
  <si>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</si>
  <si>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</si>
  <si>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</si>
  <si>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</si>
  <si>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</si>
  <si>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</si>
  <si>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</si>
  <si>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</si>
  <si>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</si>
  <si>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</si>
  <si>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</si>
  <si>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</si>
  <si>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</si>
  <si>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</si>
  <si>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</si>
  <si>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</si>
  <si>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</si>
  <si>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</si>
  <si>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</si>
  <si>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</si>
  <si>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</si>
  <si>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</si>
  <si>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</si>
  <si>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</si>
  <si>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</si>
  <si>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</si>
  <si>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</si>
  <si>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</si>
  <si>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</si>
  <si>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</si>
  <si>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</si>
  <si>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</si>
  <si>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</si>
  <si>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</si>
  <si>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</si>
  <si>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</si>
  <si>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</si>
  <si>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</si>
  <si>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</si>
  <si>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</si>
  <si>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</si>
  <si>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</si>
  <si>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</si>
  <si>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</si>
  <si>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</si>
  <si>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</si>
  <si>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</si>
  <si>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</si>
  <si>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</si>
  <si>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</si>
  <si>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</si>
  <si>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</si>
  <si>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</si>
  <si>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</si>
  <si>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</si>
  <si>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</si>
  <si>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</si>
  <si>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</si>
  <si>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</si>
  <si>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</si>
  <si>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</si>
  <si>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</si>
  <si>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</si>
  <si>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</si>
  <si>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</si>
  <si>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</si>
  <si>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</si>
  <si>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</si>
  <si>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</si>
  <si>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</si>
  <si>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</si>
  <si>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</si>
  <si>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</si>
  <si>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</si>
  <si>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</si>
  <si>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</si>
  <si>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</si>
  <si>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</si>
  <si>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</si>
  <si>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</si>
  <si>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</si>
  <si>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</si>
  <si>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</si>
  <si>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</si>
  <si>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</si>
  <si>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</si>
  <si>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</si>
  <si>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</si>
  <si>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</si>
  <si>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</si>
  <si>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</si>
  <si>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</si>
  <si>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</si>
  <si>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</si>
  <si>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</si>
  <si>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</si>
  <si>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</si>
  <si>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</si>
  <si>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</si>
  <si>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</si>
  <si>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</si>
  <si>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</si>
  <si>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</si>
  <si>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</si>
  <si>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</si>
  <si>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</si>
  <si>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</si>
  <si>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</si>
  <si>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</si>
  <si>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</si>
  <si>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</si>
  <si>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</si>
  <si>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</si>
  <si>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</si>
  <si>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</si>
  <si>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</si>
  <si>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</si>
  <si>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</si>
  <si>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</si>
  <si>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</si>
  <si>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</si>
  <si>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</si>
  <si>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</si>
  <si>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</si>
  <si>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</si>
  <si>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</si>
  <si>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</si>
  <si>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</si>
  <si>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</si>
  <si>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</si>
  <si>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</si>
  <si>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</si>
  <si>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</si>
  <si>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</si>
  <si>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</si>
  <si>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</si>
  <si>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</si>
  <si>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</si>
  <si>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</si>
  <si>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</si>
  <si>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</si>
  <si>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</si>
  <si>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</si>
  <si>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</si>
  <si>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</si>
  <si>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</si>
  <si>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</si>
  <si>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</si>
  <si>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</si>
  <si>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</si>
  <si>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</si>
  <si>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</si>
  <si>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</si>
  <si>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</si>
  <si>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</si>
  <si>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</si>
  <si>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</si>
  <si>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</si>
  <si>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</si>
  <si>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</si>
  <si>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</si>
  <si>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</si>
  <si>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</si>
  <si>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</si>
  <si>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</si>
  <si>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</si>
  <si>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</si>
  <si>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</si>
  <si>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</si>
  <si>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</si>
  <si>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</si>
  <si>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</si>
  <si>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</si>
  <si>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</si>
  <si>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</si>
  <si>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</si>
  <si>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</si>
  <si>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</si>
  <si>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</si>
  <si>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</si>
  <si>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</si>
  <si>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</si>
  <si>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</si>
  <si>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</si>
  <si>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</si>
  <si>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</si>
  <si>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</si>
  <si>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</si>
  <si>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</si>
  <si>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</si>
  <si>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</si>
  <si>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</si>
  <si>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</si>
  <si>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</si>
  <si>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</si>
  <si>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</si>
  <si>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</si>
  <si>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</si>
  <si>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</si>
  <si>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</si>
  <si>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</si>
  <si>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</si>
  <si>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</si>
  <si>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</si>
  <si>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</si>
  <si>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</si>
  <si>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</si>
  <si>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</si>
  <si>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</si>
  <si>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</si>
  <si>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</si>
  <si>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</si>
  <si>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</si>
  <si>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</si>
  <si>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</si>
  <si>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</si>
  <si>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</si>
  <si>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</si>
  <si>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</si>
  <si>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</si>
  <si>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</si>
  <si>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</si>
  <si>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</si>
  <si>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</si>
  <si>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</si>
  <si>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</si>
  <si>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</si>
  <si>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</si>
  <si>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</si>
  <si>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</si>
  <si>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</si>
  <si>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</si>
  <si>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</si>
  <si>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</si>
  <si>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</si>
  <si>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</si>
  <si>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</si>
  <si>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</si>
  <si>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</si>
  <si>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</si>
  <si>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</si>
  <si>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</si>
  <si>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</si>
  <si>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</si>
  <si>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</si>
  <si>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</si>
  <si>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</si>
  <si>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</si>
  <si>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</si>
  <si>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</si>
  <si>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</si>
  <si>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</si>
  <si>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</si>
  <si>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</si>
  <si>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</si>
  <si>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</si>
  <si>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</si>
  <si>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</si>
  <si>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</si>
  <si>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</si>
  <si>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</si>
  <si>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</si>
  <si>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</si>
  <si>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</si>
  <si>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</si>
  <si>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</si>
  <si>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</si>
  <si>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</si>
  <si>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</si>
  <si>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</si>
  <si>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</si>
  <si>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</si>
  <si>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</si>
  <si>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</si>
  <si>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</si>
  <si>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</si>
  <si>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</si>
  <si>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</si>
  <si>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</si>
  <si>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</si>
  <si>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</si>
  <si>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</si>
  <si>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</si>
  <si>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</si>
  <si>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</si>
  <si>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</si>
  <si>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</si>
  <si>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</si>
  <si>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</si>
  <si>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</si>
  <si>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</si>
  <si>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</si>
  <si>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</si>
  <si>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</si>
  <si>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</si>
  <si>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</si>
  <si>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</si>
  <si>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</si>
  <si>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</si>
  <si>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</si>
  <si>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</si>
  <si>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</si>
  <si>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</si>
  <si>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</si>
  <si>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</si>
  <si>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</si>
  <si>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</si>
  <si>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</si>
  <si>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</si>
  <si>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</si>
  <si>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</si>
  <si>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</si>
  <si>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</si>
  <si>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</si>
  <si>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</si>
  <si>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</si>
  <si>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</si>
  <si>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</si>
  <si>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</si>
  <si>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</si>
  <si>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</si>
  <si>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</si>
  <si>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</si>
  <si>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</si>
  <si>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</si>
  <si>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</si>
  <si>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</si>
  <si>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</si>
  <si>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</si>
  <si>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</si>
  <si>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</si>
  <si>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</si>
  <si>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</si>
  <si>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</si>
  <si>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</si>
  <si>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</si>
  <si>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</si>
  <si>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</si>
  <si>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</si>
  <si>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</si>
  <si>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</si>
  <si>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</si>
  <si>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</si>
  <si>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</si>
  <si>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</si>
  <si>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</si>
  <si>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</si>
  <si>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</si>
  <si>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</si>
  <si>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</si>
  <si>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</si>
  <si>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</si>
  <si>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</si>
  <si>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</si>
  <si>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</si>
  <si>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</si>
  <si>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</si>
  <si>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</si>
  <si>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</si>
  <si>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</si>
  <si>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</si>
  <si>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</si>
  <si>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</si>
  <si>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</si>
  <si>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</si>
  <si>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</si>
  <si>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</si>
  <si>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</si>
  <si>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</si>
  <si>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</si>
  <si>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</si>
  <si>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</si>
  <si>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</si>
  <si>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</si>
  <si>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</si>
  <si>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</si>
  <si>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</si>
  <si>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</si>
  <si>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</si>
  <si>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</si>
  <si>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</si>
  <si>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</si>
  <si>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</si>
  <si>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</si>
  <si>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</si>
  <si>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</si>
  <si>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</si>
  <si>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</si>
  <si>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</si>
  <si>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</si>
  <si>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</si>
  <si>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</si>
  <si>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</si>
  <si>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</si>
  <si>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</si>
  <si>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</si>
  <si>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</si>
  <si>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</si>
  <si>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</si>
  <si>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</si>
  <si>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</si>
  <si>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</si>
  <si>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</si>
  <si>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</si>
  <si>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</si>
  <si>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</si>
  <si>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</si>
  <si>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</si>
  <si>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</si>
  <si>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</si>
  <si>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</si>
  <si>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</si>
  <si>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</si>
  <si>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</si>
  <si>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</si>
  <si>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</si>
  <si>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</si>
  <si>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</si>
  <si>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</si>
  <si>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</si>
  <si>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</si>
  <si>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</si>
  <si>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</si>
  <si>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</si>
  <si>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</si>
  <si>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</si>
  <si>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</si>
  <si>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</si>
  <si>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</si>
  <si>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</si>
  <si>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</si>
  <si>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</si>
  <si>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</si>
  <si>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</si>
  <si>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</si>
  <si>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</si>
  <si>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</si>
  <si>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</si>
  <si>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</si>
  <si>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</si>
  <si>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</si>
  <si>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</si>
  <si>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</si>
  <si>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</si>
  <si>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</si>
  <si>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</si>
  <si>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</si>
  <si>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</si>
  <si>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</si>
  <si>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</si>
  <si>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</si>
  <si>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</si>
  <si>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</si>
  <si>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</si>
  <si>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</si>
  <si>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</si>
  <si>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</si>
  <si>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</si>
  <si>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</si>
  <si>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</si>
  <si>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</si>
  <si>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</si>
  <si>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</si>
  <si>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</si>
  <si>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</si>
  <si>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</si>
  <si>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</si>
  <si>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</si>
  <si>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</si>
  <si>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</si>
  <si>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</si>
  <si>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</si>
  <si>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</si>
  <si>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</si>
  <si>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</si>
  <si>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</si>
  <si>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</si>
  <si>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</si>
  <si>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</si>
  <si>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</si>
  <si>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</si>
  <si>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</si>
  <si>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</si>
  <si>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</si>
  <si>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</si>
  <si>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</si>
  <si>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</si>
  <si>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</si>
  <si>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</si>
  <si>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</si>
  <si>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</si>
  <si>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</si>
  <si>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</si>
  <si>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</si>
  <si>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</si>
  <si>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</si>
  <si>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</si>
  <si>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</si>
  <si>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</si>
  <si>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</si>
  <si>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</si>
  <si>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</si>
  <si>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</si>
  <si>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</si>
  <si>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</si>
  <si>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</si>
  <si>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</si>
  <si>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</si>
  <si>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</si>
  <si>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</si>
  <si>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</si>
  <si>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</si>
  <si>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</si>
  <si>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</si>
  <si>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</si>
  <si>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</si>
  <si>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</si>
  <si>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</si>
  <si>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</si>
  <si>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</si>
  <si>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</si>
  <si>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</si>
  <si>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</si>
  <si>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</si>
  <si>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</si>
  <si>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</si>
  <si>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</si>
  <si>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</si>
  <si>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</si>
  <si>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</si>
  <si>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</si>
  <si>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</si>
  <si>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</si>
  <si>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</si>
  <si>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</si>
  <si>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</si>
  <si>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</si>
  <si>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</si>
  <si>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</si>
  <si>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</si>
  <si>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</si>
  <si>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</si>
  <si>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</si>
  <si>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</si>
  <si>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</si>
  <si>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</si>
  <si>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</si>
  <si>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</si>
  <si>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</si>
  <si>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</si>
  <si>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</si>
  <si>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</si>
  <si>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</si>
  <si>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</si>
  <si>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</si>
  <si>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</si>
  <si>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</si>
  <si>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</si>
  <si>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</si>
  <si>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</si>
  <si>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</si>
  <si>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</si>
  <si>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</si>
  <si>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</si>
  <si>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</si>
  <si>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</si>
  <si>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</si>
  <si>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</si>
  <si>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</si>
  <si>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</si>
  <si>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</si>
  <si>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</si>
  <si>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</si>
  <si>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</si>
  <si>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</si>
  <si>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</si>
  <si>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</si>
  <si>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</si>
  <si>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</si>
  <si>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</si>
  <si>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</si>
  <si>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</si>
  <si>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</si>
  <si>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</si>
  <si>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</si>
  <si>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</si>
  <si>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</si>
  <si>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</si>
  <si>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</si>
  <si>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</si>
  <si>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</si>
  <si>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</si>
  <si>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</si>
  <si>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</si>
  <si>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</si>
  <si>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</si>
  <si>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</si>
  <si>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</si>
  <si>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</si>
  <si>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</si>
  <si>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</si>
  <si>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</si>
  <si>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</si>
  <si>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</si>
  <si>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</si>
  <si>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</si>
  <si>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</si>
  <si>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</si>
  <si>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</si>
  <si>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</si>
  <si>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</si>
  <si>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</si>
  <si>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</si>
  <si>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</si>
  <si>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</si>
  <si>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</si>
  <si>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</si>
  <si>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</si>
  <si>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</si>
  <si>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</si>
  <si>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</si>
  <si>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</si>
  <si>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</si>
  <si>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</si>
  <si>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</si>
  <si>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</si>
  <si>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</si>
  <si>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</si>
  <si>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</si>
  <si>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</si>
  <si>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</si>
  <si>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</si>
  <si>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</si>
  <si>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</si>
  <si>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</si>
  <si>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</si>
  <si>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</si>
  <si>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</si>
  <si>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</si>
  <si>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</si>
  <si>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</si>
  <si>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</si>
  <si>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</si>
  <si>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</si>
  <si>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</si>
  <si>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</si>
  <si>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</si>
  <si>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</si>
  <si>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</si>
  <si>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</si>
  <si>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</si>
  <si>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</si>
  <si>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</si>
  <si>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</si>
  <si>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</si>
  <si>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</si>
  <si>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</si>
  <si>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</si>
  <si>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</si>
  <si>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</si>
  <si>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</si>
  <si>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</si>
  <si>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</si>
  <si>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</si>
  <si>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</si>
  <si>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</si>
  <si>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</si>
  <si>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</si>
  <si>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</si>
  <si>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</si>
  <si>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</si>
  <si>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</si>
  <si>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</si>
  <si>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</si>
  <si>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</si>
  <si>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</si>
  <si>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</si>
  <si>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</si>
  <si>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</si>
  <si>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</si>
  <si>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</si>
  <si>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</si>
  <si>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</si>
  <si>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</si>
  <si>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</si>
  <si>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</si>
  <si>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</si>
  <si>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</si>
  <si>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</si>
  <si>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</si>
  <si>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</si>
  <si>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</si>
  <si>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</si>
  <si>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</si>
  <si>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</si>
  <si>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</si>
  <si>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</si>
  <si>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</si>
  <si>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</si>
  <si>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</si>
  <si>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</si>
  <si>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</si>
  <si>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</si>
  <si>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</si>
  <si>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</si>
  <si>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</si>
  <si>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</si>
  <si>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</si>
  <si>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</si>
  <si>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</si>
  <si>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</si>
  <si>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</si>
  <si>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</si>
  <si>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</si>
  <si>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</si>
  <si>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</si>
  <si>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</si>
  <si>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</si>
  <si>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</si>
  <si>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</si>
  <si>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</si>
  <si>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</si>
  <si>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</si>
  <si>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</si>
  <si>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</si>
  <si>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</si>
  <si>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</si>
  <si>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</si>
  <si>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</si>
  <si>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</si>
  <si>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</si>
  <si>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</si>
  <si>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</si>
  <si>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</si>
  <si>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</si>
  <si>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</si>
  <si>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</si>
  <si>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</si>
  <si>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</si>
  <si>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</si>
  <si>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</si>
  <si>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</si>
  <si>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</si>
  <si>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</si>
  <si>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</si>
  <si>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</si>
  <si>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</si>
  <si>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</si>
  <si>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</si>
  <si>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</si>
  <si>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</si>
  <si>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</si>
  <si>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</si>
  <si>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</si>
  <si>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</si>
  <si>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</si>
  <si>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</si>
  <si>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</si>
  <si>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</si>
  <si>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</si>
  <si>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</si>
  <si>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</si>
  <si>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</si>
  <si>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</si>
  <si>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</si>
  <si>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</si>
  <si>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</si>
  <si>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</si>
  <si>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</si>
  <si>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</si>
  <si>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</si>
  <si>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</si>
  <si>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</si>
  <si>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</si>
  <si>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</si>
  <si>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</si>
  <si>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</si>
  <si>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</si>
  <si>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</si>
  <si>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</si>
  <si>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</si>
  <si>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</si>
  <si>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</si>
  <si>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</si>
  <si>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</si>
  <si>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</si>
  <si>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</si>
  <si>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</si>
  <si>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</si>
  <si>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</si>
  <si>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</si>
  <si>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</si>
  <si>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</si>
  <si>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</si>
  <si>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</si>
  <si>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</si>
  <si>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</si>
  <si>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</si>
  <si>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</si>
  <si>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</si>
  <si>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</si>
  <si>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</si>
  <si>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</si>
  <si>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</si>
  <si>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</si>
  <si>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</si>
  <si>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</si>
  <si>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</si>
  <si>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</si>
  <si>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</si>
  <si>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</si>
  <si>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</si>
  <si>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</si>
  <si>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</si>
  <si>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</si>
  <si>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</si>
  <si>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</si>
  <si>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</si>
  <si>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</si>
  <si>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</si>
  <si>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</si>
  <si>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</si>
  <si>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</si>
  <si>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</si>
  <si>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</si>
  <si>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</si>
  <si>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</si>
  <si>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</si>
  <si>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</si>
  <si>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</si>
  <si>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</si>
  <si>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</si>
  <si>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</si>
  <si>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</si>
  <si>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</si>
  <si>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</si>
  <si>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</si>
  <si>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</si>
  <si>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</si>
  <si>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</si>
  <si>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</si>
  <si>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</si>
  <si>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</si>
  <si>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</si>
  <si>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</si>
  <si>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</si>
  <si>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</si>
  <si>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</si>
  <si>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</si>
  <si>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</si>
  <si>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</si>
  <si>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</si>
  <si>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</si>
  <si>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</si>
  <si>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</si>
  <si>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</si>
  <si>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</si>
  <si>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</si>
  <si>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</si>
  <si>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</si>
  <si>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</si>
  <si>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</si>
  <si>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</si>
  <si>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</si>
  <si>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</si>
  <si>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</si>
  <si>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</si>
  <si>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</si>
  <si>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</si>
  <si>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</si>
  <si>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</si>
  <si>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</si>
  <si>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</si>
  <si>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</si>
  <si>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</si>
  <si>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</si>
  <si>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</si>
  <si>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</si>
  <si>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</si>
  <si>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</si>
  <si>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</si>
  <si>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</si>
  <si>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</si>
  <si>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</si>
  <si>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</si>
  <si>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</si>
  <si>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</si>
  <si>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</si>
  <si>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</si>
  <si>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</si>
  <si>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</si>
  <si>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</si>
  <si>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</si>
  <si>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</si>
  <si>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</si>
  <si>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</si>
  <si>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</si>
  <si>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</si>
  <si>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</si>
  <si>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</si>
  <si>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</si>
  <si>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</si>
  <si>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</si>
  <si>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</si>
  <si>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</si>
  <si>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</si>
  <si>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</si>
  <si>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</si>
  <si>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</si>
  <si>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</si>
  <si>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</si>
  <si>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</si>
  <si>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</si>
  <si>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</si>
  <si>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</si>
  <si>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</si>
  <si>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</si>
  <si>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</si>
  <si>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</si>
  <si>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</si>
  <si>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</si>
  <si>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</si>
  <si>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</si>
  <si>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</si>
  <si>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</si>
  <si>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</si>
  <si>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</si>
  <si>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</si>
  <si>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</si>
  <si>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</si>
  <si>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</si>
  <si>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</si>
  <si>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</si>
  <si>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</si>
  <si>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</si>
  <si>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</si>
  <si>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</si>
  <si>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</si>
  <si>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</si>
  <si>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</si>
  <si>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</si>
  <si>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</si>
  <si>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</si>
  <si>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</si>
  <si>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</si>
  <si>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</si>
  <si>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</si>
  <si>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</si>
  <si>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</si>
  <si>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</si>
  <si>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</si>
  <si>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</si>
  <si>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</si>
  <si>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</si>
  <si>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</si>
  <si>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</si>
  <si>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</si>
  <si>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</si>
  <si>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</si>
  <si>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</si>
  <si>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</si>
  <si>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</si>
  <si>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</si>
  <si>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</si>
  <si>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</si>
  <si>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</si>
  <si>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</si>
  <si>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</si>
  <si>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</si>
  <si>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</si>
  <si>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</si>
  <si>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</si>
  <si>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</si>
  <si>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</si>
  <si>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</si>
  <si>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</si>
  <si>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</si>
  <si>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</si>
  <si>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</si>
  <si>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</si>
  <si>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</si>
  <si>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</si>
  <si>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</si>
  <si>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</si>
  <si>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</si>
  <si>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</si>
  <si>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</si>
  <si>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</si>
  <si>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</si>
  <si>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</si>
  <si>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</si>
  <si>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</si>
  <si>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</si>
  <si>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</si>
  <si>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</si>
  <si>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</si>
  <si>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</si>
  <si>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</si>
  <si>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</si>
  <si>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</si>
  <si>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</si>
  <si>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</si>
  <si>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</si>
  <si>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</si>
  <si>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</si>
  <si>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</si>
  <si>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</si>
  <si>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</si>
  <si>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</si>
  <si>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</si>
  <si>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</si>
  <si>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</si>
  <si>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</si>
  <si>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</si>
  <si>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</si>
  <si>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</si>
  <si>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</si>
  <si>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</si>
  <si>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</si>
  <si>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</si>
  <si>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</si>
  <si>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</si>
  <si>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</si>
  <si>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</si>
  <si>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</si>
  <si>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</si>
  <si>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</si>
  <si>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</si>
  <si>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</si>
  <si>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</si>
  <si>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</si>
  <si>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</si>
  <si>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</si>
  <si>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</si>
  <si>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</si>
  <si>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</si>
  <si>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</si>
  <si>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</si>
  <si>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</si>
  <si>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</si>
  <si>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</si>
  <si>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</si>
  <si>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</si>
  <si>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</si>
  <si>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</si>
  <si>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</si>
  <si>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</si>
  <si>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</si>
  <si>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</si>
  <si>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</si>
  <si>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</si>
  <si>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</si>
  <si>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</si>
  <si>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</si>
  <si>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</si>
  <si>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</si>
  <si>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</si>
  <si>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</si>
  <si>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</si>
  <si>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</si>
  <si>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</si>
  <si>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</si>
  <si>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</si>
  <si>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</si>
  <si>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</si>
  <si>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</si>
  <si>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</si>
  <si>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</si>
  <si>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</si>
  <si>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</si>
  <si>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</si>
  <si>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</si>
  <si>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</si>
  <si>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</si>
  <si>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</si>
  <si>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</si>
  <si>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</si>
  <si>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</si>
  <si>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</si>
  <si>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</si>
  <si>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</si>
  <si>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</si>
  <si>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</si>
  <si>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</si>
  <si>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</si>
  <si>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</si>
  <si>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</si>
  <si>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</si>
  <si>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</si>
  <si>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</si>
  <si>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</si>
  <si>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</si>
  <si>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</si>
  <si>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</si>
  <si>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</si>
  <si>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</si>
  <si>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</si>
  <si>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</si>
  <si>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</si>
  <si>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</si>
  <si>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</si>
  <si>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</si>
  <si>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</si>
  <si>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</si>
  <si>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</si>
  <si>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</si>
  <si>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</si>
  <si>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</si>
  <si>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</si>
  <si>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</si>
  <si>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</si>
  <si>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</si>
  <si>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</si>
  <si>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</si>
  <si>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</si>
  <si>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</si>
  <si>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</si>
  <si>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</si>
  <si>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</si>
  <si>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</si>
  <si>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</si>
  <si>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</si>
  <si>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</si>
  <si>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</si>
  <si>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</si>
  <si>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</si>
  <si>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</si>
  <si>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</si>
  <si>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</si>
  <si>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</si>
  <si>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</si>
  <si>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</si>
  <si>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</si>
  <si>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</si>
  <si>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</si>
  <si>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</si>
  <si>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</si>
  <si>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</si>
  <si>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</si>
  <si>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</si>
  <si>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</si>
  <si>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</si>
  <si>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</si>
  <si>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</si>
  <si>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</si>
  <si>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</si>
  <si>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</si>
  <si>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</si>
  <si>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</si>
  <si>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</si>
  <si>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</si>
  <si>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</si>
  <si>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</si>
  <si>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</si>
  <si>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</si>
  <si>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</si>
  <si>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</si>
  <si>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</si>
  <si>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</si>
  <si>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</si>
  <si>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</si>
  <si>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</si>
  <si>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</si>
  <si>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</si>
  <si>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</si>
  <si>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</si>
  <si>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</si>
  <si>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</si>
  <si>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</si>
  <si>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</si>
  <si>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</si>
  <si>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</si>
  <si>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</si>
  <si>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</si>
  <si>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</si>
  <si>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</si>
  <si>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</si>
  <si>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</si>
  <si>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</si>
  <si>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</si>
  <si>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</si>
  <si>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</si>
  <si>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</si>
  <si>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</si>
  <si>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</si>
  <si>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</si>
  <si>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</si>
  <si>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</si>
  <si>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</si>
  <si>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</si>
  <si>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</si>
  <si>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</si>
  <si>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</si>
  <si>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</si>
  <si>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</si>
  <si>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</si>
  <si>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</si>
  <si>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</si>
  <si>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</si>
  <si>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</si>
  <si>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</si>
  <si>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</si>
  <si>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</si>
  <si>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</si>
  <si>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</si>
  <si>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</si>
  <si>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</si>
  <si>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</si>
  <si>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</si>
  <si>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</si>
  <si>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</si>
  <si>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</si>
  <si>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</si>
  <si>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</si>
  <si>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</si>
  <si>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</si>
  <si>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</si>
  <si>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</si>
  <si>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</si>
  <si>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</si>
  <si>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</si>
  <si>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</si>
  <si>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</si>
  <si>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</si>
  <si>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</si>
  <si>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</si>
  <si>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</si>
  <si>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</si>
  <si>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</si>
  <si>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</si>
  <si>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</si>
  <si>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</si>
  <si>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</si>
  <si>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</si>
  <si>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</si>
  <si>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</si>
  <si>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</si>
  <si>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</si>
  <si>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</si>
  <si>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</si>
  <si>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</si>
  <si>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</si>
  <si>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</si>
  <si>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</si>
  <si>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</si>
  <si>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</si>
  <si>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</si>
  <si>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</si>
  <si>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</si>
  <si>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</si>
  <si>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</si>
  <si>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</si>
  <si>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</si>
  <si>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</si>
  <si>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</si>
  <si>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</si>
  <si>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</si>
  <si>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</si>
  <si>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</si>
  <si>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</si>
  <si>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</si>
  <si>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</si>
  <si>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</si>
  <si>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</si>
  <si>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</si>
  <si>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</si>
  <si>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</si>
  <si>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</si>
  <si>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</si>
  <si>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</si>
  <si>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</si>
  <si>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</si>
  <si>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</si>
  <si>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</si>
  <si>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</si>
  <si>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</si>
  <si>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</si>
  <si>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</si>
  <si>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</si>
  <si>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</si>
  <si>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</si>
  <si>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</si>
  <si>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</si>
  <si>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</si>
  <si>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</si>
  <si>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</si>
  <si>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</si>
  <si>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</si>
  <si>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</si>
  <si>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</si>
  <si>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</si>
  <si>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</si>
  <si>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</si>
  <si>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</si>
  <si>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</si>
  <si>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</si>
  <si>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</si>
  <si>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</si>
  <si>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</si>
  <si>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</si>
  <si>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</si>
  <si>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</si>
  <si>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</si>
  <si>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</si>
  <si>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</si>
  <si>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</si>
  <si>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</si>
  <si>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</si>
  <si>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</si>
  <si>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</si>
  <si>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</si>
  <si>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</si>
  <si>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</si>
  <si>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</si>
  <si>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</si>
  <si>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</si>
  <si>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</si>
  <si>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</si>
  <si>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</si>
  <si>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</si>
  <si>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</si>
  <si>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</si>
  <si>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</si>
  <si>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</si>
  <si>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</si>
  <si>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</si>
  <si>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</si>
  <si>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</si>
  <si>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</si>
  <si>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</si>
  <si>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</si>
  <si>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</si>
  <si>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</si>
  <si>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</si>
  <si>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</si>
  <si>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</si>
  <si>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</si>
  <si>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</si>
  <si>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</si>
  <si>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</si>
  <si>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</si>
  <si>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</si>
  <si>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</si>
  <si>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</si>
  <si>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</si>
  <si>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</si>
  <si>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</si>
  <si>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</si>
  <si>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</si>
  <si>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</si>
  <si>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</si>
  <si>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</si>
  <si>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</si>
  <si>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</si>
  <si>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</si>
  <si>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</si>
  <si>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</si>
  <si>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</si>
  <si>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</si>
  <si>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</si>
  <si>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</si>
  <si>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</si>
  <si>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</si>
  <si>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</si>
  <si>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</si>
  <si>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</si>
  <si>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</si>
  <si>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</si>
  <si>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</si>
  <si>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</si>
  <si>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</si>
  <si>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</si>
  <si>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</si>
  <si>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</si>
  <si>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</si>
  <si>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</si>
  <si>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</si>
  <si>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</si>
  <si>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</si>
  <si>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</si>
  <si>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</si>
  <si>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</si>
  <si>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</si>
  <si>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</si>
  <si>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</si>
  <si>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</si>
  <si>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</si>
  <si>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</si>
  <si>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</si>
  <si>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</si>
  <si>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</si>
  <si>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</si>
  <si>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</si>
  <si>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</si>
  <si>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</si>
  <si>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</si>
  <si>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</si>
  <si>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</si>
  <si>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</si>
  <si>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</si>
  <si>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</si>
  <si>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</si>
  <si>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</si>
  <si>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</si>
  <si>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</si>
  <si>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</si>
  <si>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</si>
  <si>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</si>
  <si>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</si>
  <si>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</si>
  <si>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</si>
  <si>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</si>
  <si>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</si>
  <si>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</si>
  <si>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</si>
  <si>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</si>
  <si>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</si>
  <si>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</si>
  <si>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</si>
  <si>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</si>
  <si>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</si>
  <si>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</si>
  <si>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</si>
  <si>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</si>
  <si>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</si>
  <si>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</si>
  <si>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</si>
  <si>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</si>
  <si>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</si>
  <si>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</si>
  <si>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</si>
  <si>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</si>
  <si>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</si>
  <si>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</si>
  <si>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</si>
  <si>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</si>
  <si>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</si>
  <si>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</si>
  <si>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</si>
  <si>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</si>
  <si>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</si>
  <si>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</si>
  <si>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</si>
  <si>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</si>
  <si>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</si>
  <si>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</si>
  <si>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</si>
  <si>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</si>
  <si>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</si>
  <si>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</si>
  <si>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</si>
  <si>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</si>
  <si>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</si>
  <si>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</si>
  <si>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</si>
  <si>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</si>
  <si>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</si>
  <si>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</si>
  <si>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</si>
  <si>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</si>
  <si>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</si>
  <si>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</si>
  <si>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</si>
  <si>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</si>
  <si>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</si>
  <si>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</si>
  <si>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</si>
  <si>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</si>
  <si>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</si>
  <si>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</si>
  <si>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</si>
  <si>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</si>
  <si>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</si>
  <si>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</si>
  <si>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</si>
  <si>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</si>
  <si>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</si>
  <si>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</si>
  <si>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</si>
  <si>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</si>
  <si>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</si>
  <si>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</si>
  <si>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</si>
  <si>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</si>
  <si>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</si>
  <si>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</si>
  <si>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</si>
  <si>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</si>
  <si>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</si>
  <si>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</si>
  <si>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</si>
  <si>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</si>
  <si>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</si>
  <si>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</si>
  <si>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</si>
  <si>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</si>
  <si>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</si>
  <si>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</si>
  <si>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</si>
  <si>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</si>
  <si>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</si>
  <si>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</si>
  <si>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</si>
  <si>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</si>
  <si>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</si>
  <si>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</si>
  <si>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</si>
  <si>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</si>
  <si>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</si>
  <si>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</si>
  <si>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</si>
  <si>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</si>
  <si>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</si>
  <si>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</si>
  <si>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</si>
  <si>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</si>
  <si>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</si>
  <si>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</si>
  <si>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</si>
  <si>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</si>
  <si>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</si>
  <si>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</si>
  <si>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</si>
  <si>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</si>
  <si>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</si>
  <si>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</si>
  <si>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</si>
  <si>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</si>
  <si>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</si>
  <si>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</si>
  <si>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</si>
  <si>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</si>
  <si>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</si>
  <si>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</si>
  <si>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</si>
  <si>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</si>
  <si>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</si>
  <si>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</si>
  <si>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</si>
  <si>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</si>
  <si>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</si>
  <si>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</si>
  <si>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</si>
  <si>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</si>
  <si>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</si>
  <si>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</si>
  <si>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</si>
  <si>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</si>
  <si>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</si>
  <si>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</si>
  <si>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</si>
  <si>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</si>
  <si>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</si>
  <si>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</si>
  <si>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</si>
  <si>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</si>
  <si>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</si>
  <si>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</si>
  <si>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</si>
  <si>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</si>
  <si>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</si>
  <si>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</si>
  <si>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</si>
  <si>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</si>
  <si>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</si>
  <si>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</si>
  <si>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</si>
  <si>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</si>
  <si>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</si>
  <si>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</si>
  <si>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</si>
  <si>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</si>
  <si>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</si>
  <si>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</si>
  <si>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</si>
  <si>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</si>
  <si>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</si>
  <si>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</si>
  <si>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</si>
  <si>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</si>
  <si>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</si>
  <si>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</si>
  <si>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</si>
  <si>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</si>
  <si>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</si>
  <si>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</si>
  <si>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</si>
  <si>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</si>
  <si>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</si>
  <si>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</si>
  <si>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</si>
  <si>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</si>
  <si>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</si>
  <si>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</si>
  <si>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</si>
  <si>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</si>
  <si>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</si>
  <si>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</si>
  <si>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</si>
  <si>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</si>
  <si>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</si>
  <si>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</si>
  <si>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</si>
  <si>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</si>
  <si>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</si>
  <si>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</si>
  <si>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</si>
  <si>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</si>
  <si>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</si>
  <si>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</si>
  <si>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</si>
  <si>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</si>
  <si>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</si>
  <si>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</si>
  <si>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</si>
  <si>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</si>
  <si>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</si>
  <si>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</si>
  <si>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</si>
  <si>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</si>
  <si>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</si>
  <si>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</si>
  <si>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</si>
  <si>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</si>
  <si>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</si>
  <si>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</si>
  <si>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</si>
  <si>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</si>
  <si>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</si>
  <si>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</si>
  <si>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</si>
  <si>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</si>
  <si>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</si>
  <si>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</si>
  <si>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</si>
  <si>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</si>
  <si>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</si>
  <si>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</si>
  <si>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</si>
  <si>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</si>
  <si>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</si>
  <si>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</si>
  <si>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</si>
  <si>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</si>
  <si>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</si>
  <si>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</si>
  <si>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</si>
  <si>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</si>
  <si>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</si>
  <si>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</si>
  <si>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</si>
  <si>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</si>
  <si>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</si>
  <si>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</si>
  <si>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</si>
  <si>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</si>
  <si>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</si>
  <si>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</si>
  <si>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</si>
  <si>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</si>
  <si>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</si>
  <si>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</si>
  <si>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</si>
  <si>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</si>
  <si>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</si>
  <si>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</si>
  <si>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</si>
  <si>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</si>
  <si>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</si>
  <si>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</si>
  <si>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</si>
  <si>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</si>
  <si>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</si>
  <si>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</si>
  <si>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</si>
  <si>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</si>
  <si>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</si>
  <si>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</si>
  <si>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</si>
  <si>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</si>
  <si>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</si>
  <si>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</si>
  <si>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</si>
  <si>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</si>
  <si>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</si>
  <si>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</si>
  <si>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</si>
  <si>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</si>
  <si>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</si>
  <si>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</si>
  <si>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</si>
  <si>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</si>
  <si>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</si>
  <si>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</si>
  <si>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</si>
  <si>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</si>
  <si>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</si>
  <si>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</si>
  <si>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</si>
  <si>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</si>
  <si>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</si>
  <si>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</si>
  <si>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</si>
  <si>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</si>
  <si>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</si>
  <si>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</si>
  <si>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</si>
  <si>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</si>
  <si>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</si>
  <si>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</si>
  <si>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</si>
  <si>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</si>
  <si>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</si>
  <si>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</si>
  <si>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</si>
  <si>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</si>
  <si>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</si>
  <si>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</si>
  <si>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</si>
  <si>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</si>
  <si>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</si>
  <si>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</si>
  <si>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</si>
  <si>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</si>
  <si>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</si>
  <si>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</si>
  <si>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</si>
  <si>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</si>
  <si>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</si>
  <si>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</si>
  <si>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</si>
  <si>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</si>
  <si>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</si>
  <si>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</si>
  <si>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</si>
  <si>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</si>
  <si>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</si>
  <si>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</si>
  <si>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</si>
  <si>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</si>
  <si>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</si>
  <si>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</si>
  <si>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</si>
  <si>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</si>
  <si>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</si>
  <si>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</si>
  <si>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</si>
  <si>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</si>
  <si>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</si>
  <si>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</si>
  <si>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</si>
  <si>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</si>
  <si>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</si>
  <si>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</si>
  <si>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</si>
  <si>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</si>
  <si>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</si>
  <si>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</si>
  <si>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</si>
  <si>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</si>
  <si>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</si>
  <si>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</si>
  <si>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</si>
  <si>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</si>
  <si>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</si>
  <si>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</si>
  <si>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</si>
  <si>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</si>
  <si>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</si>
  <si>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</si>
  <si>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</si>
  <si>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</si>
  <si>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</si>
  <si>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</si>
  <si>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</si>
  <si>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</si>
  <si>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</si>
  <si>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</si>
  <si>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</si>
  <si>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</si>
  <si>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</si>
  <si>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</si>
  <si>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</si>
  <si>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</si>
  <si>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</si>
  <si>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</si>
  <si>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</si>
  <si>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</si>
  <si>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</si>
  <si>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</si>
  <si>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</si>
  <si>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</si>
  <si>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</si>
  <si>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</si>
  <si>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</si>
  <si>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</si>
  <si>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</si>
  <si>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</si>
  <si>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</si>
  <si>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</si>
  <si>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</si>
  <si>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</si>
  <si>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</si>
  <si>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</si>
  <si>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</si>
  <si>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</si>
  <si>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</si>
  <si>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</si>
  <si>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</si>
  <si>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</si>
  <si>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</si>
  <si>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</si>
  <si>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</si>
  <si>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</si>
  <si>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</si>
  <si>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</si>
  <si>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</si>
  <si>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</si>
  <si>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</si>
  <si>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</si>
  <si>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</si>
  <si>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</si>
  <si>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</si>
  <si>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</si>
  <si>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</si>
  <si>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</si>
  <si>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</si>
  <si>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</si>
  <si>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</si>
  <si>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</si>
  <si>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</si>
  <si>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</si>
  <si>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</si>
  <si>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</si>
  <si>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</si>
  <si>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</si>
  <si>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</si>
  <si>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</si>
  <si>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</si>
  <si>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</si>
  <si>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</si>
  <si>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</si>
  <si>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</si>
  <si>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</si>
  <si>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</si>
  <si>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</si>
  <si>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</si>
  <si>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</si>
  <si>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</si>
  <si>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</si>
  <si>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</si>
  <si>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</si>
  <si>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</si>
  <si>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</si>
  <si>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</si>
  <si>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</si>
  <si>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</si>
  <si>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</si>
  <si>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</si>
  <si>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</si>
  <si>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</si>
  <si>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</si>
  <si>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</si>
  <si>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</si>
  <si>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</si>
  <si>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</si>
  <si>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</si>
  <si>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</si>
  <si>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</si>
  <si>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</si>
  <si>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</si>
  <si>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</si>
  <si>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</si>
  <si>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</si>
  <si>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</si>
  <si>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</si>
  <si>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</si>
  <si>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</si>
  <si>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</si>
  <si>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</si>
  <si>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</si>
  <si>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</si>
  <si>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</si>
  <si>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</si>
  <si>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</si>
  <si>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</si>
  <si>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</si>
  <si>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</si>
  <si>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</si>
  <si>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</si>
  <si>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</si>
  <si>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</si>
  <si>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</si>
  <si>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</si>
  <si>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</si>
  <si>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</si>
  <si>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</si>
  <si>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</si>
  <si>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</si>
  <si>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</si>
  <si>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</si>
  <si>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</si>
  <si>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</si>
  <si>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</si>
  <si>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</si>
  <si>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</si>
  <si>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</si>
  <si>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</si>
  <si>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</si>
  <si>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</si>
  <si>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</si>
  <si>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</si>
  <si>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</si>
  <si>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</si>
  <si>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</si>
  <si>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</si>
  <si>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</si>
  <si>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</si>
  <si>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</si>
  <si>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</si>
  <si>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</si>
  <si>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</si>
  <si>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</si>
  <si>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</si>
  <si>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</si>
  <si>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</si>
  <si>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</si>
  <si>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</si>
  <si>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</si>
  <si>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</si>
  <si>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</si>
  <si>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</si>
  <si>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</si>
  <si>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</si>
  <si>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</si>
  <si>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</si>
  <si>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</si>
  <si>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</si>
  <si>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</si>
  <si>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</si>
  <si>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</si>
  <si>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</si>
  <si>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</si>
  <si>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</si>
  <si>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</si>
  <si>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</si>
  <si>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</si>
  <si>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</si>
  <si>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</si>
  <si>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</si>
  <si>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</si>
  <si>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</si>
  <si>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</si>
  <si>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</si>
  <si>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</si>
  <si>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</si>
  <si>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</si>
  <si>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</si>
  <si>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</si>
  <si>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</si>
  <si>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</si>
  <si>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</si>
  <si>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</si>
  <si>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</si>
  <si>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</si>
  <si>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</si>
  <si>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</si>
  <si>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</si>
  <si>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</si>
  <si>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</si>
  <si>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</si>
  <si>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</si>
  <si>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</si>
  <si>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</si>
  <si>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</si>
  <si>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</si>
  <si>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</si>
  <si>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</si>
  <si>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</si>
  <si>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</si>
  <si>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</si>
  <si>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</si>
  <si>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</si>
  <si>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</si>
  <si>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</si>
  <si>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</si>
  <si>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</si>
  <si>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</si>
  <si>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</si>
  <si>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</si>
  <si>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</si>
  <si>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</si>
  <si>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</si>
  <si>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</si>
  <si>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</si>
  <si>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</si>
  <si>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</si>
  <si>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</si>
  <si>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</si>
  <si>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</si>
  <si>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</si>
  <si>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</si>
  <si>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</si>
  <si>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</si>
  <si>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</si>
  <si>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</si>
  <si>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</si>
  <si>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</si>
  <si>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</si>
  <si>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</si>
  <si>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</si>
  <si>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</si>
  <si>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</si>
  <si>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</si>
  <si>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</si>
  <si>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</si>
  <si>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</si>
  <si>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</si>
  <si>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</si>
  <si>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</si>
  <si>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</si>
  <si>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</si>
  <si>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</si>
  <si>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</si>
  <si>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</si>
  <si>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</si>
  <si>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</si>
  <si>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</si>
  <si>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</si>
  <si>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</si>
  <si>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</si>
  <si>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</si>
  <si>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</si>
  <si>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</si>
  <si>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</si>
  <si>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</si>
  <si>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</si>
  <si>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</si>
  <si>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</si>
  <si>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</si>
  <si>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</si>
  <si>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</si>
  <si>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</si>
  <si>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</si>
  <si>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</si>
  <si>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</si>
  <si>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</si>
  <si>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</si>
  <si>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</si>
  <si>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</si>
  <si>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</si>
  <si>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</si>
  <si>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</si>
  <si>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</si>
  <si>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</si>
  <si>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</si>
  <si>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</si>
  <si>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</si>
  <si>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</si>
  <si>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</si>
  <si>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</si>
  <si>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</si>
  <si>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</si>
  <si>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</si>
  <si>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</si>
  <si>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</si>
  <si>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</si>
  <si>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</si>
  <si>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</si>
  <si>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</si>
  <si>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</si>
  <si>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</si>
  <si>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</si>
  <si>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</si>
  <si>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</si>
  <si>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</si>
  <si>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</si>
  <si>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</si>
  <si>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</si>
  <si>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</si>
  <si>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</si>
  <si>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</si>
  <si>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</si>
  <si>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</si>
  <si>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</si>
  <si>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</si>
  <si>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</si>
  <si>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</si>
  <si>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</si>
  <si>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</si>
  <si>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</si>
  <si>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</si>
  <si>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</si>
  <si>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</si>
  <si>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</si>
  <si>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</si>
  <si>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</si>
  <si>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</si>
  <si>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</si>
  <si>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</si>
  <si>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</si>
  <si>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</si>
  <si>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</si>
  <si>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</si>
  <si>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</si>
  <si>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</si>
  <si>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</si>
  <si>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</si>
  <si>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</si>
  <si>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</si>
  <si>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</si>
  <si>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</si>
  <si>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</si>
  <si>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</si>
  <si>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</si>
  <si>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</si>
  <si>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</si>
  <si>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</si>
  <si>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</si>
  <si>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</si>
  <si>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</si>
  <si>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</si>
  <si>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</si>
  <si>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</si>
  <si>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</si>
  <si>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</si>
  <si>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</si>
  <si>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</si>
  <si>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</si>
  <si>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</si>
  <si>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</si>
  <si>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</si>
  <si>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</si>
  <si>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</si>
  <si>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</si>
  <si>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</si>
  <si>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</si>
  <si>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</si>
  <si>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</si>
  <si>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</si>
  <si>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</si>
  <si>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</si>
  <si>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</si>
  <si>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</si>
  <si>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</si>
  <si>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</si>
  <si>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</si>
  <si>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</si>
  <si>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</si>
  <si>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</si>
  <si>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</si>
  <si>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</si>
  <si>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</si>
  <si>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</si>
  <si>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</si>
  <si>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</si>
  <si>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</si>
  <si>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</si>
  <si>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</si>
  <si>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</si>
  <si>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</si>
  <si>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</si>
  <si>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</si>
  <si>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</si>
  <si>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</si>
  <si>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</si>
  <si>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</si>
  <si>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</si>
  <si>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</si>
  <si>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</si>
  <si>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</si>
  <si>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</si>
  <si>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</si>
  <si>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</si>
  <si>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</si>
  <si>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</si>
  <si>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</si>
  <si>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</si>
  <si>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</si>
  <si>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</si>
  <si>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</si>
  <si>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</si>
  <si>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</si>
  <si>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</si>
  <si>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</si>
  <si>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</si>
  <si>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</si>
  <si>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</si>
  <si>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</si>
  <si>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</si>
  <si>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</si>
  <si>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</si>
  <si>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</si>
  <si>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</si>
  <si>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</si>
  <si>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</si>
  <si>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</si>
  <si>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</si>
  <si>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</si>
  <si>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</si>
  <si>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</si>
  <si>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</si>
  <si>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</si>
  <si>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</si>
  <si>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</si>
  <si>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</si>
  <si>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</si>
  <si>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</si>
  <si>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</si>
  <si>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</si>
  <si>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</si>
  <si>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</si>
  <si>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</si>
  <si>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</si>
  <si>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</si>
  <si>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</si>
  <si>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</si>
  <si>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</si>
  <si>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</si>
  <si>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</si>
  <si>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</si>
  <si>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</si>
  <si>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</si>
  <si>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</si>
  <si>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</si>
  <si>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</si>
  <si>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</si>
  <si>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</si>
  <si>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</si>
  <si>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</si>
  <si>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</si>
  <si>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</si>
  <si>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</si>
  <si>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</si>
  <si>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</si>
  <si>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</si>
  <si>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</si>
  <si>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</si>
  <si>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</si>
  <si>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</si>
  <si>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</si>
  <si>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</si>
  <si>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</si>
  <si>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</si>
  <si>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</si>
  <si>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</si>
  <si>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</si>
  <si>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</si>
  <si>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</si>
  <si>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</si>
  <si>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</si>
  <si>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</si>
  <si>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</si>
  <si>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</si>
  <si>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</si>
  <si>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</si>
  <si>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</si>
  <si>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</si>
  <si>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</si>
  <si>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</si>
  <si>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</si>
  <si>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</si>
  <si>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</si>
  <si>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</si>
  <si>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</si>
  <si>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</si>
  <si>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</si>
  <si>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</si>
  <si>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</si>
  <si>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</si>
  <si>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</si>
  <si>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</si>
  <si>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</si>
  <si>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</si>
  <si>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</si>
  <si>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</si>
  <si>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</si>
  <si>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</si>
  <si>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</si>
  <si>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</si>
  <si>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</si>
  <si>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</si>
  <si>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</si>
  <si>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</si>
  <si>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</si>
  <si>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</si>
  <si>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</si>
  <si>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</si>
  <si>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</si>
  <si>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</si>
  <si>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</si>
  <si>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</si>
  <si>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</si>
  <si>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</si>
  <si>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</si>
  <si>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</si>
  <si>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</si>
  <si>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</si>
  <si>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</si>
  <si>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</si>
  <si>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</si>
  <si>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</si>
  <si>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</si>
  <si>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</si>
  <si>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</si>
  <si>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</si>
  <si>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</si>
  <si>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</si>
  <si>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</si>
  <si>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</si>
  <si>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</si>
  <si>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</si>
  <si>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</si>
  <si>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</si>
  <si>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</si>
  <si>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</si>
  <si>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</si>
  <si>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</si>
  <si>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</si>
  <si>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</si>
  <si>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</si>
  <si>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</si>
  <si>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</si>
  <si>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</si>
  <si>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</si>
  <si>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</si>
  <si>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</si>
  <si>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</si>
  <si>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</si>
  <si>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</si>
  <si>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</si>
  <si>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</si>
  <si>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</si>
  <si>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</si>
  <si>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</si>
  <si>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</si>
  <si>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</si>
  <si>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</si>
  <si>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</si>
  <si>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</si>
  <si>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</si>
  <si>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</si>
  <si>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</si>
  <si>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</si>
  <si>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</si>
  <si>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</si>
  <si>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</si>
  <si>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</si>
  <si>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</si>
  <si>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</si>
  <si>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</si>
  <si>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</si>
  <si>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</si>
  <si>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</si>
  <si>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</si>
  <si>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</si>
  <si>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</si>
  <si>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</si>
  <si>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</si>
  <si>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</si>
  <si>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</si>
  <si>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</si>
  <si>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</si>
  <si>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</si>
  <si>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</si>
  <si>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</si>
  <si>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</si>
  <si>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</si>
  <si>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</si>
  <si>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</si>
  <si>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</si>
  <si>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</si>
  <si>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</si>
  <si>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</si>
  <si>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</si>
  <si>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</si>
  <si>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</si>
  <si>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</si>
  <si>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</si>
  <si>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</si>
  <si>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</si>
  <si>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</si>
  <si>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</si>
  <si>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</si>
  <si>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</si>
  <si>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</si>
  <si>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</si>
  <si>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</si>
  <si>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</si>
  <si>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</si>
  <si>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</si>
  <si>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</si>
  <si>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clean buckets</t>
  </si>
  <si>
    <t>ventilation</t>
  </si>
  <si>
    <t>switch veg tent</t>
  </si>
  <si>
    <t>desk</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</si>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</sst>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0" borderId="0" xfId="0" applyAlignment="1">
      <alignment shrinkToFit="1"/>
    </xf>
    <xf numFmtId="0" fontId="0" fillId="0" borderId="0" xfId="0" applyAlignment="1">
      <alignment horizontal="left" vertic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8.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2.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13</xdr:col>
      <xdr:colOff>104775</xdr:colOff>
      <xdr:row>42</xdr:row>
      <xdr:rowOff>19049</xdr:rowOff>
    </xdr:from>
    <xdr:to>
      <xdr:col>21</xdr:col>
      <xdr:colOff>276224</xdr:colOff>
      <xdr:row>57</xdr:row>
      <xdr:rowOff>104775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4162425" y="8524874"/>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85</xdr:col>
      <xdr:colOff>95250</xdr:colOff>
      <xdr:row>43</xdr:row>
      <xdr:rowOff>114300</xdr:rowOff>
    </xdr:from>
    <xdr:to>
      <xdr:col>108</xdr:col>
      <xdr:colOff>85725</xdr:colOff>
      <xdr:row>65</xdr:row>
      <xdr:rowOff>95250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73425"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133350</xdr:colOff>
      <xdr:row>21</xdr:row>
      <xdr:rowOff>9525</xdr:rowOff>
    </xdr:from>
    <xdr:to>
      <xdr:col>108</xdr:col>
      <xdr:colOff>123825</xdr:colOff>
      <xdr:row>42</xdr:row>
      <xdr:rowOff>133350</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6011525" y="55245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66675</xdr:colOff>
      <xdr:row>20</xdr:row>
      <xdr:rowOff>66675</xdr:rowOff>
    </xdr:from>
    <xdr:to>
      <xdr:col>60</xdr:col>
      <xdr:colOff>57150</xdr:colOff>
      <xdr:row>42</xdr:row>
      <xdr:rowOff>57150</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86850" y="5448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12</xdr:col>
      <xdr:colOff>85577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39158</xdr:colOff>
      <xdr:row>2</xdr:row>
      <xdr:rowOff>121709</xdr:rowOff>
    </xdr:from>
    <xdr:to>
      <xdr:col>3</xdr:col>
      <xdr:colOff>20108</xdr:colOff>
      <xdr:row>4</xdr:row>
      <xdr:rowOff>121709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67808" y="6360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168275</xdr:rowOff>
    </xdr:from>
    <xdr:to>
      <xdr:col>3</xdr:col>
      <xdr:colOff>46567</xdr:colOff>
      <xdr:row>6</xdr:row>
      <xdr:rowOff>168275</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541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14</xdr:col>
      <xdr:colOff>285751</xdr:colOff>
      <xdr:row>17</xdr:row>
      <xdr:rowOff>227540</xdr:rowOff>
    </xdr:from>
    <xdr:to>
      <xdr:col>17</xdr:col>
      <xdr:colOff>66676</xdr:colOff>
      <xdr:row>23</xdr:row>
      <xdr:rowOff>94190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16200000">
          <a:off x="4419601" y="5247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200025</xdr:colOff>
      <xdr:row>2</xdr:row>
      <xdr:rowOff>57149</xdr:rowOff>
    </xdr:from>
    <xdr:to>
      <xdr:col>5</xdr:col>
      <xdr:colOff>200025</xdr:colOff>
      <xdr:row>4</xdr:row>
      <xdr:rowOff>38100</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400175" y="5714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20680</xdr:colOff>
      <xdr:row>2</xdr:row>
      <xdr:rowOff>154019</xdr:rowOff>
    </xdr:from>
    <xdr:to>
      <xdr:col>6</xdr:col>
      <xdr:colOff>65071</xdr:colOff>
      <xdr:row>3</xdr:row>
      <xdr:rowOff>163544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792330" y="668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238125</xdr:colOff>
      <xdr:row>19</xdr:row>
      <xdr:rowOff>9530</xdr:rowOff>
    </xdr:from>
    <xdr:to>
      <xdr:col>7</xdr:col>
      <xdr:colOff>247650</xdr:colOff>
      <xdr:row>21</xdr:row>
      <xdr:rowOff>31755</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2303463" y="525939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19053</xdr:colOff>
      <xdr:row>22</xdr:row>
      <xdr:rowOff>133354</xdr:rowOff>
    </xdr:from>
    <xdr:to>
      <xdr:col>81</xdr:col>
      <xdr:colOff>85728</xdr:colOff>
      <xdr:row>25</xdr:row>
      <xdr:rowOff>19054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5182853" y="57912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109537</xdr:colOff>
      <xdr:row>23</xdr:row>
      <xdr:rowOff>4763</xdr:rowOff>
    </xdr:from>
    <xdr:to>
      <xdr:col>81</xdr:col>
      <xdr:colOff>61913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273337"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57161</xdr:colOff>
      <xdr:row>29</xdr:row>
      <xdr:rowOff>133359</xdr:rowOff>
    </xdr:from>
    <xdr:to>
      <xdr:col>92</xdr:col>
      <xdr:colOff>63115</xdr:colOff>
      <xdr:row>30</xdr:row>
      <xdr:rowOff>76210</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6681263" y="660738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47638</xdr:colOff>
      <xdr:row>29</xdr:row>
      <xdr:rowOff>9534</xdr:rowOff>
    </xdr:from>
    <xdr:to>
      <xdr:col>92</xdr:col>
      <xdr:colOff>53592</xdr:colOff>
      <xdr:row>29</xdr:row>
      <xdr:rowOff>95260</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6671740" y="6483557"/>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38115</xdr:colOff>
      <xdr:row>57</xdr:row>
      <xdr:rowOff>57165</xdr:rowOff>
    </xdr:from>
    <xdr:to>
      <xdr:col>57</xdr:col>
      <xdr:colOff>44069</xdr:colOff>
      <xdr:row>58</xdr:row>
      <xdr:rowOff>16</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1661592" y="1053168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28590</xdr:colOff>
      <xdr:row>56</xdr:row>
      <xdr:rowOff>28590</xdr:rowOff>
    </xdr:from>
    <xdr:to>
      <xdr:col>57</xdr:col>
      <xdr:colOff>34544</xdr:colOff>
      <xdr:row>56</xdr:row>
      <xdr:rowOff>114316</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1652067" y="1036023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38114</xdr:colOff>
      <xdr:row>30</xdr:row>
      <xdr:rowOff>28589</xdr:rowOff>
    </xdr:from>
    <xdr:to>
      <xdr:col>57</xdr:col>
      <xdr:colOff>44068</xdr:colOff>
      <xdr:row>30</xdr:row>
      <xdr:rowOff>114315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1661591" y="664548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66684</xdr:colOff>
      <xdr:row>56</xdr:row>
      <xdr:rowOff>95258</xdr:rowOff>
    </xdr:from>
    <xdr:to>
      <xdr:col>92</xdr:col>
      <xdr:colOff>72638</xdr:colOff>
      <xdr:row>57</xdr:row>
      <xdr:rowOff>38109</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6690786" y="1042690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38114</xdr:colOff>
      <xdr:row>29</xdr:row>
      <xdr:rowOff>28588</xdr:rowOff>
    </xdr:from>
    <xdr:to>
      <xdr:col>57</xdr:col>
      <xdr:colOff>44068</xdr:colOff>
      <xdr:row>29</xdr:row>
      <xdr:rowOff>114314</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1661591" y="6502611"/>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76212</xdr:colOff>
      <xdr:row>55</xdr:row>
      <xdr:rowOff>95260</xdr:rowOff>
    </xdr:from>
    <xdr:to>
      <xdr:col>92</xdr:col>
      <xdr:colOff>82166</xdr:colOff>
      <xdr:row>56</xdr:row>
      <xdr:rowOff>38111</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6700314" y="10284033"/>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A2A3B4F4-BE51-477A-A7D2-6029DC690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071F990-B758-4444-B81A-7C1F403CB5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63EC0E67-2D0F-469C-9247-02E9B1D50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C138603F-9243-45BE-A579-D7D5CF095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CB2F3D0B-11B0-4ED5-9B59-621353A60C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26F5D0EB-16EA-4EC5-B602-7C8C194DC3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B72FC013-747A-4C75-83ED-47E346EB3B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28643</xdr:colOff>
      <xdr:row>8</xdr:row>
      <xdr:rowOff>28507</xdr:rowOff>
    </xdr:from>
    <xdr:to>
      <xdr:col>9</xdr:col>
      <xdr:colOff>47405</xdr:colOff>
      <xdr:row>12</xdr:row>
      <xdr:rowOff>66459</xdr:rowOff>
    </xdr:to>
    <xdr:pic>
      <xdr:nvPicPr>
        <xdr:cNvPr id="9" name="Picture 8">
          <a:extLst>
            <a:ext uri="{FF2B5EF4-FFF2-40B4-BE49-F238E27FC236}">
              <a16:creationId xmlns:a16="http://schemas.microsoft.com/office/drawing/2014/main" id="{828BC658-CB10-4217-AC79-283E23BB5E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19198" y="1695452"/>
          <a:ext cx="1180952" cy="2304762"/>
        </a:xfrm>
        <a:prstGeom prst="rect">
          <a:avLst/>
        </a:prstGeom>
      </xdr:spPr>
    </xdr:pic>
    <xdr:clientData/>
  </xdr:twoCellAnchor>
  <xdr:twoCellAnchor>
    <xdr:from>
      <xdr:col>8</xdr:col>
      <xdr:colOff>239183</xdr:colOff>
      <xdr:row>2</xdr:row>
      <xdr:rowOff>26459</xdr:rowOff>
    </xdr:from>
    <xdr:to>
      <xdr:col>10</xdr:col>
      <xdr:colOff>220133</xdr:colOff>
      <xdr:row>4</xdr:row>
      <xdr:rowOff>26459</xdr:rowOff>
    </xdr:to>
    <xdr:sp macro="" textlink="Q5">
      <xdr:nvSpPr>
        <xdr:cNvPr id="10" name="Oval 9">
          <a:extLst>
            <a:ext uri="{FF2B5EF4-FFF2-40B4-BE49-F238E27FC236}">
              <a16:creationId xmlns:a16="http://schemas.microsoft.com/office/drawing/2014/main" id="{6D671B66-2133-4520-AE4F-F66F4B827643}"/>
            </a:ext>
          </a:extLst>
        </xdr:cNvPr>
        <xdr:cNvSpPr/>
      </xdr:nvSpPr>
      <xdr:spPr>
        <a:xfrm>
          <a:off x="286808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227542</xdr:colOff>
      <xdr:row>4</xdr:row>
      <xdr:rowOff>34925</xdr:rowOff>
    </xdr:from>
    <xdr:to>
      <xdr:col>13</xdr:col>
      <xdr:colOff>227542</xdr:colOff>
      <xdr:row>6</xdr:row>
      <xdr:rowOff>34925</xdr:rowOff>
    </xdr:to>
    <xdr:sp macro="" textlink="Q16">
      <xdr:nvSpPr>
        <xdr:cNvPr id="11" name="Oval 10">
          <a:extLst>
            <a:ext uri="{FF2B5EF4-FFF2-40B4-BE49-F238E27FC236}">
              <a16:creationId xmlns:a16="http://schemas.microsoft.com/office/drawing/2014/main" id="{7D66BBCA-4D62-4C23-AD2E-99EFF35CE4CB}"/>
            </a:ext>
          </a:extLst>
        </xdr:cNvPr>
        <xdr:cNvSpPr/>
      </xdr:nvSpPr>
      <xdr:spPr>
        <a:xfrm>
          <a:off x="3713692" y="1120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9526</xdr:colOff>
      <xdr:row>3</xdr:row>
      <xdr:rowOff>275165</xdr:rowOff>
    </xdr:from>
    <xdr:to>
      <xdr:col>27</xdr:col>
      <xdr:colOff>38101</xdr:colOff>
      <xdr:row>6</xdr:row>
      <xdr:rowOff>275165</xdr:rowOff>
    </xdr:to>
    <xdr:sp macro="" textlink="Q6">
      <xdr:nvSpPr>
        <xdr:cNvPr id="12" name="Rectangle 11">
          <a:extLst>
            <a:ext uri="{FF2B5EF4-FFF2-40B4-BE49-F238E27FC236}">
              <a16:creationId xmlns:a16="http://schemas.microsoft.com/office/drawing/2014/main" id="{F86612D6-7420-4460-AF97-C19563545955}"/>
            </a:ext>
          </a:extLst>
        </xdr:cNvPr>
        <xdr:cNvSpPr/>
      </xdr:nvSpPr>
      <xdr:spPr>
        <a:xfrm rot="16200000">
          <a:off x="6981826" y="1284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29</xdr:col>
      <xdr:colOff>127030</xdr:colOff>
      <xdr:row>4</xdr:row>
      <xdr:rowOff>183277</xdr:rowOff>
    </xdr:from>
    <xdr:to>
      <xdr:col>31</xdr:col>
      <xdr:colOff>136555</xdr:colOff>
      <xdr:row>5</xdr:row>
      <xdr:rowOff>176927</xdr:rowOff>
    </xdr:to>
    <xdr:sp macro="" textlink="Q14">
      <xdr:nvSpPr>
        <xdr:cNvPr id="13" name="Rectangle 12">
          <a:extLst>
            <a:ext uri="{FF2B5EF4-FFF2-40B4-BE49-F238E27FC236}">
              <a16:creationId xmlns:a16="http://schemas.microsoft.com/office/drawing/2014/main" id="{7422C23D-DBE0-4C47-A90C-7C68C6989FCF}"/>
            </a:ext>
          </a:extLst>
        </xdr:cNvPr>
        <xdr:cNvSpPr/>
      </xdr:nvSpPr>
      <xdr:spPr>
        <a:xfrm rot="5400000">
          <a:off x="8012143" y="12611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73A57AF5-0F89-468D-B2EE-78B8F285A2C8}"/>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9</xdr:col>
      <xdr:colOff>115930</xdr:colOff>
      <xdr:row>9</xdr:row>
      <xdr:rowOff>230219</xdr:rowOff>
    </xdr:from>
    <xdr:to>
      <xdr:col>10</xdr:col>
      <xdr:colOff>160321</xdr:colOff>
      <xdr:row>10</xdr:row>
      <xdr:rowOff>239744</xdr:rowOff>
    </xdr:to>
    <xdr:sp macro="" textlink="Q13">
      <xdr:nvSpPr>
        <xdr:cNvPr id="15" name="Rectangle 14">
          <a:extLst>
            <a:ext uri="{FF2B5EF4-FFF2-40B4-BE49-F238E27FC236}">
              <a16:creationId xmlns:a16="http://schemas.microsoft.com/office/drawing/2014/main" id="{095F2047-862F-4AAF-A4E3-7B1B34E83979}"/>
            </a:ext>
          </a:extLst>
        </xdr:cNvPr>
        <xdr:cNvSpPr/>
      </xdr:nvSpPr>
      <xdr:spPr>
        <a:xfrm rot="10800000" flipH="1">
          <a:off x="3030580" y="27448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B3736F7A-C80B-4627-8578-1F9CE5A1D8ED}"/>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238125</xdr:colOff>
      <xdr:row>11</xdr:row>
      <xdr:rowOff>276225</xdr:rowOff>
    </xdr:from>
    <xdr:to>
      <xdr:col>22</xdr:col>
      <xdr:colOff>28575</xdr:colOff>
      <xdr:row>13</xdr:row>
      <xdr:rowOff>142875</xdr:rowOff>
    </xdr:to>
    <xdr:sp macro="" textlink="Q12">
      <xdr:nvSpPr>
        <xdr:cNvPr id="17" name="Oval 16">
          <a:extLst>
            <a:ext uri="{FF2B5EF4-FFF2-40B4-BE49-F238E27FC236}">
              <a16:creationId xmlns:a16="http://schemas.microsoft.com/office/drawing/2014/main" id="{7983336F-D722-4D94-A8DE-B106AECB5EA5}"/>
            </a:ext>
          </a:extLst>
        </xdr:cNvPr>
        <xdr:cNvSpPr/>
      </xdr:nvSpPr>
      <xdr:spPr>
        <a:xfrm>
          <a:off x="5991225" y="33623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459D9836-F228-4508-A829-1860C6ABC8D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F3FB088E-EA2D-44C0-84FA-E63C32A5D971}"/>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46D9EA0F-157D-42BB-84D8-761DBA4709DC}"/>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9AC662D9-45D0-4F3A-BA9D-AA54CA4E6EB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BA2E3C8F-CAE6-4701-9E4B-6885B6EF017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D855D7A-2F57-468A-8B20-D2F999E1C695}"/>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18FEA521-0080-44C1-AD56-985FB88677D2}"/>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2ECDA34-078F-40A6-9509-BB7FB4B65291}"/>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B02FD35A-4735-4490-A597-BE81CB8EF41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3D292F23-9DA0-4387-87D1-ABB2107B131F}"/>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A66A3926-3D9A-41D8-87B2-A722533635C0}"/>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xdr:colOff>
      <xdr:row>2</xdr:row>
      <xdr:rowOff>45212</xdr:rowOff>
    </xdr:from>
    <xdr:to>
      <xdr:col>6</xdr:col>
      <xdr:colOff>3901</xdr:colOff>
      <xdr:row>7</xdr:row>
      <xdr:rowOff>7112</xdr:rowOff>
    </xdr:to>
    <xdr:sp macro="" textlink="Q3">
      <xdr:nvSpPr>
        <xdr:cNvPr id="29" name="Rectangle 28" descr="big tent 5x4">
          <a:extLst>
            <a:ext uri="{FF2B5EF4-FFF2-40B4-BE49-F238E27FC236}">
              <a16:creationId xmlns:a16="http://schemas.microsoft.com/office/drawing/2014/main" id="{CFC71FAD-CD99-48D0-95FC-1A6ABD8B6163}"/>
            </a:ext>
          </a:extLst>
        </xdr:cNvPr>
        <xdr:cNvSpPr/>
      </xdr:nvSpPr>
      <xdr:spPr>
        <a:xfrm rot="16200000">
          <a:off x="649653" y="5385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34CABC65-4F54-4043-A0B7-01FCF746FF87}"/>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271465</xdr:colOff>
      <xdr:row>6</xdr:row>
      <xdr:rowOff>138115</xdr:rowOff>
    </xdr:from>
    <xdr:to>
      <xdr:col>13</xdr:col>
      <xdr:colOff>271465</xdr:colOff>
      <xdr:row>9</xdr:row>
      <xdr:rowOff>128592</xdr:rowOff>
    </xdr:to>
    <xdr:sp macro="" textlink="Q7">
      <xdr:nvSpPr>
        <xdr:cNvPr id="31" name="Rectangle 30">
          <a:extLst>
            <a:ext uri="{FF2B5EF4-FFF2-40B4-BE49-F238E27FC236}">
              <a16:creationId xmlns:a16="http://schemas.microsoft.com/office/drawing/2014/main" id="{5931D74B-9DCC-43D2-980E-CD5BB92AF01B}"/>
            </a:ext>
          </a:extLst>
        </xdr:cNvPr>
        <xdr:cNvSpPr/>
      </xdr:nvSpPr>
      <xdr:spPr>
        <a:xfrm rot="5400000">
          <a:off x="3762376" y="2076454"/>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9</xdr:col>
      <xdr:colOff>161934</xdr:colOff>
      <xdr:row>8</xdr:row>
      <xdr:rowOff>66710</xdr:rowOff>
    </xdr:from>
    <xdr:to>
      <xdr:col>10</xdr:col>
      <xdr:colOff>171459</xdr:colOff>
      <xdr:row>9</xdr:row>
      <xdr:rowOff>60360</xdr:rowOff>
    </xdr:to>
    <xdr:sp macro="" textlink="Q14">
      <xdr:nvSpPr>
        <xdr:cNvPr id="32" name="Rectangle 31">
          <a:extLst>
            <a:ext uri="{FF2B5EF4-FFF2-40B4-BE49-F238E27FC236}">
              <a16:creationId xmlns:a16="http://schemas.microsoft.com/office/drawing/2014/main" id="{AD3BBFFD-92D5-4F9F-B35C-E0272E677B98}"/>
            </a:ext>
          </a:extLst>
        </xdr:cNvPr>
        <xdr:cNvSpPr/>
      </xdr:nvSpPr>
      <xdr:spPr>
        <a:xfrm rot="5400000">
          <a:off x="3084522" y="22876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C0C81462-02B6-46A5-8EC8-7DA51BFC2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791BAA53-5184-4882-A7CC-C5CC8BEA9F2B}"/>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7E763F05-FCF4-4631-8029-CBAF9CCF3499}"/>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14F2AB4-364F-4D5B-8B86-83D3520BEBA4}"/>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424CBDD-965C-466C-AE62-12F3C22B7613}"/>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1C232CF8-39A4-42EC-ABE9-4935A20DF2A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31821D4E-D91B-4137-9B8A-5C87D2BDB285}"/>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BB532FD4-21FA-4803-8BB7-2880BD962CFC}"/>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061DA32A-07AD-4E9D-930C-EB70A433B24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E6C7A085-48CF-481A-8728-BE5D8B380F54}"/>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F8128B7E-561C-47D0-93CF-6F8EBB4BF1A9}"/>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4CA8EBF6-1566-4A86-84AD-240D047A34F9}"/>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96030455-FE4F-42D6-89A6-341FC08D5F5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D97DFB4-C393-4964-B1D4-0FD920518AC3}"/>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8C6AC8D2-EE9D-4901-A4EA-943E9B2FAC6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A3466011-CBB2-4DA5-917D-6713947AF246}"/>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0EFD85BA-FCC3-474A-A80D-DDFD2A3AE677}"/>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DC92D4B7-084B-4E79-9DE8-68D76AD76D73}"/>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656F6CF1-9282-4EA4-957C-BA17DDAB5666}"/>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AF915520-958F-49F7-A753-E1991E194A99}"/>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921FC55-24CC-44FF-88E6-2C587F43F319}"/>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1652412-C57C-402B-9271-679F08EEFCC9}"/>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17520D7B-C7E2-4E7A-85BA-BC740642F60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E05FBC77-0C65-4B55-A000-F3DBBA35EFEE}"/>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46C206C4-A97A-4445-87C6-D52A692840E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026A6EE5-5042-40BB-AF89-61AC054DE60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6914B9D6-B5DD-44D5-B8BB-A19253E3B521}"/>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703D3C00-8322-40CF-B338-FEE8265279AE}"/>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94B8ABF0-ABEE-4A58-9490-FDC66205A72A}"/>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7C814ABF-09E2-4150-AF6E-39E046AFB9AD}"/>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AA47671E-DC1D-4AB8-A326-652EF2B8C24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CEEC6546-F88B-4CA5-9C24-0A97B1D72174}"/>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1528FD49-C75C-4574-B935-6D2F0891DE77}"/>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5187CFB-8FDA-4A06-88AF-BC6B10011C79}"/>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AA798A2F-0104-4818-91A3-665850FB5AE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BBD6A396-A909-423D-9DC6-2C81C5D3F8C8}"/>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15D96287-4463-4A03-A052-17DC69088237}"/>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0AC07CCB-BED4-409D-B950-686C6CF51D6B}"/>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48160B0C-8A98-467B-953B-153BD00DBFAC}"/>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B722FB4B-B1CC-444D-91BE-7426D8F4FBE9}"/>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F8EECBB7-13EC-44D0-B7CA-0AE08E6C8E87}"/>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AB786A2A-C52C-4D9F-9212-7C19E9F378C5}"/>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056C46E4-2AA2-4E18-A249-8AAE2E51C83E}"/>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D2F2A251-1242-4002-8102-93FE90EBD034}"/>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CFC5C107-3B6B-4B02-95A3-3EFC597F5B5D}"/>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81263589-ECBF-45A8-AABB-F37EB3E44038}"/>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32628E53-9613-4BC1-ABB3-1427D5F62E7D}"/>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C3B0A432-1662-4B1E-843E-54E9903E2DD2}"/>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E6BD1A49-EDBC-4631-A8AD-D1E564DE5EAA}"/>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EE9CBB3B-6721-4280-ADD9-57CD92C01C0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3B763E9C-4B9B-4DD5-A5A7-830403AACC9D}"/>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11E26F3-994B-441E-B09F-72EFDF849451}"/>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8BC2184-1B81-4F91-A073-F32EF25BCEA9}"/>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D332CA55-C513-47CC-AE6D-0AAE8F7E9577}"/>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5EC0467B-6380-469B-822E-4A5B3A902AD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445D1918-EECD-405A-B3A9-2F8F080AF002}"/>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42624205-25BB-42DB-823A-0CF04F83A132}"/>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7EC0F102-73A3-46E8-AB24-710BBD07A341}"/>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83BC4D2-0B38-4A64-9CE5-208BA6243E84}"/>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CE93574-6C82-407B-90F7-43E41AC87CD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1C4AFEF8-1F42-401F-ABEF-C74B1BB301CB}"/>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B4C04AD0-C33F-4A25-B7B6-F84152BD2BA3}"/>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C13670E0-C7B2-4448-A484-99C2BABB4F1D}"/>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36CB3DBA-34FD-4AE5-88B8-AA34F3A1E101}"/>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F320B670-98CD-4FED-8341-72AC2ADC5486}"/>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8BAABDB2-DA32-4078-B955-9B5AC4584331}"/>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CA2C70F6-9127-4CF9-B62A-D94407B73111}"/>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CE1CCECB-31BD-41E2-A33F-B5CC412B12F0}"/>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EA8F6446-9D9B-492A-A3AF-53E466EC47E9}"/>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4F0EB138-5D16-4FE2-8145-26103E6F904B}"/>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8758D6C0-6AFB-41B6-B780-9F0362EF8302}"/>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E46E866-B3C0-4A90-A1D3-661CE58C9394}"/>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4702D68A-6311-4F8B-86D5-F6D436FC1162}"/>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5736736C-3CA3-4124-8FBB-67B1D50C4A5A}"/>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4755B3E1-492B-4EA8-9CAD-21048EC52C0D}"/>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8CE14E82-3499-46A2-8E53-67B5626FC03A}"/>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6D9D5510-06CA-4429-AFF8-5FD10A85D24F}"/>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4F5DDEB6-E4BA-4715-97F6-6BC3121352BD}"/>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ECA7C900-C13F-4E99-B134-316DA20C3E22}"/>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1EB8B060-2482-4A23-9E32-EE84B62C1D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F53C1CCB-BA1D-44B3-9312-8619F1046B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26433550-2B20-473D-8BEA-4C5399AB1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6FE10765-7180-495E-871F-0C85FBE4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E3B6E651-FD05-4B28-B3B9-6CAA24C32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D7BCFE11-7DD6-4928-B854-1CCBD94C2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6871876B-358D-4958-BEA3-DE6AF6EC52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16FE895B-D27D-411D-B925-BAD94B9E8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8DD33756-29BA-4A1E-84D2-148B55AF3EF5}"/>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83E7DEE0-3547-4FBB-AAD7-E83C3572D813}"/>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9EFC9B46-0698-4439-9277-6DF4E6E1B5B1}"/>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7B08AA0C-9809-4A43-B994-91C3895B6DC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FC06BCFD-95FA-47CB-B73B-60D64F2452DF}"/>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757B0E8-E9A7-49AF-A0F8-D2AAA6DA4443}"/>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4EE16A5E-B559-4268-99E5-B1D279538DE8}"/>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88C0163F-BA19-4130-BA7F-8FA5E2CCE091}"/>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6C7DDC28-74D5-4485-85EE-F5A2B03FAA4B}"/>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74AD015E-DCB0-499C-AFE9-BEA5D5BDDDB1}"/>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253480D6-EAC8-45CE-B7DA-075539799FA2}"/>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24A199CC-0812-4651-9D27-DD361B40760F}"/>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17246AFA-64FD-46A9-8BD4-795BFBF2B291}"/>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0F3A165D-2858-4B42-8A78-C7E4CABD4B19}"/>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0448D154-452F-4B0B-9DD2-402D0896572C}"/>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A19930EF-C3A8-44C6-838A-639D44F04B1E}"/>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468FC8D8-A858-47EE-AAB9-1F4588A84F35}"/>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F6912432-66BD-40A1-881B-AD483660BC7D}"/>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C9450476-32B1-42A6-9018-7686EB6C4175}"/>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0B415F5-6332-47FB-8DC1-411946CF6159}"/>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238060DB-4597-423E-8EFB-5296D4D9CD51}"/>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4AF618BB-B712-4031-8AD0-AD0556AA6BC8}"/>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EFD2D6C1-9EF1-4248-9A49-94B2700559E6}"/>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1BFC700F-6667-4592-80E2-8788F4368FB6}"/>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A3E13ACF-4636-4612-A2ED-8DF10800FC60}"/>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90340B6E-2497-4EBD-B624-21FBD1E00DA1}"/>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E534C3FC-FD0F-4645-BF64-BEA71C0FB2D2}"/>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AAFD3F44-6A48-4553-A3E1-1136E567572C}"/>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6C56100D-6C3C-4C02-874B-E2C946F32E3F}"/>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A6F8C63E-A345-4B6F-807E-281B946CD96A}"/>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52EED74D-566D-4E01-B9FB-F54F7507D08E}"/>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CA4B6AEE-2649-4566-A95B-28D88DB22DF4}"/>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AC9CE1C4-4075-4F60-9A47-358102F91E28}"/>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16AE37AF-B222-4D24-A964-A73F4610051B}"/>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9C19A6ED-AC0D-48B5-9DE6-938D35CC720C}"/>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1D0D41C9-C366-4CAD-8611-A15BDB6D07F2}"/>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EB0FC48C-5C81-44C1-AD3D-0C423688A9A0}"/>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BED841DF-1A64-4B55-B001-386FD9A02C31}"/>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AA07DE4-B311-431F-A4EC-48FB7E843A0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7A586267-53AC-4C90-901E-EB027A08EBF4}"/>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07F0A2AC-A8D8-4E60-9612-A3FD6B745B6E}"/>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AD96402D-5118-4857-8FF1-8A709FFCA232}"/>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43EB2DBA-3A35-4E56-A7C4-0EE7D948460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15BFCA0E-2584-4F8A-ADEF-1D4A4A4492D3}"/>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57AA54BB-8D35-4B39-9D7A-40ECA16FDAE8}"/>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D3954E42-C41F-48B8-86B7-CBF41C83D91B}"/>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0C6E5B23-8CE3-4D38-945A-D775B7AE9E98}"/>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C99E9A51-B054-4DC5-A46B-DFB55AE58D35}"/>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801193F1-62F0-40B3-84DE-76F0AAF875F0}"/>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F53CD9B8-D934-47C8-9F18-CFBECCC62744}"/>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FBB8B99B-B60E-4118-AFC4-77FFDF3DC9CE}"/>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F29560FA-959B-4B73-916C-09FAED1C0EF0}"/>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95DFBBD7-0D85-4C1B-AC1C-9A93FA5FF36C}"/>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0434546E-9752-4037-91A9-37B59088562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824E3DE9-629E-4A20-9854-44920F6B99F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2</xdr:col>
      <xdr:colOff>28573</xdr:colOff>
      <xdr:row>5</xdr:row>
      <xdr:rowOff>247651</xdr:rowOff>
    </xdr:from>
    <xdr:to>
      <xdr:col>6</xdr:col>
      <xdr:colOff>66525</xdr:colOff>
      <xdr:row>13</xdr:row>
      <xdr:rowOff>266413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2973" y="1619251"/>
          <a:ext cx="1180952" cy="2304762"/>
        </a:xfrm>
        <a:prstGeom prst="rect">
          <a:avLst/>
        </a:prstGeom>
      </xdr:spPr>
    </xdr:pic>
    <xdr:clientData/>
  </xdr:twoCellAnchor>
  <xdr:twoCellAnchor>
    <xdr:from>
      <xdr:col>7</xdr:col>
      <xdr:colOff>86783</xdr:colOff>
      <xdr:row>2</xdr:row>
      <xdr:rowOff>35984</xdr:rowOff>
    </xdr:from>
    <xdr:to>
      <xdr:col>9</xdr:col>
      <xdr:colOff>67733</xdr:colOff>
      <xdr:row>4</xdr:row>
      <xdr:rowOff>35984</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24299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9</xdr:col>
      <xdr:colOff>151342</xdr:colOff>
      <xdr:row>2</xdr:row>
      <xdr:rowOff>44450</xdr:rowOff>
    </xdr:from>
    <xdr:to>
      <xdr:col>11</xdr:col>
      <xdr:colOff>151342</xdr:colOff>
      <xdr:row>4</xdr:row>
      <xdr:rowOff>44450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065992" y="5588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85726</xdr:colOff>
      <xdr:row>4</xdr:row>
      <xdr:rowOff>27515</xdr:rowOff>
    </xdr:from>
    <xdr:to>
      <xdr:col>30</xdr:col>
      <xdr:colOff>104776</xdr:colOff>
      <xdr:row>5</xdr:row>
      <xdr:rowOff>179915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a:off x="7267576" y="1113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22253</xdr:colOff>
      <xdr:row>22</xdr:row>
      <xdr:rowOff>21352</xdr:rowOff>
    </xdr:from>
    <xdr:to>
      <xdr:col>11</xdr:col>
      <xdr:colOff>31778</xdr:colOff>
      <xdr:row>24</xdr:row>
      <xdr:rowOff>15002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3230591" y="56712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247650</xdr:colOff>
      <xdr:row>2</xdr:row>
      <xdr:rowOff>38099</xdr:rowOff>
    </xdr:from>
    <xdr:to>
      <xdr:col>13</xdr:col>
      <xdr:colOff>247650</xdr:colOff>
      <xdr:row>4</xdr:row>
      <xdr:rowOff>19050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33800" y="5524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278179</xdr:colOff>
      <xdr:row>6</xdr:row>
      <xdr:rowOff>62313</xdr:rowOff>
    </xdr:from>
    <xdr:to>
      <xdr:col>13</xdr:col>
      <xdr:colOff>240079</xdr:colOff>
      <xdr:row>11</xdr:row>
      <xdr:rowOff>66210</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0800000">
          <a:off x="2907079" y="17196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47626</xdr:colOff>
      <xdr:row>2</xdr:row>
      <xdr:rowOff>28575</xdr:rowOff>
    </xdr:from>
    <xdr:to>
      <xdr:col>4</xdr:col>
      <xdr:colOff>38103</xdr:colOff>
      <xdr:row>3</xdr:row>
      <xdr:rowOff>28575</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676276" y="5429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276231</xdr:colOff>
      <xdr:row>4</xdr:row>
      <xdr:rowOff>190525</xdr:rowOff>
    </xdr:from>
    <xdr:to>
      <xdr:col>6</xdr:col>
      <xdr:colOff>6</xdr:colOff>
      <xdr:row>5</xdr:row>
      <xdr:rowOff>184175</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770069" y="126843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F89FD7D4-E51E-4D33-9CA3-A0DABAB45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B85F0A5-1D38-4EBB-983F-B770372C61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1B1DEC05-8A54-4828-B10D-5B40C01F1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D888A3C-E8B9-4AA2-8702-D5FBA72CA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677CB4A3-B432-40D9-BBB6-C032A9CE1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60B6BD91-B9C4-4FF3-8300-39BE984F88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2C9854B5-32E3-41D9-AE3B-38CA1A055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68</xdr:colOff>
      <xdr:row>3</xdr:row>
      <xdr:rowOff>180906</xdr:rowOff>
    </xdr:from>
    <xdr:to>
      <xdr:col>9</xdr:col>
      <xdr:colOff>18830</xdr:colOff>
      <xdr:row>7</xdr:row>
      <xdr:rowOff>218858</xdr:rowOff>
    </xdr:to>
    <xdr:pic>
      <xdr:nvPicPr>
        <xdr:cNvPr id="9" name="Picture 8">
          <a:extLst>
            <a:ext uri="{FF2B5EF4-FFF2-40B4-BE49-F238E27FC236}">
              <a16:creationId xmlns:a16="http://schemas.microsoft.com/office/drawing/2014/main" id="{34B8B73D-D34C-4CD3-9F16-EA57772E3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90623" y="419101"/>
          <a:ext cx="1180952" cy="2304762"/>
        </a:xfrm>
        <a:prstGeom prst="rect">
          <a:avLst/>
        </a:prstGeom>
      </xdr:spPr>
    </xdr:pic>
    <xdr:clientData/>
  </xdr:twoCellAnchor>
  <xdr:twoCellAnchor>
    <xdr:from>
      <xdr:col>11</xdr:col>
      <xdr:colOff>277283</xdr:colOff>
      <xdr:row>4</xdr:row>
      <xdr:rowOff>26459</xdr:rowOff>
    </xdr:from>
    <xdr:to>
      <xdr:col>13</xdr:col>
      <xdr:colOff>258233</xdr:colOff>
      <xdr:row>6</xdr:row>
      <xdr:rowOff>26459</xdr:rowOff>
    </xdr:to>
    <xdr:sp macro="" textlink="Q5">
      <xdr:nvSpPr>
        <xdr:cNvPr id="10" name="Oval 9">
          <a:extLst>
            <a:ext uri="{FF2B5EF4-FFF2-40B4-BE49-F238E27FC236}">
              <a16:creationId xmlns:a16="http://schemas.microsoft.com/office/drawing/2014/main" id="{1E1B7A47-31E3-45C6-AB0E-1F7C6B5E98A2}"/>
            </a:ext>
          </a:extLst>
        </xdr:cNvPr>
        <xdr:cNvSpPr/>
      </xdr:nvSpPr>
      <xdr:spPr>
        <a:xfrm>
          <a:off x="3763433" y="1112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246592</xdr:colOff>
      <xdr:row>6</xdr:row>
      <xdr:rowOff>73025</xdr:rowOff>
    </xdr:from>
    <xdr:to>
      <xdr:col>13</xdr:col>
      <xdr:colOff>246592</xdr:colOff>
      <xdr:row>8</xdr:row>
      <xdr:rowOff>73025</xdr:rowOff>
    </xdr:to>
    <xdr:sp macro="" textlink="Q16">
      <xdr:nvSpPr>
        <xdr:cNvPr id="11" name="Oval 10">
          <a:extLst>
            <a:ext uri="{FF2B5EF4-FFF2-40B4-BE49-F238E27FC236}">
              <a16:creationId xmlns:a16="http://schemas.microsoft.com/office/drawing/2014/main" id="{5B51B7F3-7851-4509-90F4-8F58A3685B1B}"/>
            </a:ext>
          </a:extLst>
        </xdr:cNvPr>
        <xdr:cNvSpPr/>
      </xdr:nvSpPr>
      <xdr:spPr>
        <a:xfrm>
          <a:off x="3732742" y="17303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57151</xdr:colOff>
      <xdr:row>8</xdr:row>
      <xdr:rowOff>132290</xdr:rowOff>
    </xdr:from>
    <xdr:to>
      <xdr:col>13</xdr:col>
      <xdr:colOff>209551</xdr:colOff>
      <xdr:row>11</xdr:row>
      <xdr:rowOff>132290</xdr:rowOff>
    </xdr:to>
    <xdr:sp macro="" textlink="Q6">
      <xdr:nvSpPr>
        <xdr:cNvPr id="12" name="Rectangle 11">
          <a:extLst>
            <a:ext uri="{FF2B5EF4-FFF2-40B4-BE49-F238E27FC236}">
              <a16:creationId xmlns:a16="http://schemas.microsoft.com/office/drawing/2014/main" id="{ADA9E8CE-6030-43AD-B45C-32568ED58DBB}"/>
            </a:ext>
          </a:extLst>
        </xdr:cNvPr>
        <xdr:cNvSpPr/>
      </xdr:nvSpPr>
      <xdr:spPr>
        <a:xfrm rot="16200000">
          <a:off x="3619501" y="25706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212752</xdr:colOff>
      <xdr:row>2</xdr:row>
      <xdr:rowOff>40404</xdr:rowOff>
    </xdr:from>
    <xdr:to>
      <xdr:col>11</xdr:col>
      <xdr:colOff>222277</xdr:colOff>
      <xdr:row>3</xdr:row>
      <xdr:rowOff>34054</xdr:rowOff>
    </xdr:to>
    <xdr:sp macro="" textlink="Q14">
      <xdr:nvSpPr>
        <xdr:cNvPr id="13" name="Rectangle 12">
          <a:extLst>
            <a:ext uri="{FF2B5EF4-FFF2-40B4-BE49-F238E27FC236}">
              <a16:creationId xmlns:a16="http://schemas.microsoft.com/office/drawing/2014/main" id="{1185AC89-DBBA-4613-A0F9-E695EC5C5F07}"/>
            </a:ext>
          </a:extLst>
        </xdr:cNvPr>
        <xdr:cNvSpPr/>
      </xdr:nvSpPr>
      <xdr:spPr>
        <a:xfrm rot="5400000">
          <a:off x="3421090" y="54681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158A5E91-F759-4DC8-A67E-5196571222CB}"/>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7239350D-A6AE-4226-989E-FB95B2F50D6B}"/>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00E6E5A0-690C-40D1-9A65-9D41242EB10B}"/>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28CB850-A6CC-4C0C-92F8-656B69A3E0E8}"/>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EF34F65E-ABCA-48D8-AD2B-729E824767C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A8E1359-19FE-489F-B65B-5D335F49C8D5}"/>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D2A03E6D-C8A9-4FAB-89A1-A14157C40516}"/>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B3BF215D-0835-4DDD-9BFE-06DBE75989D1}"/>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A12677C1-905F-4433-9FBC-D30E426CF23C}"/>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4717F15-0D55-4D11-A66B-B601EB43438E}"/>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F8ED3E9F-2C9A-45E9-82DD-9C188700D947}"/>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7DCA91B0-968E-4A4C-8FFD-4C343439A49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4DFB84DE-2FE0-45D3-A3CB-CD8B890E066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94A966D8-712F-49E8-9C11-A9CF3C36D36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8DC4A4ED-C460-4221-9E8A-43E713047C8F}"/>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38104</xdr:colOff>
      <xdr:row>9</xdr:row>
      <xdr:rowOff>283340</xdr:rowOff>
    </xdr:from>
    <xdr:to>
      <xdr:col>6</xdr:col>
      <xdr:colOff>42001</xdr:colOff>
      <xdr:row>14</xdr:row>
      <xdr:rowOff>245240</xdr:rowOff>
    </xdr:to>
    <xdr:sp macro="" textlink="Q3">
      <xdr:nvSpPr>
        <xdr:cNvPr id="29" name="Rectangle 28" descr="big tent 5x4">
          <a:extLst>
            <a:ext uri="{FF2B5EF4-FFF2-40B4-BE49-F238E27FC236}">
              <a16:creationId xmlns:a16="http://schemas.microsoft.com/office/drawing/2014/main" id="{010F8988-E71C-48FA-930F-6F4787709A40}"/>
            </a:ext>
          </a:extLst>
        </xdr:cNvPr>
        <xdr:cNvSpPr/>
      </xdr:nvSpPr>
      <xdr:spPr>
        <a:xfrm rot="16200000">
          <a:off x="687753" y="2776941"/>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F4CA0C00-61F8-460F-BAA3-FD2DE0CEDF70}"/>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114301</xdr:colOff>
      <xdr:row>7</xdr:row>
      <xdr:rowOff>142875</xdr:rowOff>
    </xdr:from>
    <xdr:to>
      <xdr:col>46</xdr:col>
      <xdr:colOff>104778</xdr:colOff>
      <xdr:row>8</xdr:row>
      <xdr:rowOff>142875</xdr:rowOff>
    </xdr:to>
    <xdr:sp macro="" textlink="Q7">
      <xdr:nvSpPr>
        <xdr:cNvPr id="31" name="Rectangle 30">
          <a:extLst>
            <a:ext uri="{FF2B5EF4-FFF2-40B4-BE49-F238E27FC236}">
              <a16:creationId xmlns:a16="http://schemas.microsoft.com/office/drawing/2014/main" id="{1F6B5935-4EA2-4FE8-BA07-A6DCFD923956}"/>
            </a:ext>
          </a:extLst>
        </xdr:cNvPr>
        <xdr:cNvSpPr/>
      </xdr:nvSpPr>
      <xdr:spPr>
        <a:xfrm>
          <a:off x="9563101" y="20859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95257</xdr:colOff>
      <xdr:row>10</xdr:row>
      <xdr:rowOff>57177</xdr:rowOff>
    </xdr:from>
    <xdr:to>
      <xdr:col>7</xdr:col>
      <xdr:colOff>104782</xdr:colOff>
      <xdr:row>11</xdr:row>
      <xdr:rowOff>50827</xdr:rowOff>
    </xdr:to>
    <xdr:sp macro="" textlink="Q14">
      <xdr:nvSpPr>
        <xdr:cNvPr id="32" name="Rectangle 31">
          <a:extLst>
            <a:ext uri="{FF2B5EF4-FFF2-40B4-BE49-F238E27FC236}">
              <a16:creationId xmlns:a16="http://schemas.microsoft.com/office/drawing/2014/main" id="{BA217ED8-401B-4779-84CC-5154EBE237C2}"/>
            </a:ext>
          </a:extLst>
        </xdr:cNvPr>
        <xdr:cNvSpPr/>
      </xdr:nvSpPr>
      <xdr:spPr>
        <a:xfrm rot="5400000">
          <a:off x="2160595" y="2849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F88981C3-A309-4FE7-913D-3151BA56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99587C7A-3B08-407C-AD84-78CCAF2CC9E5}"/>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3F035524-0168-48D3-98E2-88ACE69352AB}"/>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9601C26-7924-41DF-ABA9-8FD5530543E1}"/>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997C705-4F07-4F79-A994-FADBF07B3E0C}"/>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8B31CA6B-4E1D-4AA8-9023-95B77C0187FA}"/>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D348E3D0-D581-42AA-9ECD-D75B4AF17F8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34E4EC9-5681-4CB0-AE4E-E5578FA7D71D}"/>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EBBCEB4E-9826-4F05-8E35-AA3BBC3A8892}"/>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63A23436-D8FB-4793-BFCE-ADFB8E6DB70B}"/>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C290959C-41C5-47A1-AE41-EE94337AB0F7}"/>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5444E8F1-00CB-4F11-899B-ACFED0042B05}"/>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F5C4448F-6029-42F9-9651-54C8DDC56BB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E792700A-0AEC-4284-BE10-007B89B64A2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1AA369AD-3033-4946-B9CB-272167103B64}"/>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10928DDA-A94C-42D3-AAA3-AF4BDC5BAF43}"/>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14E38092-CCA3-47F4-9ACD-9CCE8DB2EAF5}"/>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5D2D4D8B-9635-4222-86BF-C58657D87B8B}"/>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ED67139B-7033-48D2-9C04-EF7B900E026F}"/>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0A292D09-E845-450D-8066-5A87168044DE}"/>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4014A55-D8C9-4828-90A4-C01FD156CBA6}"/>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8F78A5E-494D-4BD1-8272-DB4E21D0C703}"/>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B5E897D1-1AAA-41E4-97B7-84FA1920F3D8}"/>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B08124C9-557B-45FD-9467-54452DBAF8D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00D94A5C-A274-44A2-A65B-A933D994588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E4504C73-B167-4E71-BEF9-51B5E848BF4A}"/>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89BD10E2-9DAB-473D-92D7-A4429DC25C1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6118E0BB-9FD4-4FFB-B859-37A0D313BD64}"/>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D67BAC23-9CE7-47C0-8756-397C7107C547}"/>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0EF3BAB8-C19D-498E-ACAC-6FEB527AC9C5}"/>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F93B05B5-C7E3-407E-A266-408E38B5227A}"/>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CE74F1F0-6A54-4ADB-9714-043337BCA4D2}"/>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A3C8EEB8-DF0D-47BD-A139-3263C23B9C5B}"/>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95394C2B-5EF3-402B-9E38-D87E42A5A5D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DD8049AB-8607-463D-8BB8-F720D85A9102}"/>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8293B196-7CCE-494E-A989-7A127ED61B48}"/>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6B6C2E14-EE23-427D-AA55-0CAD51768FF6}"/>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042567D0-7981-440F-8750-CA74E37B1C34}"/>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F7FD67DB-759B-4C98-B1EB-55803BAC1B6D}"/>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5928C03D-DA8D-4385-9121-45FEBE04716F}"/>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B2A949F-9625-4B78-AD81-FDB807658570}"/>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6AE9C602-9B77-4410-A3C0-07452751F02D}"/>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F31D51B3-62C4-40D3-AE9C-B51BDBE29792}"/>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3F7BAF1C-8B61-4FDB-8EA8-F1039AB75F14}"/>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960EC487-BBE0-411D-9223-A6F7AA4B334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6880538-2323-49BD-9F84-1D0D18224E01}"/>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A79E4D19-CBCF-4219-9482-E72ADEE9859B}"/>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1263C301-9F09-4508-A889-11B0B2FDF50F}"/>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1E267397-1DE4-4742-9AD6-88BF3D467371}"/>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0D91793F-B0F8-48B8-9202-D671A31762B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09BA33E9-42D2-4EFF-890C-3E46B5E20D4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F5776A13-1414-447D-8590-221A6427427D}"/>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0F59AFDA-7459-40C4-9F8A-BF21D35E478C}"/>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B2884CC4-8C05-4D4B-8FB7-63154F1DD8CD}"/>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5A4C2168-F150-4B38-B2EF-D1AF256C735F}"/>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E5243114-AD67-4C61-B591-2BE4B606DD25}"/>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CE85570A-9D28-4648-A275-C69BDE07549C}"/>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362AB7E-738E-4318-A182-51C86819F1D5}"/>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071766B0-1E71-432B-A20E-13F85CED01F9}"/>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D707A2B-E247-47E2-9A1D-436739563D0E}"/>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32D23E3F-1625-4068-83F5-113B050C0149}"/>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BD5DD6C1-18F5-43BB-B6AF-116558FF0579}"/>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CB813B5A-E724-4719-927A-5597D09CD384}"/>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C39FB756-B564-4C53-9BCF-7EB0CDEB5FD1}"/>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EB25C99E-6794-46FE-B0BB-4301E275754A}"/>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4BA4B33C-308E-4D25-949C-D6966AAE4CC0}"/>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7A9DD212-6649-4229-B8B1-DAED78191664}"/>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57A7F85C-91C9-421D-8651-D1747EB33C94}"/>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B9866104-7C1E-4773-904D-4195C7DD2A50}"/>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590BFA39-6B5D-43A7-87D7-B8A793AEB2A9}"/>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D278318-0F3A-4F9A-B769-874BC6F24187}"/>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30B9BB9D-08BB-46EB-9899-A7BE176E72F5}"/>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E6C79FF3-4F09-47F9-82E7-A401C84B6C10}"/>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0BDB9F08-7D59-4AD1-9D55-D7FD9A038113}"/>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5D5DDC28-AB19-4D24-B79E-3CD24B7685C8}"/>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FC8B0FBE-79D3-40B3-9E16-7279E364BA96}"/>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C3405D76-941C-496A-9EE9-007B7D6A6BC3}"/>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7B9ED77F-D113-4B57-9375-DE23D0AF0E2F}"/>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A334049E-4D2C-4815-96CE-C50A777AA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E646A731-E9DC-46FB-B891-AEECC013D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A2890545-7273-4746-8645-12E1E33D57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38FF3ABC-4CD9-4C12-AAFA-9FE690E4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9C83EC54-4F5D-466B-BD18-3EE618F58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E5FE5E29-8A2F-400F-BC94-EE2A51CFF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D145800C-F69A-4DF5-8B7F-1FE34CF90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6965E35B-E6E0-49A9-A175-4DCF94FE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9CE25152-7216-405C-8E12-DE8897F08856}"/>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915C497A-25DA-46FC-B205-11D25C3734FA}"/>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D45E0942-0FFB-4B04-A58D-DC541DC6F8D0}"/>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68A338E9-E875-4483-A847-CD05B738FBD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B85E4105-0F03-46AB-B701-4FC7E2109494}"/>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A79764C-13CD-4A56-B1E2-DE4D6F4ED5C1}"/>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2A37C4EF-D717-44FA-8B07-D1B9E7236DAF}"/>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191F90D7-8D63-456B-8D67-8423616A7110}"/>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72B793A1-314B-4565-8FD8-BF721CE22CAA}"/>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CF37A8C6-D3D3-4028-9410-387660096D27}"/>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302E78C8-AB7F-4074-AF00-65BECE20E149}"/>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06541740-3AB9-4041-93EF-BCE30D15B09C}"/>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9AB165F9-F201-4BC6-A47A-36FC8DAE87EF}"/>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349AC8DA-120F-4965-B326-CEB08FF23777}"/>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B06E78D6-175E-47C8-ACFB-3674A6244888}"/>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F66FE422-1DE4-4E51-9785-049293B1B93A}"/>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9B5E234E-A568-45C4-BC11-CD5CFB228291}"/>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CD656227-6B8F-425F-97ED-C3DD1096C020}"/>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A8AFF410-8C10-4CC1-BE61-B90BB27F2E57}"/>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838D032-CF70-4007-989C-89406AE1DA20}"/>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0DCA6C29-F517-414A-84A1-AB61C171D490}"/>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763A31F0-367E-4AC1-8659-36FC2F1F86AA}"/>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FFA2486B-1177-4242-9443-8CBF856F8945}"/>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29DE89B6-0704-47CC-9DA1-986E2CB1BE95}"/>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E5706DE6-3109-4C76-89E1-9498CAB73D14}"/>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BE307ECE-5C0D-4B17-BC88-7DFF6AFFCC16}"/>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CA3A4E39-C13A-4201-8080-A5CCCF42B293}"/>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72CEA4AD-FE6A-4357-AF6B-F843C7CF2C97}"/>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41AE1A2A-10DA-4125-B512-129BB8141C16}"/>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EAE57694-3386-4E30-95E5-3BFC6A21542E}"/>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9DA483DF-01AF-4B06-8F78-BD365CEC8A5D}"/>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9D4BAF91-BB89-4946-B5A0-2A9E705244BF}"/>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08F2CC44-19D4-4C9F-9A16-0198DEFFC3A5}"/>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0FF5B065-45E1-4E38-8E21-EAEDE4EF7BE7}"/>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0EC079A5-69E6-4A9D-A140-C6A5991E57F0}"/>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DE4451DE-26D0-4D24-92E9-C822B626EEED}"/>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BB068B1A-3C77-4628-A169-5CDA8CE1A6DA}"/>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158A664D-5D32-4B4E-9457-1AC2AC00EAB8}"/>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27A4CC6-2133-4B58-812B-ADAAB95EA67D}"/>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DB08C532-79C0-41ED-9BFE-C00045141869}"/>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30263C7E-2F6F-4197-AD74-33AC588CE24C}"/>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2CBC6258-625A-4077-8DDE-D5CF00413D7D}"/>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D4D5E8A6-E48C-4C64-BEF9-318DA2768A6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2710A044-9D93-47C9-89A5-7F230F12A492}"/>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993A3618-BFC3-4DFB-8D7F-892DEDD3E704}"/>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031D1696-6163-4613-A664-E1E0EF6D6D68}"/>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34FA85D8-6A52-4219-BD6B-0D3DB394883D}"/>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B9E1FF80-6E2F-4E22-B4B3-003D64F62BE1}"/>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686B2B80-7CB6-4CA4-88E8-1428715B576F}"/>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3B86CFBC-08E0-442F-B3FE-1C1A55555D5A}"/>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E853A702-BE5C-48B0-B17B-EBA60BA368E0}"/>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8264F392-4255-40E8-9B80-63083951CF5E}"/>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A0F4D1B9-353A-4D63-B0A4-08C211BC3C84}"/>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657CFB91-8D28-454D-A580-76E325C17E9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5499675F-EB68-4A34-BCCD-CE9595FA87B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2.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3.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3.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4.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4.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2.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AK191" sqref="AK191"/>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21" t="s">
        <v>2691</v>
      </c>
      <c r="C1" s="1821"/>
      <c r="D1" s="1821"/>
      <c r="E1" s="1821"/>
      <c r="F1" s="1821"/>
      <c r="G1" s="1821"/>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21"/>
      <c r="C2" s="1821"/>
      <c r="D2" s="1821"/>
      <c r="E2" s="1821"/>
      <c r="F2" s="1821"/>
      <c r="G2" s="1821"/>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21"/>
      <c r="C3" s="1821"/>
      <c r="D3" s="1821"/>
      <c r="E3" s="1821"/>
      <c r="F3" s="1821"/>
      <c r="G3" s="1821"/>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21"/>
      <c r="C4" s="1821"/>
      <c r="D4" s="1821"/>
      <c r="E4" s="1821"/>
      <c r="F4" s="1821"/>
      <c r="G4" s="1821"/>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40" t="s">
        <v>634</v>
      </c>
      <c r="C5" s="1841"/>
      <c r="D5" s="604" t="s">
        <v>4</v>
      </c>
      <c r="E5" s="605" t="s">
        <v>0</v>
      </c>
      <c r="F5" s="753"/>
      <c r="G5" s="1840" t="s">
        <v>635</v>
      </c>
      <c r="H5" s="1841"/>
      <c r="I5" s="604" t="s">
        <v>4</v>
      </c>
      <c r="J5" s="605" t="s">
        <v>0</v>
      </c>
      <c r="K5" s="753"/>
      <c r="L5" s="1974" t="str">
        <f>BV14</f>
        <v>Defense (Slica)</v>
      </c>
      <c r="M5" s="1975"/>
      <c r="N5" s="1976"/>
      <c r="O5" s="1533"/>
      <c r="P5" s="1977" t="str">
        <f>BV15</f>
        <v>Vigor</v>
      </c>
      <c r="Q5" s="1978"/>
      <c r="R5" s="1979"/>
      <c r="S5" s="1533"/>
      <c r="T5" s="1980" t="str">
        <f>BV16</f>
        <v>Micro</v>
      </c>
      <c r="U5" s="1981"/>
      <c r="V5" s="1981"/>
      <c r="W5" s="1558"/>
      <c r="X5" s="1982" t="str">
        <f>BV17</f>
        <v>Grow</v>
      </c>
      <c r="Y5" s="1981"/>
      <c r="Z5" s="1981"/>
      <c r="AA5" s="1555"/>
      <c r="AB5" s="2074" t="str">
        <f>BV18</f>
        <v>Bloom</v>
      </c>
      <c r="AC5" s="2075"/>
      <c r="AD5" s="2076"/>
      <c r="AE5" s="1533"/>
      <c r="AF5" s="2077" t="str">
        <f>BV19</f>
        <v>Weight</v>
      </c>
      <c r="AG5" s="1981"/>
      <c r="AH5" s="2078"/>
      <c r="AI5" s="1533"/>
      <c r="AJ5" s="2079" t="str">
        <f>BV20</f>
        <v>Aroma</v>
      </c>
      <c r="AK5" s="2080"/>
      <c r="AL5" s="2081"/>
      <c r="AM5" s="1533"/>
      <c r="AN5" s="2063" t="str">
        <f>BV21</f>
        <v>Flavor</v>
      </c>
      <c r="AO5" s="2075"/>
      <c r="AP5" s="2076"/>
      <c r="AQ5" s="1533"/>
      <c r="AR5" s="2060">
        <f>BV22</f>
        <v>0</v>
      </c>
      <c r="AS5" s="2061"/>
      <c r="AT5" s="2062"/>
      <c r="AU5" s="1533"/>
      <c r="AV5" s="2063" t="str">
        <f>BV23</f>
        <v>Booster</v>
      </c>
      <c r="AW5" s="2064"/>
      <c r="AX5" s="2065"/>
      <c r="AY5" s="1533"/>
      <c r="AZ5" s="2066" t="str">
        <f>BV25</f>
        <v>Additives</v>
      </c>
      <c r="BA5" s="2067"/>
      <c r="BB5" s="2068"/>
      <c r="BC5" s="649"/>
      <c r="BD5" s="2069" t="s">
        <v>969</v>
      </c>
      <c r="BE5" s="2070"/>
      <c r="BF5" s="319"/>
      <c r="BG5" s="2029" t="s">
        <v>2398</v>
      </c>
      <c r="BH5" s="1849"/>
      <c r="BI5" s="2083" t="s">
        <v>972</v>
      </c>
      <c r="BJ5" s="2084"/>
      <c r="BK5" s="2084"/>
      <c r="BL5" s="2084"/>
      <c r="BM5" s="2085"/>
      <c r="BN5" s="1312" t="s">
        <v>1420</v>
      </c>
      <c r="BO5" s="2082" t="s">
        <v>1644</v>
      </c>
      <c r="BP5" s="1849"/>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30" t="s">
        <v>1924</v>
      </c>
      <c r="DA5" s="1831"/>
      <c r="DB5" s="1831"/>
      <c r="DC5" s="1831"/>
      <c r="DD5" s="1831"/>
      <c r="DE5" s="1832"/>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3">
        <f>D310</f>
        <v>44226</v>
      </c>
      <c r="C6" s="1984"/>
      <c r="D6" s="754">
        <f>SUM(C7,D30,D50,D70,D90,D110,D130,D150,D170,D190,D210,D230,D250,D270,D290)</f>
        <v>122</v>
      </c>
      <c r="E6" s="722">
        <f ca="1">D7/D6</f>
        <v>1.0901639344262295</v>
      </c>
      <c r="F6" s="755">
        <f ca="1">TODAY()</f>
        <v>44359</v>
      </c>
      <c r="G6" s="1983">
        <f>I310</f>
        <v>44289</v>
      </c>
      <c r="H6" s="1984"/>
      <c r="I6" s="754">
        <f>SUM(H7,I30,I50,I70,I90,I110,I130,I150,I170,I190,I210,I230,I250,I270,I290)</f>
        <v>138</v>
      </c>
      <c r="J6" s="722">
        <f ca="1">I7/I6</f>
        <v>0.50724637681159424</v>
      </c>
      <c r="K6" s="319"/>
      <c r="L6" s="1985" t="str">
        <f>BU14</f>
        <v>Grotek Gro-Silic</v>
      </c>
      <c r="M6" s="1986"/>
      <c r="N6" s="1987"/>
      <c r="O6" s="1093"/>
      <c r="P6" s="1985" t="str">
        <f>BU15</f>
        <v>GH CALiMAGic</v>
      </c>
      <c r="Q6" s="1988"/>
      <c r="R6" s="1989"/>
      <c r="S6" s="1093"/>
      <c r="T6" s="1985" t="str">
        <f>BU16</f>
        <v>GH FloraMicro</v>
      </c>
      <c r="U6" s="1986"/>
      <c r="V6" s="1987"/>
      <c r="W6" s="1093"/>
      <c r="X6" s="1985" t="str">
        <f>BU17</f>
        <v>GH Flora Gro</v>
      </c>
      <c r="Y6" s="1986"/>
      <c r="Z6" s="1987"/>
      <c r="AA6" s="1093"/>
      <c r="AB6" s="2009" t="str">
        <f>BU18</f>
        <v>GH Flora Bloom</v>
      </c>
      <c r="AC6" s="2010"/>
      <c r="AD6" s="2011"/>
      <c r="AE6" s="1093"/>
      <c r="AF6" s="2012" t="str">
        <f>BU19</f>
        <v>GH KoolBloom</v>
      </c>
      <c r="AG6" s="2013"/>
      <c r="AH6" s="2014"/>
      <c r="AI6" s="1093"/>
      <c r="AJ6" s="2015" t="str">
        <f>BU20</f>
        <v>GH Floralicious+</v>
      </c>
      <c r="AK6" s="2016"/>
      <c r="AL6" s="2017"/>
      <c r="AM6" s="1093"/>
      <c r="AN6" s="2018" t="str">
        <f>BU21</f>
        <v>GH Diamond Nectar</v>
      </c>
      <c r="AO6" s="2019"/>
      <c r="AP6" s="2020"/>
      <c r="AQ6" s="1093"/>
      <c r="AR6" s="2021">
        <f>BU22</f>
        <v>0</v>
      </c>
      <c r="AS6" s="2022"/>
      <c r="AT6" s="2023"/>
      <c r="AU6" s="1093"/>
      <c r="AV6" s="1998" t="str">
        <f>BU23</f>
        <v>GH Ripen</v>
      </c>
      <c r="AW6" s="1999"/>
      <c r="AX6" s="2000"/>
      <c r="AY6" s="1093"/>
      <c r="AZ6" s="2004" t="str">
        <f>BU25</f>
        <v>Epsom Salt</v>
      </c>
      <c r="BA6" s="2005"/>
      <c r="BB6" s="2006"/>
      <c r="BC6" s="757"/>
      <c r="BD6" s="2007" t="s">
        <v>828</v>
      </c>
      <c r="BE6" s="2008"/>
      <c r="BF6" s="756"/>
      <c r="BG6" s="1397">
        <f>BH6/500</f>
        <v>1.0876496697490091E-2</v>
      </c>
      <c r="BH6" s="758">
        <f>IF($BI$6="ON",BR28,IF($BI$6="OFF",BS28))</f>
        <v>5.4382483487450459</v>
      </c>
      <c r="BI6" s="1321" t="s">
        <v>1420</v>
      </c>
      <c r="BJ6" s="2001" t="s">
        <v>2457</v>
      </c>
      <c r="BK6" s="2002"/>
      <c r="BL6" s="2002"/>
      <c r="BM6" s="2003"/>
      <c r="BN6" s="737" t="s">
        <v>1857</v>
      </c>
      <c r="BO6" s="2029" t="s">
        <v>1932</v>
      </c>
      <c r="BP6" s="1849"/>
      <c r="BQ6" s="1481"/>
      <c r="BR6" s="1315"/>
      <c r="BS6" s="1316"/>
      <c r="BT6" s="936"/>
      <c r="BU6" s="1311"/>
      <c r="BV6" s="1311"/>
      <c r="BW6" s="1277"/>
      <c r="BX6" s="1277"/>
      <c r="BY6" s="1277"/>
      <c r="BZ6" s="1277"/>
      <c r="CA6" s="1277"/>
      <c r="CB6" s="1277"/>
      <c r="CC6" s="1277"/>
      <c r="CD6" s="1330"/>
      <c r="CE6" s="1277"/>
      <c r="CF6" s="1277"/>
      <c r="CG6" s="1277"/>
      <c r="CH6" s="1330"/>
      <c r="CI6" s="1277"/>
      <c r="CJ6" s="1277"/>
      <c r="CK6" s="2071"/>
      <c r="CL6" s="2072"/>
      <c r="CM6" s="2072"/>
      <c r="CN6" s="1278"/>
      <c r="CO6" s="1278"/>
      <c r="CP6" s="1278"/>
      <c r="CQ6" s="1278"/>
      <c r="CR6" s="1278"/>
      <c r="CS6" s="1282">
        <v>10</v>
      </c>
      <c r="CT6" s="1282">
        <v>5</v>
      </c>
      <c r="CU6" s="1282">
        <v>0.05</v>
      </c>
      <c r="CV6" s="1282">
        <v>1</v>
      </c>
      <c r="CW6" s="1282">
        <v>5</v>
      </c>
      <c r="CX6" s="1282">
        <v>0.5</v>
      </c>
      <c r="CY6" s="1282">
        <v>5</v>
      </c>
      <c r="CZ6" s="1833" t="s">
        <v>1925</v>
      </c>
      <c r="DA6" s="1834"/>
      <c r="DB6" s="1834"/>
      <c r="DC6" s="1834"/>
      <c r="DD6" s="1834"/>
      <c r="DE6" s="1835"/>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133</v>
      </c>
      <c r="E7" s="724">
        <f ca="1">D6-D7</f>
        <v>-11</v>
      </c>
      <c r="F7" s="319"/>
      <c r="G7" s="1392" t="s">
        <v>852</v>
      </c>
      <c r="H7" s="776">
        <v>14</v>
      </c>
      <c r="I7" s="723">
        <f ca="1">$F6-G6</f>
        <v>70</v>
      </c>
      <c r="J7" s="724">
        <f ca="1">I6-I7</f>
        <v>68</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30" t="str">
        <f>BU24</f>
        <v>KoolBloom (Dry)</v>
      </c>
      <c r="AW7" s="2005"/>
      <c r="AX7" s="2006"/>
      <c r="AY7" s="1035"/>
      <c r="AZ7" s="2031" t="str">
        <f>BU26</f>
        <v>Z9 (2 Part)</v>
      </c>
      <c r="BA7" s="2032"/>
      <c r="BB7" s="2033"/>
      <c r="BC7" s="725"/>
      <c r="BD7" s="2007" t="s">
        <v>830</v>
      </c>
      <c r="BE7" s="2008"/>
      <c r="BF7" s="726"/>
      <c r="BG7" s="1390" t="s">
        <v>2397</v>
      </c>
      <c r="BH7" s="1396" t="s">
        <v>2394</v>
      </c>
      <c r="BI7" s="609" t="s">
        <v>2396</v>
      </c>
      <c r="BJ7" s="609" t="s">
        <v>971</v>
      </c>
      <c r="BK7" s="609" t="s">
        <v>968</v>
      </c>
      <c r="BL7" s="2029" t="s">
        <v>1329</v>
      </c>
      <c r="BM7" s="2025"/>
      <c r="BN7" s="2025"/>
      <c r="BO7" s="1854"/>
      <c r="BP7" s="1849"/>
      <c r="BQ7" s="1482"/>
      <c r="BR7" s="1315"/>
      <c r="BS7" s="1317"/>
      <c r="BT7" s="1318"/>
      <c r="BU7" s="1311"/>
      <c r="BV7" s="1311"/>
      <c r="BW7" s="2042" t="s">
        <v>1386</v>
      </c>
      <c r="BX7" s="2043"/>
      <c r="BY7" s="2043"/>
      <c r="BZ7" s="2043"/>
      <c r="CA7" s="2043"/>
      <c r="CB7" s="2044"/>
      <c r="CC7" s="2050" t="s">
        <v>1387</v>
      </c>
      <c r="CD7" s="2051"/>
      <c r="CE7" s="2051"/>
      <c r="CF7" s="2051"/>
      <c r="CG7" s="2051"/>
      <c r="CH7" s="2051"/>
      <c r="CI7" s="2073"/>
      <c r="CJ7" s="1187"/>
      <c r="CK7" s="2048" t="s">
        <v>1865</v>
      </c>
      <c r="CL7" s="2049"/>
      <c r="CM7" s="2049"/>
      <c r="CN7" s="1927"/>
      <c r="CO7" s="1927"/>
      <c r="CP7" s="1927"/>
      <c r="CQ7" s="2035"/>
      <c r="CR7" s="2045" t="s">
        <v>1385</v>
      </c>
      <c r="CS7" s="2046"/>
      <c r="CT7" s="2046"/>
      <c r="CU7" s="2046"/>
      <c r="CV7" s="2046"/>
      <c r="CW7" s="2046"/>
      <c r="CX7" s="2046"/>
      <c r="CY7" s="2047"/>
      <c r="CZ7" s="2059" t="s">
        <v>1250</v>
      </c>
      <c r="DA7" s="1927"/>
      <c r="DB7" s="1927"/>
      <c r="DC7" s="1927"/>
      <c r="DD7" s="1927"/>
      <c r="DE7" s="1927"/>
      <c r="DF7" s="2035"/>
      <c r="DG7" s="1995" t="s">
        <v>1871</v>
      </c>
      <c r="DH7" s="1996"/>
      <c r="DI7" s="1996"/>
      <c r="DJ7" s="1996"/>
      <c r="DK7" s="1996"/>
      <c r="DL7" s="1996"/>
      <c r="DM7" s="1997"/>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90" t="s">
        <v>200</v>
      </c>
      <c r="C8" s="1991"/>
      <c r="D8" s="1404" t="s">
        <v>191</v>
      </c>
      <c r="E8" s="610" t="s">
        <v>1</v>
      </c>
      <c r="F8" s="319"/>
      <c r="G8" s="1990" t="s">
        <v>200</v>
      </c>
      <c r="H8" s="1991"/>
      <c r="I8" s="604" t="s">
        <v>191</v>
      </c>
      <c r="J8" s="611" t="s">
        <v>848</v>
      </c>
      <c r="K8" s="319"/>
      <c r="L8" s="1018" t="s">
        <v>956</v>
      </c>
      <c r="M8" s="1018" t="s">
        <v>4</v>
      </c>
      <c r="N8" s="612" t="s">
        <v>6</v>
      </c>
      <c r="O8" s="1534"/>
      <c r="P8" s="1992" t="s">
        <v>1319</v>
      </c>
      <c r="Q8" s="1993"/>
      <c r="R8" s="1994"/>
      <c r="S8" s="1534"/>
      <c r="T8" s="1992" t="s">
        <v>982</v>
      </c>
      <c r="U8" s="1993"/>
      <c r="V8" s="1994"/>
      <c r="W8" s="1534"/>
      <c r="X8" s="1992" t="s">
        <v>983</v>
      </c>
      <c r="Y8" s="1993"/>
      <c r="Z8" s="1994"/>
      <c r="AA8" s="1534"/>
      <c r="AB8" s="2026" t="s">
        <v>849</v>
      </c>
      <c r="AC8" s="2027"/>
      <c r="AD8" s="2028"/>
      <c r="AE8" s="1534"/>
      <c r="AF8" s="2024" t="s">
        <v>1353</v>
      </c>
      <c r="AG8" s="2025"/>
      <c r="AH8" s="1852"/>
      <c r="AI8" s="1534"/>
      <c r="AJ8" s="2026" t="s">
        <v>974</v>
      </c>
      <c r="AK8" s="2027"/>
      <c r="AL8" s="2028"/>
      <c r="AM8" s="1534"/>
      <c r="AN8" s="2026" t="s">
        <v>643</v>
      </c>
      <c r="AO8" s="2027"/>
      <c r="AP8" s="2028"/>
      <c r="AQ8" s="1534"/>
      <c r="AR8" s="2026" t="s">
        <v>1669</v>
      </c>
      <c r="AS8" s="2027"/>
      <c r="AT8" s="2028"/>
      <c r="AU8" s="1534"/>
      <c r="AV8" s="1992" t="s">
        <v>850</v>
      </c>
      <c r="AW8" s="1993"/>
      <c r="AX8" s="1994"/>
      <c r="AY8" s="1534"/>
      <c r="AZ8" s="2031" t="str">
        <f>BU27</f>
        <v>AG F Fungacide</v>
      </c>
      <c r="BA8" s="2032"/>
      <c r="BB8" s="2033"/>
      <c r="BC8" s="649"/>
      <c r="BD8" s="2024" t="s">
        <v>973</v>
      </c>
      <c r="BE8" s="2034"/>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2" t="s">
        <v>1873</v>
      </c>
      <c r="FP10" s="1843"/>
      <c r="FQ10" s="1843"/>
      <c r="FR10" s="1843"/>
      <c r="FS10" s="1843"/>
      <c r="FT10" s="1843"/>
      <c r="FU10" s="1843"/>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2" t="s">
        <v>962</v>
      </c>
      <c r="C11" s="1913"/>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4" t="s">
        <v>963</v>
      </c>
      <c r="C12" s="1915"/>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6" t="s">
        <v>964</v>
      </c>
      <c r="C13" s="1917"/>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8" t="s">
        <v>961</v>
      </c>
      <c r="C14" s="1919"/>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0" t="s">
        <v>960</v>
      </c>
      <c r="C15" s="1921"/>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2" t="s">
        <v>957</v>
      </c>
      <c r="C16" s="1923"/>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3" t="s">
        <v>958</v>
      </c>
      <c r="C17" s="1904"/>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5" t="s">
        <v>959</v>
      </c>
      <c r="C18" s="1906"/>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5" t="s">
        <v>1254</v>
      </c>
      <c r="C19" s="1906"/>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7" t="s">
        <v>2</v>
      </c>
      <c r="C30" s="1908"/>
      <c r="D30" s="776">
        <v>7</v>
      </c>
      <c r="E30" s="645">
        <v>20</v>
      </c>
      <c r="F30" s="319"/>
      <c r="G30" s="1907" t="s">
        <v>1342</v>
      </c>
      <c r="H30" s="1908"/>
      <c r="I30" s="776">
        <v>7</v>
      </c>
      <c r="J30" s="646">
        <v>1</v>
      </c>
      <c r="K30" s="319"/>
      <c r="L30" s="1941" t="s">
        <v>1318</v>
      </c>
      <c r="M30" s="1942"/>
      <c r="N30" s="1943"/>
      <c r="O30" s="1536">
        <f>SUM($BH$6,$N31)</f>
        <v>18.996702774108325</v>
      </c>
      <c r="P30" s="647">
        <v>10000</v>
      </c>
      <c r="Q30" s="623" t="s">
        <v>825</v>
      </c>
      <c r="R30" s="777">
        <f>(P30/69.5388)</f>
        <v>143.80460980057177</v>
      </c>
      <c r="S30" s="1536">
        <f>SUM($O30,$R31)</f>
        <v>60.245531408308878</v>
      </c>
      <c r="T30" s="1850" t="str">
        <f>IF($BN$5="ON","82F                28c",IF($BN$5="OFF","80F                27c"))</f>
        <v>82F                28c</v>
      </c>
      <c r="U30" s="1851"/>
      <c r="V30" s="1852"/>
      <c r="W30" s="1536">
        <f>SUM($S30,$V31)</f>
        <v>149.00178059467862</v>
      </c>
      <c r="X30" s="1850" t="str">
        <f>IF($BN$5="ON","70F                21c",IF($BN$5="OFF","70F                21c"))</f>
        <v>70F                21c</v>
      </c>
      <c r="Y30" s="1851"/>
      <c r="Z30" s="1852"/>
      <c r="AA30" s="1536">
        <f>SUM($W30,$Z31)</f>
        <v>192.25004871834693</v>
      </c>
      <c r="AB30" s="1850" t="str">
        <f>IF($BN$5="ON","75%                60%",IF($BN$5="OFF","75%                60%"))</f>
        <v>75%                60%</v>
      </c>
      <c r="AC30" s="1851"/>
      <c r="AD30" s="1852"/>
      <c r="AE30" s="1536">
        <f>SUM($AA30,$AD31)</f>
        <v>262.79529725381246</v>
      </c>
      <c r="AF30" s="1968" t="s">
        <v>1355</v>
      </c>
      <c r="AG30" s="1969"/>
      <c r="AH30" s="1852"/>
      <c r="AI30" s="1536">
        <f>SUM($AE30,$AH31)</f>
        <v>262.79529725381246</v>
      </c>
      <c r="AJ30" s="1968" t="s">
        <v>3</v>
      </c>
      <c r="AK30" s="1969"/>
      <c r="AL30" s="1852"/>
      <c r="AM30" s="1536">
        <f>SUM($AI30,$AL31)</f>
        <v>262.79529725381246</v>
      </c>
      <c r="AN30" s="1968" t="s">
        <v>976</v>
      </c>
      <c r="AO30" s="1969"/>
      <c r="AP30" s="1852"/>
      <c r="AQ30" s="1536">
        <f>SUM($AM30,$AP31)</f>
        <v>269.82701705438797</v>
      </c>
      <c r="AR30" s="1850" t="str">
        <f>IF($BN$5="ON","68F                20c",IF($BN$5="OFF","68F                20c"))</f>
        <v>68F                20c</v>
      </c>
      <c r="AS30" s="1851"/>
      <c r="AT30" s="1852"/>
      <c r="AU30" s="1536">
        <f>SUM($AQ30,$AT31)</f>
        <v>269.82701705438797</v>
      </c>
      <c r="AV30" s="1850" t="str">
        <f>IF($BN$5="ON","1000 PPM co2",IF($BN$5="OFF","1000 PPM co2"))</f>
        <v>1000 PPM co2</v>
      </c>
      <c r="AW30" s="1851"/>
      <c r="AX30" s="1852"/>
      <c r="AY30" s="1536">
        <f>SUM($AU30,$AX31,$AX32)</f>
        <v>269.82701705438797</v>
      </c>
      <c r="AZ30" s="745">
        <f>DX$331</f>
        <v>0.5</v>
      </c>
      <c r="BA30" s="728">
        <f>(E30*AZ30)*(J30)</f>
        <v>10</v>
      </c>
      <c r="BB30" s="729">
        <f>IF($BI$6="ON",$BR45,IF($BI$6="OFF",$BS45))</f>
        <v>29.98678996036988</v>
      </c>
      <c r="BC30" s="894">
        <f>SUM($AY30,$BB30,$BB31,$BB32)</f>
        <v>299.81380701475786</v>
      </c>
      <c r="BD30" s="1970">
        <v>6.3</v>
      </c>
      <c r="BE30" s="1971"/>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2" t="s">
        <v>1873</v>
      </c>
      <c r="FP30" s="1843"/>
      <c r="FQ30" s="1843"/>
      <c r="FR30" s="1843"/>
      <c r="FS30" s="1843"/>
      <c r="FT30" s="1843"/>
      <c r="FU30" s="1843"/>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8" t="s">
        <v>5</v>
      </c>
      <c r="C31" s="1889"/>
      <c r="D31" s="1890">
        <f>SUM(B6+C7)</f>
        <v>44240</v>
      </c>
      <c r="E31" s="1891"/>
      <c r="F31" s="319"/>
      <c r="G31" s="1888" t="s">
        <v>5</v>
      </c>
      <c r="H31" s="1889"/>
      <c r="I31" s="1890">
        <f>SUM(G6+H7)</f>
        <v>44303</v>
      </c>
      <c r="J31" s="1891"/>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9" t="s">
        <v>636</v>
      </c>
      <c r="C32" s="1960"/>
      <c r="D32" s="601">
        <f>SUM(C7)</f>
        <v>14</v>
      </c>
      <c r="E32" s="602">
        <f>(D32/7)</f>
        <v>2</v>
      </c>
      <c r="F32" s="753"/>
      <c r="G32" s="1959" t="s">
        <v>636</v>
      </c>
      <c r="H32" s="1960"/>
      <c r="I32" s="601">
        <f>SUM(H7)</f>
        <v>14</v>
      </c>
      <c r="J32" s="707">
        <f>(I32/7)</f>
        <v>2</v>
      </c>
      <c r="K32" s="753"/>
      <c r="L32" s="1844" t="s">
        <v>1681</v>
      </c>
      <c r="M32" s="1845"/>
      <c r="N32" s="1845"/>
      <c r="O32" s="1845"/>
      <c r="P32" s="1845"/>
      <c r="Q32" s="1845"/>
      <c r="R32" s="1845"/>
      <c r="S32" s="1845"/>
      <c r="T32" s="1845"/>
      <c r="U32" s="1845"/>
      <c r="V32" s="1845"/>
      <c r="W32" s="1845"/>
      <c r="X32" s="1845"/>
      <c r="Y32" s="1845"/>
      <c r="Z32" s="1845"/>
      <c r="AA32" s="1845"/>
      <c r="AB32" s="1845"/>
      <c r="AC32" s="1845"/>
      <c r="AD32" s="1845"/>
      <c r="AE32" s="1845"/>
      <c r="AF32" s="1845"/>
      <c r="AG32" s="1845"/>
      <c r="AH32" s="1845"/>
      <c r="AI32" s="1845"/>
      <c r="AJ32" s="1845"/>
      <c r="AK32" s="1845"/>
      <c r="AL32" s="1845"/>
      <c r="AM32" s="1845"/>
      <c r="AN32" s="1845"/>
      <c r="AO32" s="1845"/>
      <c r="AP32" s="1845"/>
      <c r="AQ32" s="1845"/>
      <c r="AR32" s="1845"/>
      <c r="AS32" s="1845"/>
      <c r="AT32" s="1845"/>
      <c r="AU32" s="1846"/>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6" t="s">
        <v>1345</v>
      </c>
      <c r="C33" s="1937"/>
      <c r="D33" s="652">
        <v>1</v>
      </c>
      <c r="E33" s="781"/>
      <c r="F33" s="753"/>
      <c r="G33" s="1924"/>
      <c r="H33" s="1925"/>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49" t="s">
        <v>1373</v>
      </c>
      <c r="BM33" s="1950"/>
      <c r="BN33" s="1951"/>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9" t="s">
        <v>1346</v>
      </c>
      <c r="C34" s="1925"/>
      <c r="D34" s="653">
        <v>1</v>
      </c>
      <c r="E34" s="788"/>
      <c r="F34" s="319"/>
      <c r="G34" s="1929"/>
      <c r="H34" s="1925"/>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44" t="s">
        <v>1381</v>
      </c>
      <c r="BM34" s="1831"/>
      <c r="BN34" s="1945"/>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4" t="s">
        <v>1347</v>
      </c>
      <c r="C35" s="1925"/>
      <c r="D35" s="653">
        <v>1</v>
      </c>
      <c r="E35" s="794"/>
      <c r="F35" s="319"/>
      <c r="G35" s="1924"/>
      <c r="H35" s="1925"/>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44" t="s">
        <v>1365</v>
      </c>
      <c r="BM35" s="1831"/>
      <c r="BN35" s="1945"/>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9" t="s">
        <v>1382</v>
      </c>
      <c r="C36" s="1925"/>
      <c r="D36" s="653">
        <v>1</v>
      </c>
      <c r="E36" s="788"/>
      <c r="F36" s="319"/>
      <c r="G36" s="1929"/>
      <c r="H36" s="1925"/>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1946" t="s">
        <v>1373</v>
      </c>
      <c r="BM36" s="1947"/>
      <c r="BN36" s="1948"/>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4" t="s">
        <v>1383</v>
      </c>
      <c r="C37" s="1925"/>
      <c r="D37" s="653">
        <v>1</v>
      </c>
      <c r="E37" s="794"/>
      <c r="F37" s="319"/>
      <c r="G37" s="1924"/>
      <c r="H37" s="1925"/>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49" t="s">
        <v>1373</v>
      </c>
      <c r="BM37" s="1950"/>
      <c r="BN37" s="1951"/>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2" t="s">
        <v>2690</v>
      </c>
      <c r="C38" s="1973"/>
      <c r="D38" s="654">
        <v>1</v>
      </c>
      <c r="E38" s="796"/>
      <c r="F38" s="319"/>
      <c r="G38" s="1972"/>
      <c r="H38" s="1973"/>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44" t="s">
        <v>1381</v>
      </c>
      <c r="BM38" s="1831"/>
      <c r="BN38" s="1945"/>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1946"/>
      <c r="BM39" s="1947"/>
      <c r="BN39" s="1948"/>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2" t="s">
        <v>962</v>
      </c>
      <c r="C40" s="1913"/>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4" t="s">
        <v>963</v>
      </c>
      <c r="C41" s="1915"/>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6" t="s">
        <v>964</v>
      </c>
      <c r="C42" s="1917"/>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8" t="s">
        <v>961</v>
      </c>
      <c r="C43" s="1919"/>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0" t="s">
        <v>960</v>
      </c>
      <c r="C44" s="1921"/>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2" t="s">
        <v>957</v>
      </c>
      <c r="C45" s="1923"/>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3" t="s">
        <v>958</v>
      </c>
      <c r="C46" s="1904"/>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5" t="s">
        <v>959</v>
      </c>
      <c r="C47" s="1906"/>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5" t="s">
        <v>1254</v>
      </c>
      <c r="C48" s="1906"/>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7" t="s">
        <v>1343</v>
      </c>
      <c r="C50" s="1908"/>
      <c r="D50" s="776">
        <v>10</v>
      </c>
      <c r="E50" s="661">
        <v>20</v>
      </c>
      <c r="F50" s="319"/>
      <c r="G50" s="1907" t="s">
        <v>1343</v>
      </c>
      <c r="H50" s="1908"/>
      <c r="I50" s="776">
        <v>10</v>
      </c>
      <c r="J50" s="646">
        <v>1</v>
      </c>
      <c r="K50" s="319"/>
      <c r="L50" s="1941" t="s">
        <v>1317</v>
      </c>
      <c r="M50" s="1942"/>
      <c r="N50" s="1943"/>
      <c r="O50" s="1536">
        <f>SUM($BH$6,$N51)</f>
        <v>18.996702774108325</v>
      </c>
      <c r="P50" s="647">
        <v>15000</v>
      </c>
      <c r="Q50" s="623" t="s">
        <v>825</v>
      </c>
      <c r="R50" s="777">
        <f>(P50/69.5388)</f>
        <v>215.70691470085768</v>
      </c>
      <c r="S50" s="1536">
        <f>SUM($O50,$R51)</f>
        <v>101.49436004250944</v>
      </c>
      <c r="T50" s="1850" t="str">
        <f>IF($BN$5="ON","82F                28c",IF($BN$5="OFF","80F                27c"))</f>
        <v>82F                28c</v>
      </c>
      <c r="U50" s="1851"/>
      <c r="V50" s="1852"/>
      <c r="W50" s="1536">
        <f>SUM($S50,$V51)</f>
        <v>247.68112340829489</v>
      </c>
      <c r="X50" s="1850" t="str">
        <f>IF($BN$5="ON","70F                21c",IF($BN$5="OFF","70F                21c"))</f>
        <v>70F                21c</v>
      </c>
      <c r="Y50" s="1851"/>
      <c r="Z50" s="1852"/>
      <c r="AA50" s="1536">
        <f>SUM($W50,$Z51)</f>
        <v>347.4848190782987</v>
      </c>
      <c r="AB50" s="1850" t="str">
        <f>IF($BN$5="ON","70%                55%",IF($BN$5="OFF","70%                55%"))</f>
        <v>70%                55%</v>
      </c>
      <c r="AC50" s="1851"/>
      <c r="AD50" s="1852"/>
      <c r="AE50" s="1536">
        <f>SUM($AA50,$AD51)</f>
        <v>426.32950861793665</v>
      </c>
      <c r="AF50" s="1968" t="s">
        <v>1354</v>
      </c>
      <c r="AG50" s="1969"/>
      <c r="AH50" s="1852"/>
      <c r="AI50" s="1536">
        <f>SUM($AE50,$AH51)</f>
        <v>426.32950861793665</v>
      </c>
      <c r="AJ50" s="1968" t="s">
        <v>3</v>
      </c>
      <c r="AK50" s="1969"/>
      <c r="AL50" s="1852"/>
      <c r="AM50" s="1536">
        <f>SUM($AI50,$AL51)</f>
        <v>426.32950861793665</v>
      </c>
      <c r="AN50" s="1968" t="s">
        <v>977</v>
      </c>
      <c r="AO50" s="1969"/>
      <c r="AP50" s="1852"/>
      <c r="AQ50" s="1536">
        <f>SUM($AM50,$AP51)</f>
        <v>436.87708831879991</v>
      </c>
      <c r="AR50" s="1850" t="str">
        <f>IF($BN$5="ON","68F                20c",IF($BN$5="OFF","68F                20c"))</f>
        <v>68F                20c</v>
      </c>
      <c r="AS50" s="1851"/>
      <c r="AT50" s="1852"/>
      <c r="AU50" s="1536">
        <f>SUM($AQ50,$AT51)</f>
        <v>436.87708831879991</v>
      </c>
      <c r="AV50" s="1850" t="str">
        <f>IF($BN$5="ON","1500 PPM co2",IF($BN$5="OFF","1500 PPM co2"))</f>
        <v>1500 PPM co2</v>
      </c>
      <c r="AW50" s="1851"/>
      <c r="AX50" s="1852"/>
      <c r="AY50" s="1536">
        <f>SUM($AU50,$AX51,$AX52)</f>
        <v>436.87708831879991</v>
      </c>
      <c r="AZ50" s="745">
        <f>DY$331</f>
        <v>0.5</v>
      </c>
      <c r="BA50" s="728">
        <f>(E50*AZ50)*(J50)</f>
        <v>10</v>
      </c>
      <c r="BB50" s="729">
        <f>IF($BI$6="ON",$BR65,IF($BI$6="OFF",$BS65))</f>
        <v>29.98678996036988</v>
      </c>
      <c r="BC50" s="894">
        <f>SUM($AY50,$BB50,$BB51,$BB52)</f>
        <v>466.8638782791698</v>
      </c>
      <c r="BD50" s="1970">
        <v>6.2</v>
      </c>
      <c r="BE50" s="1971"/>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2" t="s">
        <v>1873</v>
      </c>
      <c r="FP50" s="1843"/>
      <c r="FQ50" s="1843"/>
      <c r="FR50" s="1843"/>
      <c r="FS50" s="1843"/>
      <c r="FT50" s="1843"/>
      <c r="FU50" s="1843"/>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8" t="s">
        <v>7</v>
      </c>
      <c r="C51" s="1889"/>
      <c r="D51" s="1890">
        <f>SUM(D31,D30)</f>
        <v>44247</v>
      </c>
      <c r="E51" s="1891"/>
      <c r="F51" s="319"/>
      <c r="G51" s="1888" t="s">
        <v>7</v>
      </c>
      <c r="H51" s="1889"/>
      <c r="I51" s="1890">
        <f>SUM(I31,I30)</f>
        <v>44310</v>
      </c>
      <c r="J51" s="1891"/>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9" t="s">
        <v>636</v>
      </c>
      <c r="C52" s="1960"/>
      <c r="D52" s="601">
        <f>SUM(C7,D30)</f>
        <v>21</v>
      </c>
      <c r="E52" s="706">
        <f>(D52/7)</f>
        <v>3</v>
      </c>
      <c r="F52" s="753"/>
      <c r="G52" s="1959" t="s">
        <v>636</v>
      </c>
      <c r="H52" s="1960"/>
      <c r="I52" s="601">
        <f>SUM(H7,I30)</f>
        <v>21</v>
      </c>
      <c r="J52" s="706">
        <f>(I52/7)</f>
        <v>3</v>
      </c>
      <c r="K52" s="753"/>
      <c r="L52" s="1844" t="s">
        <v>664</v>
      </c>
      <c r="M52" s="1845"/>
      <c r="N52" s="1845"/>
      <c r="O52" s="1845"/>
      <c r="P52" s="1845"/>
      <c r="Q52" s="1845"/>
      <c r="R52" s="1845"/>
      <c r="S52" s="1845"/>
      <c r="T52" s="1845"/>
      <c r="U52" s="1845"/>
      <c r="V52" s="1845"/>
      <c r="W52" s="1845"/>
      <c r="X52" s="1845"/>
      <c r="Y52" s="1845"/>
      <c r="Z52" s="1845"/>
      <c r="AA52" s="1845"/>
      <c r="AB52" s="1845"/>
      <c r="AC52" s="1845"/>
      <c r="AD52" s="1845"/>
      <c r="AE52" s="1845"/>
      <c r="AF52" s="1845"/>
      <c r="AG52" s="1845"/>
      <c r="AH52" s="1845"/>
      <c r="AI52" s="1845"/>
      <c r="AJ52" s="1845"/>
      <c r="AK52" s="1845"/>
      <c r="AL52" s="1845"/>
      <c r="AM52" s="1845"/>
      <c r="AN52" s="1845"/>
      <c r="AO52" s="1845"/>
      <c r="AP52" s="1845"/>
      <c r="AQ52" s="1845"/>
      <c r="AR52" s="1845"/>
      <c r="AS52" s="1845"/>
      <c r="AT52" s="1845"/>
      <c r="AU52" s="1846"/>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6" t="str">
        <f>$B$33</f>
        <v>Expert Light</v>
      </c>
      <c r="C53" s="1937"/>
      <c r="D53" s="652">
        <v>1</v>
      </c>
      <c r="E53" s="831"/>
      <c r="F53" s="753"/>
      <c r="G53" s="1924"/>
      <c r="H53" s="1925"/>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9" t="s">
        <v>1374</v>
      </c>
      <c r="BM53" s="1950"/>
      <c r="BN53" s="1951"/>
      <c r="BO53" s="1579"/>
      <c r="BP53" s="1579"/>
      <c r="BQ53" s="1484"/>
      <c r="BR53" s="873" t="s">
        <v>1350</v>
      </c>
      <c r="BS53" s="691" t="s">
        <v>6</v>
      </c>
      <c r="BT53" s="691" t="s">
        <v>928</v>
      </c>
      <c r="BU53" s="1961" t="s">
        <v>1328</v>
      </c>
      <c r="BV53" s="1962"/>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9" t="str">
        <f>$B$34</f>
        <v>Expert Medium</v>
      </c>
      <c r="C54" s="1925"/>
      <c r="D54" s="653">
        <v>1</v>
      </c>
      <c r="E54" s="836"/>
      <c r="F54" s="319"/>
      <c r="G54" s="1929"/>
      <c r="H54" s="1925"/>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4" t="s">
        <v>1380</v>
      </c>
      <c r="BM54" s="1831"/>
      <c r="BN54" s="1945"/>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4" t="str">
        <f>$B$35</f>
        <v>Expert Heavy</v>
      </c>
      <c r="C55" s="1925"/>
      <c r="D55" s="653">
        <v>1</v>
      </c>
      <c r="E55" s="841"/>
      <c r="F55" s="319"/>
      <c r="G55" s="1924"/>
      <c r="H55" s="1925"/>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4" t="s">
        <v>1372</v>
      </c>
      <c r="BM55" s="1831"/>
      <c r="BN55" s="1945"/>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9" t="str">
        <f>$B$36</f>
        <v>Full Light</v>
      </c>
      <c r="C56" s="1925"/>
      <c r="D56" s="653">
        <v>1</v>
      </c>
      <c r="E56" s="836"/>
      <c r="F56" s="319"/>
      <c r="G56" s="1929"/>
      <c r="H56" s="1925"/>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4" t="s">
        <v>1374</v>
      </c>
      <c r="BM56" s="1831"/>
      <c r="BN56" s="1945"/>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4" t="str">
        <f>$B$37</f>
        <v>Full Medium</v>
      </c>
      <c r="C57" s="1925"/>
      <c r="D57" s="653">
        <v>1</v>
      </c>
      <c r="E57" s="841"/>
      <c r="F57" s="319"/>
      <c r="G57" s="1924"/>
      <c r="H57" s="1925"/>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4" t="s">
        <v>1380</v>
      </c>
      <c r="BM57" s="1831"/>
      <c r="BN57" s="1945"/>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9" t="str">
        <f>$B$38</f>
        <v>Testing</v>
      </c>
      <c r="C58" s="1925"/>
      <c r="D58" s="653">
        <v>1</v>
      </c>
      <c r="E58" s="836"/>
      <c r="F58" s="319"/>
      <c r="G58" s="1929"/>
      <c r="H58" s="1925"/>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6"/>
      <c r="BM58" s="1947"/>
      <c r="BN58" s="1948"/>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2" t="s">
        <v>962</v>
      </c>
      <c r="C60" s="1913"/>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4" t="s">
        <v>963</v>
      </c>
      <c r="C61" s="1915"/>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6" t="s">
        <v>964</v>
      </c>
      <c r="C62" s="1917"/>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8" t="s">
        <v>961</v>
      </c>
      <c r="C63" s="1919"/>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0" t="s">
        <v>960</v>
      </c>
      <c r="C64" s="1921"/>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2" t="s">
        <v>957</v>
      </c>
      <c r="C65" s="1923"/>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3" t="s">
        <v>958</v>
      </c>
      <c r="C66" s="1904"/>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5" t="s">
        <v>959</v>
      </c>
      <c r="C67" s="1906"/>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5" t="s">
        <v>1254</v>
      </c>
      <c r="C68" s="1906"/>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6" t="s">
        <v>1343</v>
      </c>
      <c r="C70" s="1967"/>
      <c r="D70" s="776">
        <v>7</v>
      </c>
      <c r="E70" s="661">
        <v>20</v>
      </c>
      <c r="F70" s="319"/>
      <c r="G70" s="1952" t="s">
        <v>1344</v>
      </c>
      <c r="H70" s="1953"/>
      <c r="I70" s="776">
        <v>10</v>
      </c>
      <c r="J70" s="646">
        <v>1</v>
      </c>
      <c r="K70" s="319"/>
      <c r="L70" s="1941" t="s">
        <v>1317</v>
      </c>
      <c r="M70" s="1942"/>
      <c r="N70" s="1943"/>
      <c r="O70" s="1536">
        <f>SUM($BH$6,$N71)</f>
        <v>18.996702774108325</v>
      </c>
      <c r="P70" s="647">
        <v>20000</v>
      </c>
      <c r="Q70" s="623" t="s">
        <v>825</v>
      </c>
      <c r="R70" s="777">
        <f>(P70/69.5388)</f>
        <v>287.60921960114354</v>
      </c>
      <c r="S70" s="1536">
        <f>SUM($O70,$R71)</f>
        <v>101.49436004250944</v>
      </c>
      <c r="T70" s="1850" t="str">
        <f>IF($BN$5="ON","82F                28c",IF($BN$5="OFF","80F                27c"))</f>
        <v>82F                28c</v>
      </c>
      <c r="U70" s="1851"/>
      <c r="V70" s="1852"/>
      <c r="W70" s="1536">
        <f>SUM($S70,$V71)</f>
        <v>320.77450509118762</v>
      </c>
      <c r="X70" s="1850" t="str">
        <f>IF($BN$5="ON","70F                21c",IF($BN$5="OFF","70F                21c"))</f>
        <v>70F                21c</v>
      </c>
      <c r="Y70" s="1851"/>
      <c r="Z70" s="1852"/>
      <c r="AA70" s="1536">
        <f>SUM($W70,$Z71)</f>
        <v>487.11399787452729</v>
      </c>
      <c r="AB70" s="1850" t="str">
        <f>IF($BN$5="ON","70%                55%",IF($BN$5="OFF","70%                55%"))</f>
        <v>70%                55%</v>
      </c>
      <c r="AC70" s="1851"/>
      <c r="AD70" s="1852"/>
      <c r="AE70" s="1536">
        <f>SUM($AA70,$AD71)</f>
        <v>603.30617193294108</v>
      </c>
      <c r="AF70" s="1940" t="s">
        <v>1356</v>
      </c>
      <c r="AG70" s="1851"/>
      <c r="AH70" s="1852"/>
      <c r="AI70" s="1536">
        <f>SUM($AE70,$AH71)</f>
        <v>603.30617193294108</v>
      </c>
      <c r="AJ70" s="1940" t="s">
        <v>3</v>
      </c>
      <c r="AK70" s="1851"/>
      <c r="AL70" s="1852"/>
      <c r="AM70" s="1536">
        <f>SUM($AI70,$AL71)</f>
        <v>614.74078502841178</v>
      </c>
      <c r="AN70" s="1940" t="s">
        <v>853</v>
      </c>
      <c r="AO70" s="1851"/>
      <c r="AP70" s="1852"/>
      <c r="AQ70" s="1536">
        <f>SUM($AM70,$AP71)</f>
        <v>628.80422462956278</v>
      </c>
      <c r="AR70" s="1850" t="str">
        <f>IF($BN$5="ON","68F                20c",IF($BN$5="OFF","68F                20c"))</f>
        <v>68F                20c</v>
      </c>
      <c r="AS70" s="1851"/>
      <c r="AT70" s="1852"/>
      <c r="AU70" s="1536">
        <f>SUM($AQ70,$AT71)</f>
        <v>628.80422462956278</v>
      </c>
      <c r="AV70" s="1850" t="str">
        <f>IF($BN$5="ON","1500 PPM co2",IF($BN$5="OFF","1500 PPM co2"))</f>
        <v>1500 PPM co2</v>
      </c>
      <c r="AW70" s="1851"/>
      <c r="AX70" s="1852"/>
      <c r="AY70" s="1536">
        <f>SUM($AU70,$AX71,$AX72)</f>
        <v>628.80422462956278</v>
      </c>
      <c r="AZ70" s="745">
        <f>DZ$331</f>
        <v>0.5</v>
      </c>
      <c r="BA70" s="728">
        <f>(E70*AZ70)*(J70)</f>
        <v>10</v>
      </c>
      <c r="BB70" s="729">
        <f>IF($BI$6="ON",$BR85,IF($BI$6="OFF",$BS85))</f>
        <v>29.98678996036988</v>
      </c>
      <c r="BC70" s="894">
        <f>SUM($AY70,$BB70,$BB71,$BB72)</f>
        <v>658.79101458993262</v>
      </c>
      <c r="BD70" s="1938">
        <v>6.2</v>
      </c>
      <c r="BE70" s="1939"/>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2" t="s">
        <v>1873</v>
      </c>
      <c r="FP70" s="1843"/>
      <c r="FQ70" s="1843"/>
      <c r="FR70" s="1843"/>
      <c r="FS70" s="1843"/>
      <c r="FT70" s="1843"/>
      <c r="FU70" s="1843"/>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8" t="s">
        <v>7</v>
      </c>
      <c r="C71" s="1889"/>
      <c r="D71" s="1890">
        <f>SUM(D51,D50)</f>
        <v>44257</v>
      </c>
      <c r="E71" s="1891"/>
      <c r="F71" s="319"/>
      <c r="G71" s="1888" t="s">
        <v>7</v>
      </c>
      <c r="H71" s="1889"/>
      <c r="I71" s="1890">
        <f>SUM(I51,I50)</f>
        <v>44320</v>
      </c>
      <c r="J71" s="1891"/>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9" t="s">
        <v>636</v>
      </c>
      <c r="C72" s="1960"/>
      <c r="D72" s="601">
        <f>SUM(C7,D30,D50)</f>
        <v>31</v>
      </c>
      <c r="E72" s="706">
        <f>(D72/7)</f>
        <v>4.4285714285714288</v>
      </c>
      <c r="F72" s="753"/>
      <c r="G72" s="1959" t="s">
        <v>636</v>
      </c>
      <c r="H72" s="1960"/>
      <c r="I72" s="601">
        <f>SUM(H7,I30,I50)</f>
        <v>31</v>
      </c>
      <c r="J72" s="706">
        <f>(I72/7)</f>
        <v>4.4285714285714288</v>
      </c>
      <c r="K72" s="753"/>
      <c r="L72" s="1963" t="s">
        <v>663</v>
      </c>
      <c r="M72" s="1964"/>
      <c r="N72" s="1964"/>
      <c r="O72" s="1964"/>
      <c r="P72" s="1964"/>
      <c r="Q72" s="1964"/>
      <c r="R72" s="1964"/>
      <c r="S72" s="1964"/>
      <c r="T72" s="1964"/>
      <c r="U72" s="1964"/>
      <c r="V72" s="1964"/>
      <c r="W72" s="1964"/>
      <c r="X72" s="1964"/>
      <c r="Y72" s="1964"/>
      <c r="Z72" s="1964"/>
      <c r="AA72" s="1964"/>
      <c r="AB72" s="1964"/>
      <c r="AC72" s="1964"/>
      <c r="AD72" s="1964"/>
      <c r="AE72" s="1964"/>
      <c r="AF72" s="1964"/>
      <c r="AG72" s="1964"/>
      <c r="AH72" s="1964"/>
      <c r="AI72" s="1964"/>
      <c r="AJ72" s="1964"/>
      <c r="AK72" s="1964"/>
      <c r="AL72" s="1964"/>
      <c r="AM72" s="1964"/>
      <c r="AN72" s="1964"/>
      <c r="AO72" s="1964"/>
      <c r="AP72" s="1964"/>
      <c r="AQ72" s="1964"/>
      <c r="AR72" s="1964"/>
      <c r="AS72" s="1964"/>
      <c r="AT72" s="1964"/>
      <c r="AU72" s="1965"/>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6" t="str">
        <f>$B$33</f>
        <v>Expert Light</v>
      </c>
      <c r="C73" s="1937"/>
      <c r="D73" s="652">
        <v>1</v>
      </c>
      <c r="E73" s="831"/>
      <c r="F73" s="753"/>
      <c r="G73" s="1924"/>
      <c r="H73" s="1925"/>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9" t="s">
        <v>1361</v>
      </c>
      <c r="BM73" s="1950"/>
      <c r="BN73" s="1951"/>
      <c r="BO73" s="1579"/>
      <c r="BP73" s="1579"/>
      <c r="BQ73" s="1484"/>
      <c r="BR73" s="873" t="s">
        <v>1350</v>
      </c>
      <c r="BS73" s="691" t="s">
        <v>6</v>
      </c>
      <c r="BT73" s="691" t="s">
        <v>928</v>
      </c>
      <c r="BU73" s="1961" t="s">
        <v>1328</v>
      </c>
      <c r="BV73" s="1962"/>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9" t="str">
        <f>$B$34</f>
        <v>Expert Medium</v>
      </c>
      <c r="C74" s="1925"/>
      <c r="D74" s="653">
        <v>1</v>
      </c>
      <c r="E74" s="836"/>
      <c r="F74" s="319"/>
      <c r="G74" s="1929"/>
      <c r="H74" s="1925"/>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4" t="s">
        <v>1379</v>
      </c>
      <c r="BM74" s="1831"/>
      <c r="BN74" s="1945"/>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4" t="str">
        <f>$B$35</f>
        <v>Expert Heavy</v>
      </c>
      <c r="C75" s="1925"/>
      <c r="D75" s="653">
        <v>1</v>
      </c>
      <c r="E75" s="841"/>
      <c r="F75" s="319"/>
      <c r="G75" s="1924"/>
      <c r="H75" s="1925"/>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4" t="s">
        <v>1371</v>
      </c>
      <c r="BM75" s="1831"/>
      <c r="BN75" s="1945"/>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9" t="str">
        <f>$B$36</f>
        <v>Full Light</v>
      </c>
      <c r="C76" s="1925"/>
      <c r="D76" s="653">
        <v>1</v>
      </c>
      <c r="E76" s="836"/>
      <c r="F76" s="319"/>
      <c r="G76" s="1929"/>
      <c r="H76" s="1925"/>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4" t="s">
        <v>1361</v>
      </c>
      <c r="BM76" s="1831"/>
      <c r="BN76" s="1945"/>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4" t="str">
        <f>$B$37</f>
        <v>Full Medium</v>
      </c>
      <c r="C77" s="1925"/>
      <c r="D77" s="653">
        <v>1</v>
      </c>
      <c r="E77" s="841"/>
      <c r="F77" s="319"/>
      <c r="G77" s="1924"/>
      <c r="H77" s="1925"/>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4" t="s">
        <v>1379</v>
      </c>
      <c r="BM77" s="1831"/>
      <c r="BN77" s="1945"/>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9" t="str">
        <f>$B$38</f>
        <v>Testing</v>
      </c>
      <c r="C78" s="1925"/>
      <c r="D78" s="653">
        <v>1</v>
      </c>
      <c r="E78" s="836"/>
      <c r="F78" s="319"/>
      <c r="G78" s="1929"/>
      <c r="H78" s="1925"/>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6"/>
      <c r="BM78" s="1947"/>
      <c r="BN78" s="1948"/>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2" t="s">
        <v>962</v>
      </c>
      <c r="C80" s="1913"/>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4" t="s">
        <v>963</v>
      </c>
      <c r="C81" s="1915"/>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6" t="s">
        <v>964</v>
      </c>
      <c r="C82" s="1917"/>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8" t="s">
        <v>961</v>
      </c>
      <c r="C83" s="1919"/>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0" t="s">
        <v>960</v>
      </c>
      <c r="C84" s="1921"/>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2" t="s">
        <v>957</v>
      </c>
      <c r="C85" s="1923"/>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3" t="s">
        <v>958</v>
      </c>
      <c r="C86" s="1904"/>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5" t="s">
        <v>959</v>
      </c>
      <c r="C87" s="1906"/>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5" t="s">
        <v>1254</v>
      </c>
      <c r="C88" s="1906"/>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7" t="s">
        <v>8</v>
      </c>
      <c r="C90" s="1908"/>
      <c r="D90" s="776">
        <v>8</v>
      </c>
      <c r="E90" s="661">
        <v>20</v>
      </c>
      <c r="F90" s="319"/>
      <c r="G90" s="1907" t="s">
        <v>8</v>
      </c>
      <c r="H90" s="1908"/>
      <c r="I90" s="776">
        <v>14</v>
      </c>
      <c r="J90" s="646">
        <v>1</v>
      </c>
      <c r="K90" s="319"/>
      <c r="L90" s="1941" t="s">
        <v>1317</v>
      </c>
      <c r="M90" s="1942"/>
      <c r="N90" s="1943"/>
      <c r="O90" s="1536">
        <f>SUM($BH$6,$N91)</f>
        <v>18.996702774108325</v>
      </c>
      <c r="P90" s="647">
        <v>20000</v>
      </c>
      <c r="Q90" s="623" t="s">
        <v>825</v>
      </c>
      <c r="R90" s="777">
        <f>(P90/69.5388)</f>
        <v>287.60921960114354</v>
      </c>
      <c r="S90" s="1536">
        <f>SUM($O90,$R91)</f>
        <v>101.49436004250944</v>
      </c>
      <c r="T90" s="1850" t="str">
        <f>IF($BN$5="ON","80F                27c",IF($BN$5="OFF","80F                27c"))</f>
        <v>80F                27c</v>
      </c>
      <c r="U90" s="1851"/>
      <c r="V90" s="1852"/>
      <c r="W90" s="1536">
        <f>SUM($S90,$V91)</f>
        <v>346.87928426364931</v>
      </c>
      <c r="X90" s="1850" t="str">
        <f>IF($BN$5="ON","70F                21c",IF($BN$5="OFF","70F                21c"))</f>
        <v>70F                21c</v>
      </c>
      <c r="Y90" s="1851"/>
      <c r="Z90" s="1852"/>
      <c r="AA90" s="1536">
        <f>SUM($W90,$Z91)</f>
        <v>536.5063060366565</v>
      </c>
      <c r="AB90" s="1850" t="str">
        <f>IF($BN$5="ON","60%                45%",IF($BN$5="OFF","60%                45%"))</f>
        <v>60%                45%</v>
      </c>
      <c r="AC90" s="1851"/>
      <c r="AD90" s="1852"/>
      <c r="AE90" s="1536">
        <f>SUM($AA90,$AD91)</f>
        <v>694.19568511593241</v>
      </c>
      <c r="AF90" s="1940" t="s">
        <v>1357</v>
      </c>
      <c r="AG90" s="1851"/>
      <c r="AH90" s="1852"/>
      <c r="AI90" s="1536">
        <f>SUM($AE90,$AH91)</f>
        <v>694.19568511593241</v>
      </c>
      <c r="AJ90" s="1940" t="s">
        <v>3</v>
      </c>
      <c r="AK90" s="1851"/>
      <c r="AL90" s="1852"/>
      <c r="AM90" s="1536">
        <f>SUM($AI90,$AL91)</f>
        <v>711.34760475913845</v>
      </c>
      <c r="AN90" s="1940" t="s">
        <v>853</v>
      </c>
      <c r="AO90" s="1851"/>
      <c r="AP90" s="1852"/>
      <c r="AQ90" s="1536">
        <f>SUM($AM90,$AP91)</f>
        <v>725.41104436028945</v>
      </c>
      <c r="AR90" s="1850" t="str">
        <f>IF($BN$5="ON","68F                20c",IF($BN$5="OFF","68F                20c"))</f>
        <v>68F                20c</v>
      </c>
      <c r="AS90" s="1851"/>
      <c r="AT90" s="1852"/>
      <c r="AU90" s="1536">
        <f>SUM($AQ90,$AT91)</f>
        <v>725.41104436028945</v>
      </c>
      <c r="AV90" s="1850" t="str">
        <f>IF($BN$5="ON","1500 PPM co2",IF($BN$5="OFF","1500 PPM co2"))</f>
        <v>1500 PPM co2</v>
      </c>
      <c r="AW90" s="1851"/>
      <c r="AX90" s="1852"/>
      <c r="AY90" s="1536">
        <f>SUM($AU90,$AX91,$AX92)</f>
        <v>725.41104436028945</v>
      </c>
      <c r="AZ90" s="745">
        <f>EA$331</f>
        <v>0.5</v>
      </c>
      <c r="BA90" s="728">
        <f>(E90*AZ90)*(J90)</f>
        <v>10</v>
      </c>
      <c r="BB90" s="729">
        <f>IF($BI$6="ON",$BR105,IF($BI$6="OFF",$BS105))</f>
        <v>29.98678996036988</v>
      </c>
      <c r="BC90" s="894">
        <f>SUM($AY90,$BB90,$BB91,$BB92)</f>
        <v>755.39783432065929</v>
      </c>
      <c r="BD90" s="1938">
        <v>6.1</v>
      </c>
      <c r="BE90" s="1939"/>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2" t="s">
        <v>1873</v>
      </c>
      <c r="FP90" s="1843"/>
      <c r="FQ90" s="1843"/>
      <c r="FR90" s="1843"/>
      <c r="FS90" s="1843"/>
      <c r="FT90" s="1843"/>
      <c r="FU90" s="1843"/>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8" t="s">
        <v>9</v>
      </c>
      <c r="C91" s="1889"/>
      <c r="D91" s="1890">
        <f>SUM(D71,D70)</f>
        <v>44264</v>
      </c>
      <c r="E91" s="1891"/>
      <c r="F91" s="319"/>
      <c r="G91" s="1888" t="s">
        <v>9</v>
      </c>
      <c r="H91" s="1889"/>
      <c r="I91" s="1890">
        <f>SUM(I71,I70)</f>
        <v>44330</v>
      </c>
      <c r="J91" s="1891"/>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9" t="s">
        <v>636</v>
      </c>
      <c r="C92" s="1960"/>
      <c r="D92" s="601">
        <f>SUM(C7,D30,D50,D70)</f>
        <v>38</v>
      </c>
      <c r="E92" s="706">
        <f>(D92/7)</f>
        <v>5.4285714285714288</v>
      </c>
      <c r="F92" s="753"/>
      <c r="G92" s="1959" t="s">
        <v>636</v>
      </c>
      <c r="H92" s="1960"/>
      <c r="I92" s="601">
        <f>SUM(H7,I30,I50,I70)</f>
        <v>41</v>
      </c>
      <c r="J92" s="706">
        <f>(I92/7)</f>
        <v>5.8571428571428568</v>
      </c>
      <c r="K92" s="753"/>
      <c r="L92" s="1844"/>
      <c r="M92" s="1845"/>
      <c r="N92" s="1845"/>
      <c r="O92" s="1845"/>
      <c r="P92" s="1845"/>
      <c r="Q92" s="1845"/>
      <c r="R92" s="1845"/>
      <c r="S92" s="1845"/>
      <c r="T92" s="1845"/>
      <c r="U92" s="1845"/>
      <c r="V92" s="1845"/>
      <c r="W92" s="1845"/>
      <c r="X92" s="1845"/>
      <c r="Y92" s="1845"/>
      <c r="Z92" s="1845"/>
      <c r="AA92" s="1845"/>
      <c r="AB92" s="1845"/>
      <c r="AC92" s="1845"/>
      <c r="AD92" s="1845"/>
      <c r="AE92" s="1845"/>
      <c r="AF92" s="1845"/>
      <c r="AG92" s="1845"/>
      <c r="AH92" s="1845"/>
      <c r="AI92" s="1845"/>
      <c r="AJ92" s="1845"/>
      <c r="AK92" s="1845"/>
      <c r="AL92" s="1845"/>
      <c r="AM92" s="1845"/>
      <c r="AN92" s="1845"/>
      <c r="AO92" s="1845"/>
      <c r="AP92" s="1845"/>
      <c r="AQ92" s="1845"/>
      <c r="AR92" s="1845"/>
      <c r="AS92" s="1845"/>
      <c r="AT92" s="1845"/>
      <c r="AU92" s="1846"/>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6" t="str">
        <f>$B$33</f>
        <v>Expert Light</v>
      </c>
      <c r="C93" s="1937"/>
      <c r="D93" s="652">
        <v>1</v>
      </c>
      <c r="E93" s="831"/>
      <c r="F93" s="753"/>
      <c r="G93" s="1924"/>
      <c r="H93" s="1925"/>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9" t="s">
        <v>1362</v>
      </c>
      <c r="BM93" s="1950"/>
      <c r="BN93" s="1951"/>
      <c r="BO93" s="1579"/>
      <c r="BP93" s="1579"/>
      <c r="BQ93" s="1484"/>
      <c r="BR93" s="873" t="s">
        <v>1350</v>
      </c>
      <c r="BS93" s="691" t="s">
        <v>6</v>
      </c>
      <c r="BT93" s="691" t="s">
        <v>928</v>
      </c>
      <c r="BU93" s="1961" t="s">
        <v>1328</v>
      </c>
      <c r="BV93" s="1962"/>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9" t="str">
        <f>$B$34</f>
        <v>Expert Medium</v>
      </c>
      <c r="C94" s="1925"/>
      <c r="D94" s="653">
        <v>1</v>
      </c>
      <c r="E94" s="836"/>
      <c r="F94" s="319"/>
      <c r="G94" s="1929"/>
      <c r="H94" s="1925"/>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4" t="s">
        <v>1378</v>
      </c>
      <c r="BM94" s="1831"/>
      <c r="BN94" s="1945"/>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4" t="str">
        <f>$B$35</f>
        <v>Expert Heavy</v>
      </c>
      <c r="C95" s="1925"/>
      <c r="D95" s="653">
        <v>1</v>
      </c>
      <c r="E95" s="841"/>
      <c r="F95" s="319"/>
      <c r="G95" s="1924"/>
      <c r="H95" s="1925"/>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4" t="s">
        <v>1370</v>
      </c>
      <c r="BM95" s="1831"/>
      <c r="BN95" s="1945"/>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9" t="str">
        <f>$B$36</f>
        <v>Full Light</v>
      </c>
      <c r="C96" s="1925"/>
      <c r="D96" s="653">
        <v>1</v>
      </c>
      <c r="E96" s="836"/>
      <c r="F96" s="319"/>
      <c r="G96" s="1929"/>
      <c r="H96" s="1925"/>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9" t="s">
        <v>1362</v>
      </c>
      <c r="BM96" s="1950"/>
      <c r="BN96" s="1951"/>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4" t="str">
        <f>$B$37</f>
        <v>Full Medium</v>
      </c>
      <c r="C97" s="1925"/>
      <c r="D97" s="653">
        <v>1</v>
      </c>
      <c r="E97" s="841"/>
      <c r="F97" s="319"/>
      <c r="G97" s="1924"/>
      <c r="H97" s="1925"/>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4" t="s">
        <v>1378</v>
      </c>
      <c r="BM97" s="1831"/>
      <c r="BN97" s="1945"/>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9" t="str">
        <f>$B$38</f>
        <v>Testing</v>
      </c>
      <c r="C98" s="1925"/>
      <c r="D98" s="653">
        <v>1</v>
      </c>
      <c r="E98" s="836"/>
      <c r="F98" s="319"/>
      <c r="G98" s="1929"/>
      <c r="H98" s="1925"/>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6"/>
      <c r="BM98" s="1947"/>
      <c r="BN98" s="1948"/>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2" t="s">
        <v>962</v>
      </c>
      <c r="C100" s="1913"/>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4" t="s">
        <v>963</v>
      </c>
      <c r="C101" s="1915"/>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6" t="s">
        <v>964</v>
      </c>
      <c r="C102" s="1917"/>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8" t="s">
        <v>961</v>
      </c>
      <c r="C103" s="1919"/>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0" t="s">
        <v>960</v>
      </c>
      <c r="C104" s="1921"/>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2" t="s">
        <v>957</v>
      </c>
      <c r="C105" s="1923"/>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3" t="s">
        <v>958</v>
      </c>
      <c r="C106" s="1904"/>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5" t="s">
        <v>959</v>
      </c>
      <c r="C107" s="1906"/>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5" t="s">
        <v>1254</v>
      </c>
      <c r="C108" s="1906"/>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2" t="s">
        <v>1348</v>
      </c>
      <c r="C110" s="1953"/>
      <c r="D110" s="776">
        <v>6</v>
      </c>
      <c r="E110" s="661">
        <v>20</v>
      </c>
      <c r="F110" s="319"/>
      <c r="G110" s="1952" t="s">
        <v>1348</v>
      </c>
      <c r="H110" s="1953"/>
      <c r="I110" s="776">
        <v>14</v>
      </c>
      <c r="J110" s="646">
        <v>1</v>
      </c>
      <c r="K110" s="319"/>
      <c r="L110" s="1941" t="s">
        <v>1317</v>
      </c>
      <c r="M110" s="1942"/>
      <c r="N110" s="1943"/>
      <c r="O110" s="1536">
        <f>SUM($BH$6,$N111)</f>
        <v>18.996702774108325</v>
      </c>
      <c r="P110" s="647">
        <v>20000</v>
      </c>
      <c r="Q110" s="623" t="s">
        <v>825</v>
      </c>
      <c r="R110" s="777">
        <f>(P110/69.5388)</f>
        <v>287.60921960114354</v>
      </c>
      <c r="S110" s="1536">
        <f>SUM($O110,$R111)</f>
        <v>101.49436004250944</v>
      </c>
      <c r="T110" s="1850" t="str">
        <f>IF($BN$5="ON","80F                27c",IF($BN$5="OFF","80F                27c"))</f>
        <v>80F                27c</v>
      </c>
      <c r="U110" s="1851"/>
      <c r="V110" s="1852"/>
      <c r="W110" s="1536">
        <f>SUM($S110,$V111)</f>
        <v>346.87928426364931</v>
      </c>
      <c r="X110" s="1850" t="str">
        <f>IF($BN$5="ON","70F                21c",IF($BN$5="OFF","70F                21c"))</f>
        <v>70F                21c</v>
      </c>
      <c r="Y110" s="1851"/>
      <c r="Z110" s="1852"/>
      <c r="AA110" s="1536">
        <f>SUM($W110,$Z111)</f>
        <v>536.5063060366565</v>
      </c>
      <c r="AB110" s="1850" t="str">
        <f>IF($BN$5="ON","60%                45%",IF($BN$5="OFF","60%                45%"))</f>
        <v>60%                45%</v>
      </c>
      <c r="AC110" s="1851"/>
      <c r="AD110" s="1852"/>
      <c r="AE110" s="1536">
        <f>SUM($AA110,$AD111)</f>
        <v>694.19568511593241</v>
      </c>
      <c r="AF110" s="1940" t="s">
        <v>1357</v>
      </c>
      <c r="AG110" s="1851"/>
      <c r="AH110" s="1852"/>
      <c r="AI110" s="1536">
        <f>SUM($AE110,$AH111)</f>
        <v>694.19568511593241</v>
      </c>
      <c r="AJ110" s="1940" t="s">
        <v>3</v>
      </c>
      <c r="AK110" s="1851"/>
      <c r="AL110" s="1852"/>
      <c r="AM110" s="1536">
        <f>SUM($AI110,$AL111)</f>
        <v>711.34760475913845</v>
      </c>
      <c r="AN110" s="1940" t="s">
        <v>854</v>
      </c>
      <c r="AO110" s="1851"/>
      <c r="AP110" s="1852"/>
      <c r="AQ110" s="1536">
        <f>SUM($AM110,$AP111)</f>
        <v>725.41104436028945</v>
      </c>
      <c r="AR110" s="1850" t="str">
        <f>IF($BN$5="ON","68F                20c",IF($BN$5="OFF","68F                20c"))</f>
        <v>68F                20c</v>
      </c>
      <c r="AS110" s="1851"/>
      <c r="AT110" s="1852"/>
      <c r="AU110" s="1536">
        <f>SUM($AQ110,$AT111)</f>
        <v>725.41104436028945</v>
      </c>
      <c r="AV110" s="1850" t="str">
        <f>IF($BN$5="ON","1500 PPM co2",IF($BN$5="OFF","1500 PPM co2"))</f>
        <v>1500 PPM co2</v>
      </c>
      <c r="AW110" s="1851"/>
      <c r="AX110" s="1852"/>
      <c r="AY110" s="1536">
        <f>SUM($AU110,$AX111,$AX112)</f>
        <v>725.41104436028945</v>
      </c>
      <c r="AZ110" s="745">
        <f>EB$331</f>
        <v>0.5</v>
      </c>
      <c r="BA110" s="728">
        <f>(E110*AZ110)*(J110)</f>
        <v>10</v>
      </c>
      <c r="BB110" s="729">
        <f>IF($BI$6="ON",$BR125,IF($BI$6="OFF",$BS125))</f>
        <v>29.98678996036988</v>
      </c>
      <c r="BC110" s="894">
        <f>SUM($AY110,$BB110,$BB111,$BB112)</f>
        <v>755.39783432065929</v>
      </c>
      <c r="BD110" s="1938">
        <v>6.1</v>
      </c>
      <c r="BE110" s="1939"/>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2" t="s">
        <v>1873</v>
      </c>
      <c r="FP110" s="1843"/>
      <c r="FQ110" s="1843"/>
      <c r="FR110" s="1843"/>
      <c r="FS110" s="1843"/>
      <c r="FT110" s="1843"/>
      <c r="FU110" s="1843"/>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8" t="s">
        <v>9</v>
      </c>
      <c r="C111" s="1889"/>
      <c r="D111" s="1890">
        <f>SUM(D91,D90)</f>
        <v>44272</v>
      </c>
      <c r="E111" s="1891"/>
      <c r="F111" s="319"/>
      <c r="G111" s="1888" t="s">
        <v>9</v>
      </c>
      <c r="H111" s="1889"/>
      <c r="I111" s="1890">
        <f>SUM(I91,I90)</f>
        <v>44344</v>
      </c>
      <c r="J111" s="1891"/>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9" t="s">
        <v>636</v>
      </c>
      <c r="C112" s="1960"/>
      <c r="D112" s="601">
        <f>SUM(C7,D30,D50,D70,D90)</f>
        <v>46</v>
      </c>
      <c r="E112" s="706">
        <f>(D112/7)</f>
        <v>6.5714285714285712</v>
      </c>
      <c r="F112" s="753"/>
      <c r="G112" s="1959" t="s">
        <v>636</v>
      </c>
      <c r="H112" s="1960"/>
      <c r="I112" s="601">
        <f>SUM(H7,I30,I50,I70,I90)</f>
        <v>55</v>
      </c>
      <c r="J112" s="706">
        <f>(I112/7)</f>
        <v>7.8571428571428568</v>
      </c>
      <c r="K112" s="753"/>
      <c r="L112" s="1844" t="s">
        <v>662</v>
      </c>
      <c r="M112" s="1845"/>
      <c r="N112" s="1845"/>
      <c r="O112" s="1845"/>
      <c r="P112" s="1845"/>
      <c r="Q112" s="1845"/>
      <c r="R112" s="1845"/>
      <c r="S112" s="1845"/>
      <c r="T112" s="1845"/>
      <c r="U112" s="1845"/>
      <c r="V112" s="1845"/>
      <c r="W112" s="1845"/>
      <c r="X112" s="1845"/>
      <c r="Y112" s="1845"/>
      <c r="Z112" s="1845"/>
      <c r="AA112" s="1845"/>
      <c r="AB112" s="1845"/>
      <c r="AC112" s="1845"/>
      <c r="AD112" s="1845"/>
      <c r="AE112" s="1845"/>
      <c r="AF112" s="1845"/>
      <c r="AG112" s="1845"/>
      <c r="AH112" s="1845"/>
      <c r="AI112" s="1845"/>
      <c r="AJ112" s="1845"/>
      <c r="AK112" s="1845"/>
      <c r="AL112" s="1845"/>
      <c r="AM112" s="1845"/>
      <c r="AN112" s="1845"/>
      <c r="AO112" s="1845"/>
      <c r="AP112" s="1845"/>
      <c r="AQ112" s="1845"/>
      <c r="AR112" s="1845"/>
      <c r="AS112" s="1845"/>
      <c r="AT112" s="1845"/>
      <c r="AU112" s="1846"/>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6" t="str">
        <f>$B$33</f>
        <v>Expert Light</v>
      </c>
      <c r="C113" s="1937"/>
      <c r="D113" s="652">
        <v>1</v>
      </c>
      <c r="E113" s="831"/>
      <c r="F113" s="753"/>
      <c r="G113" s="1924"/>
      <c r="H113" s="1925"/>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9" t="s">
        <v>1362</v>
      </c>
      <c r="BM113" s="1950"/>
      <c r="BN113" s="1951"/>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9" t="str">
        <f>$B$34</f>
        <v>Expert Medium</v>
      </c>
      <c r="C114" s="1925"/>
      <c r="D114" s="653">
        <v>1</v>
      </c>
      <c r="E114" s="836"/>
      <c r="F114" s="319"/>
      <c r="G114" s="1929"/>
      <c r="H114" s="1925"/>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4" t="s">
        <v>1378</v>
      </c>
      <c r="BM114" s="1831"/>
      <c r="BN114" s="1945"/>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4" t="str">
        <f>$B$35</f>
        <v>Expert Heavy</v>
      </c>
      <c r="C115" s="1925"/>
      <c r="D115" s="653">
        <v>1</v>
      </c>
      <c r="E115" s="841"/>
      <c r="F115" s="319"/>
      <c r="G115" s="1924"/>
      <c r="H115" s="1925"/>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4" t="s">
        <v>1370</v>
      </c>
      <c r="BM115" s="1831"/>
      <c r="BN115" s="1945"/>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9" t="str">
        <f>$B$36</f>
        <v>Full Light</v>
      </c>
      <c r="C116" s="1925"/>
      <c r="D116" s="653">
        <v>1</v>
      </c>
      <c r="E116" s="836"/>
      <c r="F116" s="319"/>
      <c r="G116" s="1929"/>
      <c r="H116" s="1925"/>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9" t="s">
        <v>1362</v>
      </c>
      <c r="BM116" s="1950"/>
      <c r="BN116" s="1951"/>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4" t="str">
        <f>$B$37</f>
        <v>Full Medium</v>
      </c>
      <c r="C117" s="1925"/>
      <c r="D117" s="653">
        <v>1</v>
      </c>
      <c r="E117" s="841"/>
      <c r="F117" s="319"/>
      <c r="G117" s="1924"/>
      <c r="H117" s="1925"/>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4" t="s">
        <v>1378</v>
      </c>
      <c r="BM117" s="1831"/>
      <c r="BN117" s="1945"/>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9" t="str">
        <f>$B$38</f>
        <v>Testing</v>
      </c>
      <c r="C118" s="1925"/>
      <c r="D118" s="653">
        <v>1</v>
      </c>
      <c r="E118" s="836"/>
      <c r="F118" s="319"/>
      <c r="G118" s="1929"/>
      <c r="H118" s="1925"/>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6"/>
      <c r="BM118" s="1947"/>
      <c r="BN118" s="1948"/>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2" t="s">
        <v>962</v>
      </c>
      <c r="C120" s="1913"/>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4" t="s">
        <v>963</v>
      </c>
      <c r="C121" s="1915"/>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6" t="s">
        <v>964</v>
      </c>
      <c r="C122" s="1917"/>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8" t="s">
        <v>961</v>
      </c>
      <c r="C123" s="1919"/>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0" t="s">
        <v>960</v>
      </c>
      <c r="C124" s="1921"/>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2" t="s">
        <v>957</v>
      </c>
      <c r="C125" s="1923"/>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3" t="s">
        <v>958</v>
      </c>
      <c r="C126" s="1904"/>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5" t="s">
        <v>959</v>
      </c>
      <c r="C127" s="1906"/>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5" t="s">
        <v>1254</v>
      </c>
      <c r="C128" s="1906"/>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7" t="s">
        <v>10</v>
      </c>
      <c r="C130" s="1908"/>
      <c r="D130" s="776">
        <v>7</v>
      </c>
      <c r="E130" s="661">
        <v>30</v>
      </c>
      <c r="F130" s="848"/>
      <c r="G130" s="1907" t="s">
        <v>10</v>
      </c>
      <c r="H130" s="1908"/>
      <c r="I130" s="776">
        <v>7</v>
      </c>
      <c r="J130" s="646">
        <v>1</v>
      </c>
      <c r="K130" s="319"/>
      <c r="L130" s="1941" t="s">
        <v>1316</v>
      </c>
      <c r="M130" s="1942"/>
      <c r="N130" s="1943"/>
      <c r="O130" s="1536">
        <f>SUM($BH$6,$N131)</f>
        <v>18.996702774108325</v>
      </c>
      <c r="P130" s="647">
        <v>40000</v>
      </c>
      <c r="Q130" s="623" t="s">
        <v>825</v>
      </c>
      <c r="R130" s="777">
        <f>(P130/64.55337)</f>
        <v>619.64232076497319</v>
      </c>
      <c r="S130" s="1536">
        <f>SUM($O130,$R131)</f>
        <v>142.74318867671002</v>
      </c>
      <c r="T130" s="1850" t="str">
        <f>IF($BN$5="ON","80F                27c",IF($BN$5="OFF","80F                27c"))</f>
        <v>80F                27c</v>
      </c>
      <c r="U130" s="1851"/>
      <c r="V130" s="1852"/>
      <c r="W130" s="1536">
        <f>SUM($S130,$V131)</f>
        <v>341.13951038741885</v>
      </c>
      <c r="X130" s="1850" t="str">
        <f>IF($BN$5="ON","68F                20c",IF($BN$5="OFF","68F                20c"))</f>
        <v>68F                20c</v>
      </c>
      <c r="Y130" s="1851"/>
      <c r="Z130" s="1852"/>
      <c r="AA130" s="1536">
        <f>SUM($W130,$Z131)</f>
        <v>497.49863360375809</v>
      </c>
      <c r="AB130" s="1850" t="str">
        <f>IF($BN$5="ON","60%                45%",IF($BN$5="OFF","60%                45%"))</f>
        <v>60%                45%</v>
      </c>
      <c r="AC130" s="1851"/>
      <c r="AD130" s="1852"/>
      <c r="AE130" s="1536">
        <f>SUM($AA130,$AD131)</f>
        <v>692.5354972018099</v>
      </c>
      <c r="AF130" s="1940" t="s">
        <v>1358</v>
      </c>
      <c r="AG130" s="1851"/>
      <c r="AH130" s="1852"/>
      <c r="AI130" s="1536">
        <f>SUM($AE130,$AH131)</f>
        <v>692.5354972018099</v>
      </c>
      <c r="AJ130" s="1940" t="s">
        <v>11</v>
      </c>
      <c r="AK130" s="1851"/>
      <c r="AL130" s="1852"/>
      <c r="AM130" s="1536">
        <f>SUM($AI130,$AL131)</f>
        <v>709.68741684501595</v>
      </c>
      <c r="AN130" s="1940" t="s">
        <v>978</v>
      </c>
      <c r="AO130" s="1851"/>
      <c r="AP130" s="1852"/>
      <c r="AQ130" s="1536">
        <f>SUM($AM130,$AP131)</f>
        <v>720.2349965458792</v>
      </c>
      <c r="AR130" s="1850" t="str">
        <f>IF($BN$5="ON","68F                20c",IF($BN$5="OFF","68F                20c"))</f>
        <v>68F                20c</v>
      </c>
      <c r="AS130" s="1851"/>
      <c r="AT130" s="1852"/>
      <c r="AU130" s="1536">
        <f>SUM($AQ130,$AT131)</f>
        <v>720.2349965458792</v>
      </c>
      <c r="AV130" s="1850" t="str">
        <f>IF($BN$5="ON","1400 PPM co2",IF($BN$5="OFF","1400 PPM co2"))</f>
        <v>1400 PPM co2</v>
      </c>
      <c r="AW130" s="1851"/>
      <c r="AX130" s="1852"/>
      <c r="AY130" s="1536">
        <f>SUM($AU130,$AX131,$AX132)</f>
        <v>720.2349965458792</v>
      </c>
      <c r="AZ130" s="745">
        <f>EC$331</f>
        <v>0.5</v>
      </c>
      <c r="BA130" s="728">
        <f>(E130*AZ130)*(J130)</f>
        <v>15</v>
      </c>
      <c r="BB130" s="729">
        <f>IF($BI$6="ON",$BR145,IF($BI$6="OFF",$BS145))</f>
        <v>29.98678996036988</v>
      </c>
      <c r="BC130" s="894">
        <f>SUM($AY130,$BB130,$BB131,$BB132)</f>
        <v>750.22178650624903</v>
      </c>
      <c r="BD130" s="1938">
        <v>6</v>
      </c>
      <c r="BE130" s="1939"/>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2" t="s">
        <v>1873</v>
      </c>
      <c r="FP130" s="1843"/>
      <c r="FQ130" s="1843"/>
      <c r="FR130" s="1843"/>
      <c r="FS130" s="1843"/>
      <c r="FT130" s="1843"/>
      <c r="FU130" s="1843"/>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8" t="s">
        <v>12</v>
      </c>
      <c r="C131" s="1925"/>
      <c r="D131" s="1890">
        <f>SUM(D111,D110)</f>
        <v>44278</v>
      </c>
      <c r="E131" s="1891"/>
      <c r="F131" s="319"/>
      <c r="G131" s="1958" t="s">
        <v>12</v>
      </c>
      <c r="H131" s="1925"/>
      <c r="I131" s="1890">
        <f>SUM(I111,I110)</f>
        <v>44358</v>
      </c>
      <c r="J131" s="1891"/>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6" t="s">
        <v>216</v>
      </c>
      <c r="C132" s="1957"/>
      <c r="D132" s="601">
        <f>SUM(C7,D30,D50,D70,D90,D110)</f>
        <v>52</v>
      </c>
      <c r="E132" s="706">
        <f>(D132/7)</f>
        <v>7.4285714285714288</v>
      </c>
      <c r="F132" s="753"/>
      <c r="G132" s="1956" t="s">
        <v>216</v>
      </c>
      <c r="H132" s="1957"/>
      <c r="I132" s="601">
        <f>SUM(H7,I30,I50,I70,I90,I110)</f>
        <v>69</v>
      </c>
      <c r="J132" s="706">
        <f>(I132/7)</f>
        <v>9.8571428571428577</v>
      </c>
      <c r="K132" s="848"/>
      <c r="L132" s="1847" t="s">
        <v>1671</v>
      </c>
      <c r="M132" s="1845"/>
      <c r="N132" s="1845"/>
      <c r="O132" s="1845"/>
      <c r="P132" s="1845"/>
      <c r="Q132" s="1845"/>
      <c r="R132" s="1845"/>
      <c r="S132" s="1845"/>
      <c r="T132" s="1845"/>
      <c r="U132" s="1845"/>
      <c r="V132" s="1845"/>
      <c r="W132" s="1845"/>
      <c r="X132" s="1845"/>
      <c r="Y132" s="1845"/>
      <c r="Z132" s="1845"/>
      <c r="AA132" s="1845"/>
      <c r="AB132" s="1845"/>
      <c r="AC132" s="1845"/>
      <c r="AD132" s="1845"/>
      <c r="AE132" s="1845"/>
      <c r="AF132" s="1845"/>
      <c r="AG132" s="1845"/>
      <c r="AH132" s="1845"/>
      <c r="AI132" s="1845"/>
      <c r="AJ132" s="1845"/>
      <c r="AK132" s="1845"/>
      <c r="AL132" s="1845"/>
      <c r="AM132" s="1845"/>
      <c r="AN132" s="1845"/>
      <c r="AO132" s="1845"/>
      <c r="AP132" s="1845"/>
      <c r="AQ132" s="1845"/>
      <c r="AR132" s="1845"/>
      <c r="AS132" s="1845"/>
      <c r="AT132" s="1845"/>
      <c r="AU132" s="1846"/>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6" t="str">
        <f>$B$33</f>
        <v>Expert Light</v>
      </c>
      <c r="C133" s="1937"/>
      <c r="D133" s="652">
        <v>1</v>
      </c>
      <c r="E133" s="831"/>
      <c r="F133" s="848"/>
      <c r="G133" s="1924"/>
      <c r="H133" s="1925"/>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9" t="s">
        <v>1362</v>
      </c>
      <c r="BM133" s="1950"/>
      <c r="BN133" s="1951"/>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9" t="str">
        <f>$B$34</f>
        <v>Expert Medium</v>
      </c>
      <c r="C134" s="1925"/>
      <c r="D134" s="653">
        <v>1</v>
      </c>
      <c r="E134" s="836"/>
      <c r="F134" s="319"/>
      <c r="G134" s="1929"/>
      <c r="H134" s="1925"/>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4" t="s">
        <v>1377</v>
      </c>
      <c r="BM134" s="1831"/>
      <c r="BN134" s="1945"/>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4" t="str">
        <f>$B$35</f>
        <v>Expert Heavy</v>
      </c>
      <c r="C135" s="1925"/>
      <c r="D135" s="653">
        <v>1</v>
      </c>
      <c r="E135" s="841"/>
      <c r="F135" s="319"/>
      <c r="G135" s="1924"/>
      <c r="H135" s="1925"/>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4" t="s">
        <v>1369</v>
      </c>
      <c r="BM135" s="1831"/>
      <c r="BN135" s="1945"/>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9" t="str">
        <f>$B$36</f>
        <v>Full Light</v>
      </c>
      <c r="C136" s="1925"/>
      <c r="D136" s="653">
        <v>1</v>
      </c>
      <c r="E136" s="836"/>
      <c r="F136" s="319"/>
      <c r="G136" s="1929"/>
      <c r="H136" s="1925"/>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9" t="s">
        <v>1362</v>
      </c>
      <c r="BM136" s="1950"/>
      <c r="BN136" s="1951"/>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4" t="str">
        <f>$B$37</f>
        <v>Full Medium</v>
      </c>
      <c r="C137" s="1925"/>
      <c r="D137" s="653">
        <v>1</v>
      </c>
      <c r="E137" s="841"/>
      <c r="F137" s="319"/>
      <c r="G137" s="1924"/>
      <c r="H137" s="1925"/>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4" t="s">
        <v>1377</v>
      </c>
      <c r="BM137" s="1831"/>
      <c r="BN137" s="1945"/>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9" t="str">
        <f>$B$38</f>
        <v>Testing</v>
      </c>
      <c r="C138" s="1925"/>
      <c r="D138" s="653">
        <v>1</v>
      </c>
      <c r="E138" s="836"/>
      <c r="F138" s="319"/>
      <c r="G138" s="1929"/>
      <c r="H138" s="1925"/>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6"/>
      <c r="BM138" s="1947"/>
      <c r="BN138" s="1948"/>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2" t="s">
        <v>962</v>
      </c>
      <c r="C140" s="1913"/>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4" t="s">
        <v>963</v>
      </c>
      <c r="C141" s="1915"/>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6" t="s">
        <v>964</v>
      </c>
      <c r="C142" s="1917"/>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8" t="s">
        <v>961</v>
      </c>
      <c r="C143" s="1919"/>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0" t="s">
        <v>960</v>
      </c>
      <c r="C144" s="1921"/>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2" t="s">
        <v>957</v>
      </c>
      <c r="C145" s="1923"/>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3" t="s">
        <v>958</v>
      </c>
      <c r="C146" s="1904"/>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5" t="s">
        <v>959</v>
      </c>
      <c r="C147" s="1906"/>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5" t="s">
        <v>1254</v>
      </c>
      <c r="C148" s="1906"/>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4" t="s">
        <v>14</v>
      </c>
      <c r="C150" s="1955"/>
      <c r="D150" s="776">
        <v>8</v>
      </c>
      <c r="E150" s="661">
        <v>30</v>
      </c>
      <c r="F150" s="319"/>
      <c r="G150" s="1954" t="s">
        <v>1010</v>
      </c>
      <c r="H150" s="1955"/>
      <c r="I150" s="776">
        <v>8</v>
      </c>
      <c r="J150" s="646">
        <v>1</v>
      </c>
      <c r="K150" s="319"/>
      <c r="L150" s="1941" t="s">
        <v>1316</v>
      </c>
      <c r="M150" s="1942"/>
      <c r="N150" s="1943"/>
      <c r="O150" s="1536">
        <f>SUM($BH$6,$N151)</f>
        <v>18.996702774108325</v>
      </c>
      <c r="P150" s="647">
        <v>50000</v>
      </c>
      <c r="Q150" s="623" t="s">
        <v>825</v>
      </c>
      <c r="R150" s="777">
        <f>(P150/64.55337)</f>
        <v>774.55290095621649</v>
      </c>
      <c r="S150" s="1536">
        <f>SUM($O150,$R151)</f>
        <v>142.74318867671002</v>
      </c>
      <c r="T150" s="1850" t="str">
        <f>IF($BN$5="ON","78F                26c",IF($BN$5="OFF","78F                26c"))</f>
        <v>78F                26c</v>
      </c>
      <c r="U150" s="1851"/>
      <c r="V150" s="1852"/>
      <c r="W150" s="1536">
        <f>SUM($S150,$V151)</f>
        <v>341.13951038741885</v>
      </c>
      <c r="X150" s="1850" t="str">
        <f>IF($BN$5="ON","66F                19c",IF($BN$5="OFF","66F                19c"))</f>
        <v>66F                19c</v>
      </c>
      <c r="Y150" s="1851"/>
      <c r="Z150" s="1852"/>
      <c r="AA150" s="1536">
        <f>SUM($W150,$Z151)</f>
        <v>467.557524902757</v>
      </c>
      <c r="AB150" s="1850" t="str">
        <f>IF($BN$5="ON","60%                45%",IF($BN$5="OFF","60%                45%"))</f>
        <v>60%                45%</v>
      </c>
      <c r="AC150" s="1851"/>
      <c r="AD150" s="1852"/>
      <c r="AE150" s="1536">
        <f>SUM($AA150,$AD151)</f>
        <v>704.09159352167092</v>
      </c>
      <c r="AF150" s="1940" t="s">
        <v>1359</v>
      </c>
      <c r="AG150" s="1851"/>
      <c r="AH150" s="1852"/>
      <c r="AI150" s="1536">
        <f>SUM($AE150,$AH151)</f>
        <v>739.89533805311589</v>
      </c>
      <c r="AJ150" s="1940" t="s">
        <v>11</v>
      </c>
      <c r="AK150" s="1851"/>
      <c r="AL150" s="1852"/>
      <c r="AM150" s="1536">
        <f>SUM($AI150,$AL151)</f>
        <v>757.04725769632194</v>
      </c>
      <c r="AN150" s="1940" t="s">
        <v>978</v>
      </c>
      <c r="AO150" s="1851"/>
      <c r="AP150" s="1852"/>
      <c r="AQ150" s="1536">
        <f>SUM($AM150,$AP151)</f>
        <v>757.04725769632194</v>
      </c>
      <c r="AR150" s="1850" t="str">
        <f>IF($BN$5="ON","68F                20c",IF($BN$5="OFF","68F                20c"))</f>
        <v>68F                20c</v>
      </c>
      <c r="AS150" s="1851"/>
      <c r="AT150" s="1852"/>
      <c r="AU150" s="1536">
        <f>SUM($AQ150,$AT151)</f>
        <v>757.04725769632194</v>
      </c>
      <c r="AV150" s="1850" t="str">
        <f>IF($BN$5="ON","1300 PPM co2",IF($BN$5="OFF","1300 PPM co2"))</f>
        <v>1300 PPM co2</v>
      </c>
      <c r="AW150" s="1851"/>
      <c r="AX150" s="1852"/>
      <c r="AY150" s="1536">
        <f>SUM($AU150,$AX151,$AX152)</f>
        <v>757.04725769632194</v>
      </c>
      <c r="AZ150" s="745">
        <f>ED$331</f>
        <v>0.5</v>
      </c>
      <c r="BA150" s="728">
        <f>(E150*AZ150)*(J150)</f>
        <v>15</v>
      </c>
      <c r="BB150" s="729">
        <f>IF($BI$6="ON",$BR165,IF($BI$6="OFF",$BS165))</f>
        <v>29.98678996036988</v>
      </c>
      <c r="BC150" s="894">
        <f>SUM($AY150,$BB150,$BB151,$BB152)</f>
        <v>787.03404765669177</v>
      </c>
      <c r="BD150" s="1938">
        <v>6</v>
      </c>
      <c r="BE150" s="1939"/>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2" t="s">
        <v>1873</v>
      </c>
      <c r="FP150" s="1843"/>
      <c r="FQ150" s="1843"/>
      <c r="FR150" s="1843"/>
      <c r="FS150" s="1843"/>
      <c r="FT150" s="1843"/>
      <c r="FU150" s="1843"/>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8" t="s">
        <v>13</v>
      </c>
      <c r="C151" s="1889"/>
      <c r="D151" s="1890">
        <f>SUM(D131,D130)</f>
        <v>44285</v>
      </c>
      <c r="E151" s="1891"/>
      <c r="F151" s="319"/>
      <c r="G151" s="1888" t="s">
        <v>13</v>
      </c>
      <c r="H151" s="1889"/>
      <c r="I151" s="1890">
        <f>SUM(I131,I130)</f>
        <v>44365</v>
      </c>
      <c r="J151" s="1891"/>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76</v>
      </c>
      <c r="J152" s="706">
        <f>(I152/7)</f>
        <v>10.857142857142858</v>
      </c>
      <c r="K152" s="753"/>
      <c r="L152" s="1844" t="s">
        <v>1419</v>
      </c>
      <c r="M152" s="1845"/>
      <c r="N152" s="1845"/>
      <c r="O152" s="1845"/>
      <c r="P152" s="1845"/>
      <c r="Q152" s="1845"/>
      <c r="R152" s="1845"/>
      <c r="S152" s="1845"/>
      <c r="T152" s="1845"/>
      <c r="U152" s="1845"/>
      <c r="V152" s="1845"/>
      <c r="W152" s="1845"/>
      <c r="X152" s="1845"/>
      <c r="Y152" s="1845"/>
      <c r="Z152" s="1845"/>
      <c r="AA152" s="1845"/>
      <c r="AB152" s="1845"/>
      <c r="AC152" s="1845"/>
      <c r="AD152" s="1845"/>
      <c r="AE152" s="1845"/>
      <c r="AF152" s="1845"/>
      <c r="AG152" s="1845"/>
      <c r="AH152" s="1845"/>
      <c r="AI152" s="1845"/>
      <c r="AJ152" s="1845"/>
      <c r="AK152" s="1845"/>
      <c r="AL152" s="1845"/>
      <c r="AM152" s="1845"/>
      <c r="AN152" s="1845"/>
      <c r="AO152" s="1845"/>
      <c r="AP152" s="1845"/>
      <c r="AQ152" s="1845"/>
      <c r="AR152" s="1845"/>
      <c r="AS152" s="1845"/>
      <c r="AT152" s="1845"/>
      <c r="AU152" s="1846"/>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6" t="str">
        <f>$B$33</f>
        <v>Expert Light</v>
      </c>
      <c r="C153" s="1937"/>
      <c r="D153" s="652">
        <v>1</v>
      </c>
      <c r="E153" s="831"/>
      <c r="F153" s="753"/>
      <c r="G153" s="1924"/>
      <c r="H153" s="1925"/>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9" t="s">
        <v>1363</v>
      </c>
      <c r="BM153" s="1950"/>
      <c r="BN153" s="1951"/>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9" t="str">
        <f>$B$34</f>
        <v>Expert Medium</v>
      </c>
      <c r="C154" s="1925"/>
      <c r="D154" s="653">
        <v>1</v>
      </c>
      <c r="E154" s="836"/>
      <c r="F154" s="319"/>
      <c r="G154" s="1929"/>
      <c r="H154" s="1925"/>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4" t="s">
        <v>1377</v>
      </c>
      <c r="BM154" s="1831"/>
      <c r="BN154" s="1945"/>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4" t="str">
        <f>$B$35</f>
        <v>Expert Heavy</v>
      </c>
      <c r="C155" s="1925"/>
      <c r="D155" s="653">
        <v>1</v>
      </c>
      <c r="E155" s="841"/>
      <c r="F155" s="319"/>
      <c r="G155" s="1924"/>
      <c r="H155" s="1925"/>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4" t="s">
        <v>1369</v>
      </c>
      <c r="BM155" s="1831"/>
      <c r="BN155" s="1945"/>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9" t="str">
        <f>$B$36</f>
        <v>Full Light</v>
      </c>
      <c r="C156" s="1925"/>
      <c r="D156" s="653">
        <v>1</v>
      </c>
      <c r="E156" s="836"/>
      <c r="F156" s="319"/>
      <c r="G156" s="1929"/>
      <c r="H156" s="1925"/>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9" t="s">
        <v>1363</v>
      </c>
      <c r="BM156" s="1950"/>
      <c r="BN156" s="1951"/>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4" t="str">
        <f>$B$37</f>
        <v>Full Medium</v>
      </c>
      <c r="C157" s="1925"/>
      <c r="D157" s="653">
        <v>1</v>
      </c>
      <c r="E157" s="841"/>
      <c r="F157" s="319"/>
      <c r="G157" s="1924"/>
      <c r="H157" s="1925"/>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4" t="s">
        <v>1377</v>
      </c>
      <c r="BM157" s="1831"/>
      <c r="BN157" s="1945"/>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9" t="str">
        <f>$B$38</f>
        <v>Testing</v>
      </c>
      <c r="C158" s="1925"/>
      <c r="D158" s="653">
        <v>1</v>
      </c>
      <c r="E158" s="836"/>
      <c r="F158" s="319"/>
      <c r="G158" s="1929"/>
      <c r="H158" s="1925"/>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6"/>
      <c r="BM158" s="1947"/>
      <c r="BN158" s="1948"/>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2" t="s">
        <v>962</v>
      </c>
      <c r="C160" s="1913"/>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4" t="s">
        <v>963</v>
      </c>
      <c r="C161" s="1915"/>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6" t="s">
        <v>964</v>
      </c>
      <c r="C162" s="1917"/>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8" t="s">
        <v>961</v>
      </c>
      <c r="C163" s="1919"/>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0" t="s">
        <v>960</v>
      </c>
      <c r="C164" s="1921"/>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2" t="s">
        <v>957</v>
      </c>
      <c r="C165" s="1923"/>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3" t="s">
        <v>958</v>
      </c>
      <c r="C166" s="1904"/>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5" t="s">
        <v>959</v>
      </c>
      <c r="C167" s="1906"/>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5" t="s">
        <v>1254</v>
      </c>
      <c r="C168" s="1906"/>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7" t="s">
        <v>16</v>
      </c>
      <c r="C170" s="1908"/>
      <c r="D170" s="776">
        <v>8</v>
      </c>
      <c r="E170" s="661">
        <v>30</v>
      </c>
      <c r="F170" s="319"/>
      <c r="G170" s="1907" t="s">
        <v>1010</v>
      </c>
      <c r="H170" s="1908"/>
      <c r="I170" s="776">
        <v>8</v>
      </c>
      <c r="J170" s="646">
        <v>1</v>
      </c>
      <c r="K170" s="319"/>
      <c r="L170" s="1941" t="s">
        <v>1316</v>
      </c>
      <c r="M170" s="1942"/>
      <c r="N170" s="1943"/>
      <c r="O170" s="1536">
        <f>SUM($BH$6,$N171)</f>
        <v>18.996702774108325</v>
      </c>
      <c r="P170" s="647">
        <v>50000</v>
      </c>
      <c r="Q170" s="623" t="s">
        <v>825</v>
      </c>
      <c r="R170" s="762">
        <f>(P170/64.55337)</f>
        <v>774.55290095621649</v>
      </c>
      <c r="S170" s="1536">
        <f>SUM($O170,$R171)</f>
        <v>167.49248585723035</v>
      </c>
      <c r="T170" s="1850" t="str">
        <f>IF($BN$5="ON","76F                25c",IF($BN$5="OFF","76F                25c"))</f>
        <v>76F                25c</v>
      </c>
      <c r="U170" s="1851"/>
      <c r="V170" s="1852"/>
      <c r="W170" s="1536">
        <f>SUM($S170,$V171)</f>
        <v>365.88880756793918</v>
      </c>
      <c r="X170" s="1850" t="str">
        <f>IF($BN$5="ON","64F                18c",IF($BN$5="OFF","64F                18c"))</f>
        <v>64F                18c</v>
      </c>
      <c r="Y170" s="1851"/>
      <c r="Z170" s="1852"/>
      <c r="AA170" s="1536">
        <f>SUM($W170,$Z171)</f>
        <v>459.03892352660938</v>
      </c>
      <c r="AB170" s="1850" t="str">
        <f>IF($BN$5="ON","55%                40%",IF($BN$5="OFF","55%                40%"))</f>
        <v>55%                40%</v>
      </c>
      <c r="AC170" s="1851"/>
      <c r="AD170" s="1852"/>
      <c r="AE170" s="1536">
        <f>SUM($AA170,$AD171)</f>
        <v>741.21991766847145</v>
      </c>
      <c r="AF170" s="1940" t="s">
        <v>1359</v>
      </c>
      <c r="AG170" s="1851"/>
      <c r="AH170" s="1852"/>
      <c r="AI170" s="1536">
        <f>SUM($AE170,$AH171)</f>
        <v>812.82740673136141</v>
      </c>
      <c r="AJ170" s="1940" t="s">
        <v>11</v>
      </c>
      <c r="AK170" s="1851"/>
      <c r="AL170" s="1852"/>
      <c r="AM170" s="1536">
        <f>SUM($AI170,$AL171)</f>
        <v>829.97932637456745</v>
      </c>
      <c r="AN170" s="1940" t="s">
        <v>979</v>
      </c>
      <c r="AO170" s="1851"/>
      <c r="AP170" s="1852"/>
      <c r="AQ170" s="1536">
        <f>SUM($AM170,$AP171)</f>
        <v>829.97932637456745</v>
      </c>
      <c r="AR170" s="1850" t="str">
        <f>IF($BN$5="ON","68F                20c",IF($BN$5="OFF","68F                20c"))</f>
        <v>68F                20c</v>
      </c>
      <c r="AS170" s="1851"/>
      <c r="AT170" s="1852"/>
      <c r="AU170" s="1536">
        <f>SUM($AQ170,$AT171)</f>
        <v>829.97932637456745</v>
      </c>
      <c r="AV170" s="1850" t="str">
        <f>IF($BN$5="ON","1200 PPM co2",IF($BN$5="OFF","1200 PPM co2"))</f>
        <v>1200 PPM co2</v>
      </c>
      <c r="AW170" s="1851"/>
      <c r="AX170" s="1852"/>
      <c r="AY170" s="1536">
        <f>SUM($AU170,$AX171,$AX172)</f>
        <v>829.97932637456745</v>
      </c>
      <c r="AZ170" s="745">
        <f>EE$331</f>
        <v>0.5</v>
      </c>
      <c r="BA170" s="728">
        <f>(E170*AZ170)*(J170)</f>
        <v>15</v>
      </c>
      <c r="BB170" s="729">
        <f>IF($BI$6="ON",$BR185,IF($BI$6="OFF",$BS185))</f>
        <v>29.98678996036988</v>
      </c>
      <c r="BC170" s="894">
        <f>SUM($AY170,$BB170,$BB171,$BB172)</f>
        <v>859.96611633493728</v>
      </c>
      <c r="BD170" s="1938">
        <v>5.9</v>
      </c>
      <c r="BE170" s="1939"/>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2" t="s">
        <v>1873</v>
      </c>
      <c r="FP170" s="1843"/>
      <c r="FQ170" s="1843"/>
      <c r="FR170" s="1843"/>
      <c r="FS170" s="1843"/>
      <c r="FT170" s="1843"/>
      <c r="FU170" s="1843"/>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8" t="s">
        <v>15</v>
      </c>
      <c r="C171" s="1889"/>
      <c r="D171" s="1890">
        <f>SUM(D151,D150)</f>
        <v>44293</v>
      </c>
      <c r="E171" s="1891"/>
      <c r="F171" s="319"/>
      <c r="G171" s="1888" t="s">
        <v>15</v>
      </c>
      <c r="H171" s="1889"/>
      <c r="I171" s="1890">
        <f>SUM(I151,I150)</f>
        <v>44373</v>
      </c>
      <c r="J171" s="1891"/>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84</v>
      </c>
      <c r="J172" s="706">
        <f>(I172/7)</f>
        <v>12</v>
      </c>
      <c r="K172" s="753"/>
      <c r="L172" s="1844" t="s">
        <v>1664</v>
      </c>
      <c r="M172" s="1845"/>
      <c r="N172" s="1845"/>
      <c r="O172" s="1845"/>
      <c r="P172" s="1845"/>
      <c r="Q172" s="1845"/>
      <c r="R172" s="1845"/>
      <c r="S172" s="1845"/>
      <c r="T172" s="1845"/>
      <c r="U172" s="1845"/>
      <c r="V172" s="1845"/>
      <c r="W172" s="1845"/>
      <c r="X172" s="1845"/>
      <c r="Y172" s="1845"/>
      <c r="Z172" s="1845"/>
      <c r="AA172" s="1845"/>
      <c r="AB172" s="1845"/>
      <c r="AC172" s="1845"/>
      <c r="AD172" s="1845"/>
      <c r="AE172" s="1845"/>
      <c r="AF172" s="1845"/>
      <c r="AG172" s="1845"/>
      <c r="AH172" s="1845"/>
      <c r="AI172" s="1845"/>
      <c r="AJ172" s="1845"/>
      <c r="AK172" s="1845"/>
      <c r="AL172" s="1845"/>
      <c r="AM172" s="1845"/>
      <c r="AN172" s="1845"/>
      <c r="AO172" s="1845"/>
      <c r="AP172" s="1845"/>
      <c r="AQ172" s="1845"/>
      <c r="AR172" s="1845"/>
      <c r="AS172" s="1845"/>
      <c r="AT172" s="1845"/>
      <c r="AU172" s="1846"/>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6" t="str">
        <f>$B$33</f>
        <v>Expert Light</v>
      </c>
      <c r="C173" s="1937"/>
      <c r="D173" s="652">
        <v>1</v>
      </c>
      <c r="E173" s="831"/>
      <c r="F173" s="753"/>
      <c r="G173" s="1924"/>
      <c r="H173" s="1925"/>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9" t="s">
        <v>1362</v>
      </c>
      <c r="BM173" s="1950"/>
      <c r="BN173" s="1951"/>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9" t="str">
        <f>$B$34</f>
        <v>Expert Medium</v>
      </c>
      <c r="C174" s="1925"/>
      <c r="D174" s="653">
        <v>1</v>
      </c>
      <c r="E174" s="836"/>
      <c r="F174" s="319"/>
      <c r="G174" s="1929"/>
      <c r="H174" s="1925"/>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4" t="s">
        <v>1377</v>
      </c>
      <c r="BM174" s="1831"/>
      <c r="BN174" s="1945"/>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4" t="str">
        <f>$B$35</f>
        <v>Expert Heavy</v>
      </c>
      <c r="C175" s="1925"/>
      <c r="D175" s="653">
        <v>1</v>
      </c>
      <c r="E175" s="841"/>
      <c r="F175" s="319"/>
      <c r="G175" s="1924"/>
      <c r="H175" s="1925"/>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4" t="s">
        <v>1368</v>
      </c>
      <c r="BM175" s="1831"/>
      <c r="BN175" s="1945"/>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9" t="str">
        <f>$B$36</f>
        <v>Full Light</v>
      </c>
      <c r="C176" s="1925"/>
      <c r="D176" s="653">
        <v>1</v>
      </c>
      <c r="E176" s="836"/>
      <c r="F176" s="319"/>
      <c r="G176" s="1929"/>
      <c r="H176" s="1925"/>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9" t="s">
        <v>1362</v>
      </c>
      <c r="BM176" s="1950"/>
      <c r="BN176" s="1951"/>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4" t="str">
        <f>$B$37</f>
        <v>Full Medium</v>
      </c>
      <c r="C177" s="1925"/>
      <c r="D177" s="653">
        <v>1</v>
      </c>
      <c r="E177" s="841"/>
      <c r="F177" s="319"/>
      <c r="G177" s="1924"/>
      <c r="H177" s="1925"/>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4" t="s">
        <v>1377</v>
      </c>
      <c r="BM177" s="1831"/>
      <c r="BN177" s="1945"/>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9" t="str">
        <f>$B$38</f>
        <v>Testing</v>
      </c>
      <c r="C178" s="1925"/>
      <c r="D178" s="653">
        <v>1</v>
      </c>
      <c r="E178" s="836"/>
      <c r="F178" s="319"/>
      <c r="G178" s="1929"/>
      <c r="H178" s="1925"/>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6"/>
      <c r="BM178" s="1947"/>
      <c r="BN178" s="1948"/>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2" t="s">
        <v>962</v>
      </c>
      <c r="C180" s="1913"/>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4" t="s">
        <v>963</v>
      </c>
      <c r="C181" s="1915"/>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6" t="s">
        <v>964</v>
      </c>
      <c r="C182" s="1917"/>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8" t="s">
        <v>961</v>
      </c>
      <c r="C183" s="1919"/>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0" t="s">
        <v>960</v>
      </c>
      <c r="C184" s="1921"/>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2" t="s">
        <v>957</v>
      </c>
      <c r="C185" s="1923"/>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3" t="s">
        <v>958</v>
      </c>
      <c r="C186" s="1904"/>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5" t="s">
        <v>959</v>
      </c>
      <c r="C187" s="1906"/>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5" t="s">
        <v>1254</v>
      </c>
      <c r="C188" s="1906"/>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7" t="s">
        <v>16</v>
      </c>
      <c r="C190" s="1908"/>
      <c r="D190" s="776">
        <v>8</v>
      </c>
      <c r="E190" s="661">
        <v>30</v>
      </c>
      <c r="F190" s="319"/>
      <c r="G190" s="1907" t="s">
        <v>16</v>
      </c>
      <c r="H190" s="1908"/>
      <c r="I190" s="776">
        <v>8</v>
      </c>
      <c r="J190" s="646">
        <v>1</v>
      </c>
      <c r="K190" s="319"/>
      <c r="L190" s="1941" t="s">
        <v>1316</v>
      </c>
      <c r="M190" s="1942"/>
      <c r="N190" s="1943"/>
      <c r="O190" s="1536">
        <f>SUM($BH$6,$N191)</f>
        <v>18.996702774108325</v>
      </c>
      <c r="P190" s="647">
        <v>50000</v>
      </c>
      <c r="Q190" s="623" t="s">
        <v>825</v>
      </c>
      <c r="R190" s="777">
        <f>(P190/64.55337)</f>
        <v>774.55290095621649</v>
      </c>
      <c r="S190" s="1536">
        <f>SUM($O190,$R191)</f>
        <v>167.49248585723035</v>
      </c>
      <c r="T190" s="1850" t="str">
        <f>IF($BN$5="ON","76F                25c",IF($BN$5="OFF","76F                25c"))</f>
        <v>76F                25c</v>
      </c>
      <c r="U190" s="1851"/>
      <c r="V190" s="1852"/>
      <c r="W190" s="1536">
        <f>SUM($S190,$V191)</f>
        <v>365.88880756793918</v>
      </c>
      <c r="X190" s="1850" t="str">
        <f>IF($BN$5="ON","64F                18c",IF($BN$5="OFF","64F                18c"))</f>
        <v>64F                18c</v>
      </c>
      <c r="Y190" s="1851"/>
      <c r="Z190" s="1852"/>
      <c r="AA190" s="1536">
        <f>SUM($W190,$Z191)</f>
        <v>459.03892352660938</v>
      </c>
      <c r="AB190" s="1850" t="str">
        <f>IF($BN$5="ON","55%                40%",IF($BN$5="OFF","55%                40%"))</f>
        <v>55%                40%</v>
      </c>
      <c r="AC190" s="1851"/>
      <c r="AD190" s="1852"/>
      <c r="AE190" s="1536">
        <f>SUM($AA190,$AD191)</f>
        <v>741.21991766847145</v>
      </c>
      <c r="AF190" s="1940" t="s">
        <v>1359</v>
      </c>
      <c r="AG190" s="1851"/>
      <c r="AH190" s="1852"/>
      <c r="AI190" s="1536">
        <f>SUM($AE190,$AH191)</f>
        <v>812.82740673136141</v>
      </c>
      <c r="AJ190" s="1940" t="s">
        <v>11</v>
      </c>
      <c r="AK190" s="1851"/>
      <c r="AL190" s="1852"/>
      <c r="AM190" s="1536">
        <f>SUM($AI190,$AL191)</f>
        <v>829.97932637456745</v>
      </c>
      <c r="AN190" s="1940" t="s">
        <v>979</v>
      </c>
      <c r="AO190" s="1851"/>
      <c r="AP190" s="1852"/>
      <c r="AQ190" s="1536">
        <f>SUM($AM190,$AP191)</f>
        <v>829.97932637456745</v>
      </c>
      <c r="AR190" s="1850" t="str">
        <f>IF($BN$5="ON","68F                20c",IF($BN$5="OFF","68F                20c"))</f>
        <v>68F                20c</v>
      </c>
      <c r="AS190" s="1851"/>
      <c r="AT190" s="1852"/>
      <c r="AU190" s="1536">
        <f>SUM($AQ190,$AT191)</f>
        <v>829.97932637456745</v>
      </c>
      <c r="AV190" s="1850" t="str">
        <f>IF($BN$5="ON","1100 PPM co2",IF($BN$5="OFF","1100 PPM co2"))</f>
        <v>1100 PPM co2</v>
      </c>
      <c r="AW190" s="1851"/>
      <c r="AX190" s="1852"/>
      <c r="AY190" s="1536">
        <f>SUM($AU190,$AX191,$AX192)</f>
        <v>829.97932637456745</v>
      </c>
      <c r="AZ190" s="745">
        <f>EF$331</f>
        <v>0.5</v>
      </c>
      <c r="BA190" s="728">
        <f>(E190*AZ190)*(J190)</f>
        <v>15</v>
      </c>
      <c r="BB190" s="729">
        <f>IF($BI$6="ON",$BR205,IF($BI$6="OFF",$BS205))</f>
        <v>29.98678996036988</v>
      </c>
      <c r="BC190" s="894">
        <f>SUM($AY190,$BB190,$BB191,$BB192)</f>
        <v>859.96611633493728</v>
      </c>
      <c r="BD190" s="1938">
        <v>5.8</v>
      </c>
      <c r="BE190" s="1939"/>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2" t="s">
        <v>1873</v>
      </c>
      <c r="FP190" s="1843"/>
      <c r="FQ190" s="1843"/>
      <c r="FR190" s="1843"/>
      <c r="FS190" s="1843"/>
      <c r="FT190" s="1843"/>
      <c r="FU190" s="1843"/>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8" t="s">
        <v>17</v>
      </c>
      <c r="C191" s="1889"/>
      <c r="D191" s="1890">
        <f>SUM(D171,D170)</f>
        <v>44301</v>
      </c>
      <c r="E191" s="1891"/>
      <c r="F191" s="319"/>
      <c r="G191" s="1888" t="s">
        <v>17</v>
      </c>
      <c r="H191" s="1889"/>
      <c r="I191" s="1890">
        <f>SUM(I171,I170)</f>
        <v>44381</v>
      </c>
      <c r="J191" s="1891"/>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92</v>
      </c>
      <c r="J192" s="706">
        <f>(I192/7)</f>
        <v>13.142857142857142</v>
      </c>
      <c r="K192" s="753"/>
      <c r="L192" s="1844" t="s">
        <v>1680</v>
      </c>
      <c r="M192" s="1845"/>
      <c r="N192" s="1845"/>
      <c r="O192" s="1845"/>
      <c r="P192" s="1845"/>
      <c r="Q192" s="1845"/>
      <c r="R192" s="1845"/>
      <c r="S192" s="1845"/>
      <c r="T192" s="1845"/>
      <c r="U192" s="1845"/>
      <c r="V192" s="1845"/>
      <c r="W192" s="1845"/>
      <c r="X192" s="1845"/>
      <c r="Y192" s="1845"/>
      <c r="Z192" s="1845"/>
      <c r="AA192" s="1845"/>
      <c r="AB192" s="1845"/>
      <c r="AC192" s="1845"/>
      <c r="AD192" s="1845"/>
      <c r="AE192" s="1845"/>
      <c r="AF192" s="1845"/>
      <c r="AG192" s="1845"/>
      <c r="AH192" s="1845"/>
      <c r="AI192" s="1845"/>
      <c r="AJ192" s="1845"/>
      <c r="AK192" s="1845"/>
      <c r="AL192" s="1845"/>
      <c r="AM192" s="1845"/>
      <c r="AN192" s="1845"/>
      <c r="AO192" s="1845"/>
      <c r="AP192" s="1845"/>
      <c r="AQ192" s="1845"/>
      <c r="AR192" s="1845"/>
      <c r="AS192" s="1845"/>
      <c r="AT192" s="1845"/>
      <c r="AU192" s="1846"/>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6" t="str">
        <f>$B$33</f>
        <v>Expert Light</v>
      </c>
      <c r="C193" s="1937"/>
      <c r="D193" s="652">
        <v>1</v>
      </c>
      <c r="E193" s="831"/>
      <c r="F193" s="753"/>
      <c r="G193" s="1924"/>
      <c r="H193" s="1925"/>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9" t="s">
        <v>1362</v>
      </c>
      <c r="BM193" s="1950"/>
      <c r="BN193" s="1951"/>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9" t="str">
        <f>$B$34</f>
        <v>Expert Medium</v>
      </c>
      <c r="C194" s="1925"/>
      <c r="D194" s="653">
        <v>1</v>
      </c>
      <c r="E194" s="836"/>
      <c r="F194" s="319"/>
      <c r="G194" s="1929"/>
      <c r="H194" s="1925"/>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4" t="s">
        <v>1377</v>
      </c>
      <c r="BM194" s="1831"/>
      <c r="BN194" s="1945"/>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4" t="str">
        <f>$B$35</f>
        <v>Expert Heavy</v>
      </c>
      <c r="C195" s="1925"/>
      <c r="D195" s="653">
        <v>1</v>
      </c>
      <c r="E195" s="841"/>
      <c r="F195" s="319"/>
      <c r="G195" s="1924"/>
      <c r="H195" s="1925"/>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4" t="s">
        <v>1368</v>
      </c>
      <c r="BM195" s="1831"/>
      <c r="BN195" s="1945"/>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9" t="str">
        <f>$B$36</f>
        <v>Full Light</v>
      </c>
      <c r="C196" s="1925"/>
      <c r="D196" s="653">
        <v>1</v>
      </c>
      <c r="E196" s="836"/>
      <c r="F196" s="319"/>
      <c r="G196" s="1929"/>
      <c r="H196" s="1925"/>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9" t="s">
        <v>1362</v>
      </c>
      <c r="BM196" s="1950"/>
      <c r="BN196" s="1951"/>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4" t="str">
        <f>$B$37</f>
        <v>Full Medium</v>
      </c>
      <c r="C197" s="1925"/>
      <c r="D197" s="653">
        <v>1</v>
      </c>
      <c r="E197" s="841"/>
      <c r="F197" s="319"/>
      <c r="G197" s="1924"/>
      <c r="H197" s="1925"/>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4" t="s">
        <v>1377</v>
      </c>
      <c r="BM197" s="1831"/>
      <c r="BN197" s="1945"/>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9" t="str">
        <f>$B$38</f>
        <v>Testing</v>
      </c>
      <c r="C198" s="1925"/>
      <c r="D198" s="653">
        <v>1</v>
      </c>
      <c r="E198" s="836"/>
      <c r="F198" s="319"/>
      <c r="G198" s="1929"/>
      <c r="H198" s="1925"/>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6"/>
      <c r="BM198" s="1947"/>
      <c r="BN198" s="1948"/>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2" t="s">
        <v>962</v>
      </c>
      <c r="C200" s="1913"/>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4" t="s">
        <v>963</v>
      </c>
      <c r="C201" s="1915"/>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6" t="s">
        <v>964</v>
      </c>
      <c r="C202" s="1917"/>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8" t="s">
        <v>961</v>
      </c>
      <c r="C203" s="1919"/>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0" t="s">
        <v>960</v>
      </c>
      <c r="C204" s="1921"/>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2" t="s">
        <v>957</v>
      </c>
      <c r="C205" s="1923"/>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3" t="s">
        <v>958</v>
      </c>
      <c r="C206" s="1904"/>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5" t="s">
        <v>959</v>
      </c>
      <c r="C207" s="1906"/>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5" t="s">
        <v>1254</v>
      </c>
      <c r="C208" s="1906"/>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7" t="s">
        <v>16</v>
      </c>
      <c r="C210" s="1908"/>
      <c r="D210" s="776">
        <v>8</v>
      </c>
      <c r="E210" s="661">
        <v>30</v>
      </c>
      <c r="F210" s="319"/>
      <c r="G210" s="1907" t="s">
        <v>16</v>
      </c>
      <c r="H210" s="1908"/>
      <c r="I210" s="776">
        <v>8</v>
      </c>
      <c r="J210" s="646">
        <v>1</v>
      </c>
      <c r="K210" s="319"/>
      <c r="L210" s="1941" t="s">
        <v>1316</v>
      </c>
      <c r="M210" s="1942"/>
      <c r="N210" s="1943"/>
      <c r="O210" s="1536">
        <f>SUM($BH$6,$N211)</f>
        <v>18.996702774108325</v>
      </c>
      <c r="P210" s="647">
        <v>50000</v>
      </c>
      <c r="Q210" s="623" t="s">
        <v>825</v>
      </c>
      <c r="R210" s="777">
        <f>(P210/64.55337)</f>
        <v>774.55290095621649</v>
      </c>
      <c r="S210" s="1536">
        <f>SUM($O210,$R211)</f>
        <v>167.49248585723035</v>
      </c>
      <c r="T210" s="1850" t="str">
        <f>IF($BN$5="ON","76F                25c",IF($BN$5="OFF","76F                25c"))</f>
        <v>76F                25c</v>
      </c>
      <c r="U210" s="1851"/>
      <c r="V210" s="1852"/>
      <c r="W210" s="1536">
        <f>SUM($S210,$V211)</f>
        <v>365.88880756793918</v>
      </c>
      <c r="X210" s="1850" t="str">
        <f>IF($BN$5="ON","64F                18c",IF($BN$5="OFF","64F                18c"))</f>
        <v>64F                18c</v>
      </c>
      <c r="Y210" s="1851"/>
      <c r="Z210" s="1852"/>
      <c r="AA210" s="1536">
        <f>SUM($W210,$Z211)</f>
        <v>459.03892352660938</v>
      </c>
      <c r="AB210" s="1850" t="str">
        <f>IF($BN$5="ON","55%                40%",IF($BN$5="OFF","55%                40%"))</f>
        <v>55%                40%</v>
      </c>
      <c r="AC210" s="1851"/>
      <c r="AD210" s="1852"/>
      <c r="AE210" s="1536">
        <f>SUM($AA210,$AD211)</f>
        <v>741.21991766847145</v>
      </c>
      <c r="AF210" s="1940" t="s">
        <v>1359</v>
      </c>
      <c r="AG210" s="1851"/>
      <c r="AH210" s="1852"/>
      <c r="AI210" s="1536">
        <f>SUM($AE210,$AH211)</f>
        <v>812.82740673136141</v>
      </c>
      <c r="AJ210" s="1940" t="s">
        <v>11</v>
      </c>
      <c r="AK210" s="1851"/>
      <c r="AL210" s="1852"/>
      <c r="AM210" s="1536">
        <f>SUM($AI210,$AL211)</f>
        <v>829.97932637456745</v>
      </c>
      <c r="AN210" s="1940" t="s">
        <v>980</v>
      </c>
      <c r="AO210" s="1851"/>
      <c r="AP210" s="1852"/>
      <c r="AQ210" s="1536">
        <f>SUM($AM210,$AP211)</f>
        <v>829.97932637456745</v>
      </c>
      <c r="AR210" s="1850" t="str">
        <f>IF($BN$5="ON","68F                20c",IF($BN$5="OFF","68F                20c"))</f>
        <v>68F                20c</v>
      </c>
      <c r="AS210" s="1851"/>
      <c r="AT210" s="1852"/>
      <c r="AU210" s="1536">
        <f>SUM($AQ210,$AT211)</f>
        <v>829.97932637456745</v>
      </c>
      <c r="AV210" s="1850" t="str">
        <f>IF($BN$5="ON","1100 PPM co2",IF($BN$5="OFF","1100 PPM co2"))</f>
        <v>1100 PPM co2</v>
      </c>
      <c r="AW210" s="1851"/>
      <c r="AX210" s="1852"/>
      <c r="AY210" s="1536">
        <f>SUM($AU210,$AX211,$AX212)</f>
        <v>892.57087194920416</v>
      </c>
      <c r="AZ210" s="745">
        <f>EG$331</f>
        <v>0.5</v>
      </c>
      <c r="BA210" s="728">
        <f>(E210*AZ210)*(J210)</f>
        <v>15</v>
      </c>
      <c r="BB210" s="729">
        <f>IF($BI$6="ON",$BR225,IF($BI$6="OFF",$BS225))</f>
        <v>29.98678996036988</v>
      </c>
      <c r="BC210" s="894">
        <f>SUM($AY210,$BB210,$BB211,$BB212)</f>
        <v>922.55766190957399</v>
      </c>
      <c r="BD210" s="1938">
        <v>5.7</v>
      </c>
      <c r="BE210" s="1939"/>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2" t="s">
        <v>1873</v>
      </c>
      <c r="FP210" s="1843"/>
      <c r="FQ210" s="1843"/>
      <c r="FR210" s="1843"/>
      <c r="FS210" s="1843"/>
      <c r="FT210" s="1843"/>
      <c r="FU210" s="1843"/>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8" t="s">
        <v>17</v>
      </c>
      <c r="C211" s="1889"/>
      <c r="D211" s="1890">
        <f>SUM(D191,D190)</f>
        <v>44309</v>
      </c>
      <c r="E211" s="1891"/>
      <c r="F211" s="319"/>
      <c r="G211" s="1888" t="s">
        <v>17</v>
      </c>
      <c r="H211" s="1889"/>
      <c r="I211" s="1890">
        <f>SUM(I191,I190)</f>
        <v>44389</v>
      </c>
      <c r="J211" s="1891"/>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100</v>
      </c>
      <c r="J212" s="706">
        <f>(I212/7)</f>
        <v>14.285714285714286</v>
      </c>
      <c r="K212" s="753"/>
      <c r="L212" s="1844" t="s">
        <v>1674</v>
      </c>
      <c r="M212" s="1845"/>
      <c r="N212" s="1845"/>
      <c r="O212" s="1845"/>
      <c r="P212" s="1845"/>
      <c r="Q212" s="1845"/>
      <c r="R212" s="1845"/>
      <c r="S212" s="1845"/>
      <c r="T212" s="1845"/>
      <c r="U212" s="1845"/>
      <c r="V212" s="1845"/>
      <c r="W212" s="1845"/>
      <c r="X212" s="1845"/>
      <c r="Y212" s="1845"/>
      <c r="Z212" s="1845"/>
      <c r="AA212" s="1845"/>
      <c r="AB212" s="1845"/>
      <c r="AC212" s="1845"/>
      <c r="AD212" s="1845"/>
      <c r="AE212" s="1845"/>
      <c r="AF212" s="1845"/>
      <c r="AG212" s="1845"/>
      <c r="AH212" s="1845"/>
      <c r="AI212" s="1845"/>
      <c r="AJ212" s="1845"/>
      <c r="AK212" s="1845"/>
      <c r="AL212" s="1845"/>
      <c r="AM212" s="1845"/>
      <c r="AN212" s="1845"/>
      <c r="AO212" s="1845"/>
      <c r="AP212" s="1845"/>
      <c r="AQ212" s="1845"/>
      <c r="AR212" s="1845"/>
      <c r="AS212" s="1845"/>
      <c r="AT212" s="1845"/>
      <c r="AU212" s="1846"/>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6" t="str">
        <f>$B$33</f>
        <v>Expert Light</v>
      </c>
      <c r="C213" s="1937"/>
      <c r="D213" s="652">
        <v>1</v>
      </c>
      <c r="E213" s="831"/>
      <c r="F213" s="753"/>
      <c r="G213" s="1924"/>
      <c r="H213" s="1925"/>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9" t="s">
        <v>1362</v>
      </c>
      <c r="BM213" s="1950"/>
      <c r="BN213" s="1951"/>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9" t="str">
        <f>$B$34</f>
        <v>Expert Medium</v>
      </c>
      <c r="C214" s="1925"/>
      <c r="D214" s="653">
        <v>1</v>
      </c>
      <c r="E214" s="836"/>
      <c r="F214" s="319"/>
      <c r="G214" s="1929"/>
      <c r="H214" s="1925"/>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4" t="s">
        <v>1377</v>
      </c>
      <c r="BM214" s="1831"/>
      <c r="BN214" s="1945"/>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4" t="str">
        <f>$B$35</f>
        <v>Expert Heavy</v>
      </c>
      <c r="C215" s="1925"/>
      <c r="D215" s="653">
        <v>1</v>
      </c>
      <c r="E215" s="841"/>
      <c r="F215" s="319"/>
      <c r="G215" s="1924"/>
      <c r="H215" s="1925"/>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4" t="s">
        <v>1368</v>
      </c>
      <c r="BM215" s="1831"/>
      <c r="BN215" s="1945"/>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9" t="str">
        <f>$B$36</f>
        <v>Full Light</v>
      </c>
      <c r="C216" s="1925"/>
      <c r="D216" s="653">
        <v>1</v>
      </c>
      <c r="E216" s="836"/>
      <c r="F216" s="319"/>
      <c r="G216" s="1929"/>
      <c r="H216" s="1925"/>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9" t="s">
        <v>1384</v>
      </c>
      <c r="BM216" s="1950"/>
      <c r="BN216" s="1951"/>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4" t="str">
        <f>$B$37</f>
        <v>Full Medium</v>
      </c>
      <c r="C217" s="1925"/>
      <c r="D217" s="653">
        <v>1</v>
      </c>
      <c r="E217" s="841"/>
      <c r="F217" s="319"/>
      <c r="G217" s="1924"/>
      <c r="H217" s="1925"/>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4" t="s">
        <v>1377</v>
      </c>
      <c r="BM217" s="1831"/>
      <c r="BN217" s="1945"/>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9" t="str">
        <f>$B$38</f>
        <v>Testing</v>
      </c>
      <c r="C218" s="1925"/>
      <c r="D218" s="653">
        <v>1</v>
      </c>
      <c r="E218" s="836"/>
      <c r="F218" s="319"/>
      <c r="G218" s="1929"/>
      <c r="H218" s="1925"/>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6"/>
      <c r="BM218" s="1947"/>
      <c r="BN218" s="1948"/>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2" t="s">
        <v>962</v>
      </c>
      <c r="C220" s="1913"/>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4" t="s">
        <v>963</v>
      </c>
      <c r="C221" s="1915"/>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6" t="s">
        <v>964</v>
      </c>
      <c r="C222" s="1917"/>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8" t="s">
        <v>961</v>
      </c>
      <c r="C223" s="1919"/>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0" t="s">
        <v>960</v>
      </c>
      <c r="C224" s="1921"/>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2" t="s">
        <v>957</v>
      </c>
      <c r="C225" s="1923"/>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3" t="s">
        <v>958</v>
      </c>
      <c r="C226" s="1904"/>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5" t="s">
        <v>959</v>
      </c>
      <c r="C227" s="1906"/>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5" t="s">
        <v>1254</v>
      </c>
      <c r="C228" s="1906"/>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7" t="s">
        <v>18</v>
      </c>
      <c r="C230" s="1908"/>
      <c r="D230" s="776">
        <v>8</v>
      </c>
      <c r="E230" s="661">
        <v>25</v>
      </c>
      <c r="F230" s="319"/>
      <c r="G230" s="1952" t="s">
        <v>18</v>
      </c>
      <c r="H230" s="1953"/>
      <c r="I230" s="776">
        <v>8</v>
      </c>
      <c r="J230" s="646">
        <v>1</v>
      </c>
      <c r="K230" s="319"/>
      <c r="L230" s="1941" t="s">
        <v>1316</v>
      </c>
      <c r="M230" s="1942"/>
      <c r="N230" s="1943"/>
      <c r="O230" s="1536">
        <f>SUM($BH$6,$N231)</f>
        <v>18.996702774108325</v>
      </c>
      <c r="P230" s="647">
        <v>50000</v>
      </c>
      <c r="Q230" s="623" t="s">
        <v>825</v>
      </c>
      <c r="R230" s="777">
        <f>(P230/64.55337)</f>
        <v>774.55290095621649</v>
      </c>
      <c r="S230" s="1536">
        <f>SUM($O230,$R231)</f>
        <v>101.49436004250944</v>
      </c>
      <c r="T230" s="1850" t="str">
        <f>IF($BN$5="ON","76F                25c",IF($BN$5="OFF","76F                25c"))</f>
        <v>76F                25c</v>
      </c>
      <c r="U230" s="1851"/>
      <c r="V230" s="1852"/>
      <c r="W230" s="1536">
        <f>SUM($S230,$V231)</f>
        <v>247.68112340829489</v>
      </c>
      <c r="X230" s="1850" t="str">
        <f>IF($BN$5="ON","64F                18c",IF($BN$5="OFF","64F                18c"))</f>
        <v>64F                18c</v>
      </c>
      <c r="Y230" s="1851"/>
      <c r="Z230" s="1852"/>
      <c r="AA230" s="1536">
        <f>SUM($W230,$Z231)</f>
        <v>340.83123936696506</v>
      </c>
      <c r="AB230" s="1850" t="str">
        <f>IF($BN$5="ON","55%                40%",IF($BN$5="OFF","55%                40%"))</f>
        <v>55%                40%</v>
      </c>
      <c r="AC230" s="1851"/>
      <c r="AD230" s="1852"/>
      <c r="AE230" s="1536">
        <f>SUM($AA230,$AD231)</f>
        <v>465.32285442955128</v>
      </c>
      <c r="AF230" s="1940" t="s">
        <v>1359</v>
      </c>
      <c r="AG230" s="1851"/>
      <c r="AH230" s="1852"/>
      <c r="AI230" s="1536">
        <f>SUM($AE230,$AH231)</f>
        <v>465.32285442955128</v>
      </c>
      <c r="AJ230" s="1940" t="s">
        <v>11</v>
      </c>
      <c r="AK230" s="1851"/>
      <c r="AL230" s="1852"/>
      <c r="AM230" s="1536">
        <f>SUM($AI230,$AL231)</f>
        <v>482.47477407275738</v>
      </c>
      <c r="AN230" s="1940" t="s">
        <v>980</v>
      </c>
      <c r="AO230" s="1851"/>
      <c r="AP230" s="1852"/>
      <c r="AQ230" s="1536">
        <f>SUM($AM230,$AP231)</f>
        <v>482.47477407275738</v>
      </c>
      <c r="AR230" s="1850" t="str">
        <f>IF($BN$5="ON","68F                20c",IF($BN$5="OFF","68F                20c"))</f>
        <v>68F                20c</v>
      </c>
      <c r="AS230" s="1851"/>
      <c r="AT230" s="1852"/>
      <c r="AU230" s="1536">
        <f>SUM($AQ230,$AT231)</f>
        <v>482.47477407275738</v>
      </c>
      <c r="AV230" s="1850" t="str">
        <f>IF($BN$5="ON","1100 PPM co2",IF($BN$5="OFF","1100 PPM co2"))</f>
        <v>1100 PPM co2</v>
      </c>
      <c r="AW230" s="1851"/>
      <c r="AX230" s="1852"/>
      <c r="AY230" s="1536">
        <f>SUM($AU230,$AX231,$AX232)</f>
        <v>670.24941079666758</v>
      </c>
      <c r="AZ230" s="745">
        <f>EH$331</f>
        <v>0.6</v>
      </c>
      <c r="BA230" s="728">
        <f>(E230*AZ230)*(J230)</f>
        <v>15</v>
      </c>
      <c r="BB230" s="729">
        <f>IF($BI$6="ON",$BR245,IF($BI$6="OFF",$BS245))</f>
        <v>35.984147952443855</v>
      </c>
      <c r="BC230" s="894">
        <f>SUM($AY230,$BB230,$BB231,$BB232)</f>
        <v>706.23355874911147</v>
      </c>
      <c r="BD230" s="1938">
        <v>5.7</v>
      </c>
      <c r="BE230" s="1939"/>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2" t="s">
        <v>1873</v>
      </c>
      <c r="FP230" s="1843"/>
      <c r="FQ230" s="1843"/>
      <c r="FR230" s="1843"/>
      <c r="FS230" s="1843"/>
      <c r="FT230" s="1843"/>
      <c r="FU230" s="1843"/>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8" t="s">
        <v>17</v>
      </c>
      <c r="C231" s="1889"/>
      <c r="D231" s="1890">
        <f>SUM(D211,D210)</f>
        <v>44317</v>
      </c>
      <c r="E231" s="1891"/>
      <c r="F231" s="319"/>
      <c r="G231" s="1888" t="s">
        <v>17</v>
      </c>
      <c r="H231" s="1889"/>
      <c r="I231" s="1890">
        <f>SUM(I211,I210)</f>
        <v>44397</v>
      </c>
      <c r="J231" s="1891"/>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108</v>
      </c>
      <c r="J232" s="706">
        <f>(I232/7)</f>
        <v>15.428571428571429</v>
      </c>
      <c r="K232" s="753"/>
      <c r="L232" s="1844" t="s">
        <v>1660</v>
      </c>
      <c r="M232" s="1845"/>
      <c r="N232" s="1845"/>
      <c r="O232" s="1845"/>
      <c r="P232" s="1845"/>
      <c r="Q232" s="1845"/>
      <c r="R232" s="1845"/>
      <c r="S232" s="1845"/>
      <c r="T232" s="1845"/>
      <c r="U232" s="1845"/>
      <c r="V232" s="1845"/>
      <c r="W232" s="1845"/>
      <c r="X232" s="1845"/>
      <c r="Y232" s="1845"/>
      <c r="Z232" s="1845"/>
      <c r="AA232" s="1845"/>
      <c r="AB232" s="1845"/>
      <c r="AC232" s="1845"/>
      <c r="AD232" s="1845"/>
      <c r="AE232" s="1845"/>
      <c r="AF232" s="1845"/>
      <c r="AG232" s="1845"/>
      <c r="AH232" s="1845"/>
      <c r="AI232" s="1845"/>
      <c r="AJ232" s="1845"/>
      <c r="AK232" s="1845"/>
      <c r="AL232" s="1845"/>
      <c r="AM232" s="1845"/>
      <c r="AN232" s="1845"/>
      <c r="AO232" s="1845"/>
      <c r="AP232" s="1845"/>
      <c r="AQ232" s="1845"/>
      <c r="AR232" s="1845"/>
      <c r="AS232" s="1845"/>
      <c r="AT232" s="1845"/>
      <c r="AU232" s="1846"/>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6" t="str">
        <f>$B$33</f>
        <v>Expert Light</v>
      </c>
      <c r="C233" s="1937"/>
      <c r="D233" s="652">
        <v>1</v>
      </c>
      <c r="E233" s="831"/>
      <c r="F233" s="753"/>
      <c r="G233" s="1924"/>
      <c r="H233" s="1925"/>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9" t="s">
        <v>1364</v>
      </c>
      <c r="BM233" s="1950"/>
      <c r="BN233" s="1951"/>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9" t="str">
        <f>$B$34</f>
        <v>Expert Medium</v>
      </c>
      <c r="C234" s="1925"/>
      <c r="D234" s="653">
        <v>1</v>
      </c>
      <c r="E234" s="836"/>
      <c r="F234" s="319"/>
      <c r="G234" s="1929"/>
      <c r="H234" s="1925"/>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4" t="s">
        <v>1376</v>
      </c>
      <c r="BM234" s="1831"/>
      <c r="BN234" s="1945"/>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4" t="str">
        <f>$B$35</f>
        <v>Expert Heavy</v>
      </c>
      <c r="C235" s="1925"/>
      <c r="D235" s="653">
        <v>1</v>
      </c>
      <c r="E235" s="841"/>
      <c r="F235" s="319"/>
      <c r="G235" s="1924"/>
      <c r="H235" s="1925"/>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4" t="s">
        <v>1367</v>
      </c>
      <c r="BM235" s="1831"/>
      <c r="BN235" s="1945"/>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9" t="str">
        <f>$B$36</f>
        <v>Full Light</v>
      </c>
      <c r="C236" s="1925"/>
      <c r="D236" s="653">
        <v>1</v>
      </c>
      <c r="E236" s="836"/>
      <c r="F236" s="319"/>
      <c r="G236" s="1929"/>
      <c r="H236" s="1925"/>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9" t="s">
        <v>1364</v>
      </c>
      <c r="BM236" s="1950"/>
      <c r="BN236" s="1951"/>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4" t="str">
        <f>$B$37</f>
        <v>Full Medium</v>
      </c>
      <c r="C237" s="1925"/>
      <c r="D237" s="653">
        <v>1</v>
      </c>
      <c r="E237" s="841"/>
      <c r="F237" s="319"/>
      <c r="G237" s="1924"/>
      <c r="H237" s="1925"/>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4" t="s">
        <v>1376</v>
      </c>
      <c r="BM237" s="1831"/>
      <c r="BN237" s="1945"/>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9" t="str">
        <f>$B$38</f>
        <v>Testing</v>
      </c>
      <c r="C238" s="1925"/>
      <c r="D238" s="653">
        <v>1</v>
      </c>
      <c r="E238" s="836"/>
      <c r="F238" s="319"/>
      <c r="G238" s="1929"/>
      <c r="H238" s="1925"/>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6"/>
      <c r="BM238" s="1947"/>
      <c r="BN238" s="1948"/>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2" t="s">
        <v>962</v>
      </c>
      <c r="C240" s="1913"/>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4" t="s">
        <v>963</v>
      </c>
      <c r="C241" s="1915"/>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6" t="s">
        <v>964</v>
      </c>
      <c r="C242" s="1917"/>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8" t="s">
        <v>961</v>
      </c>
      <c r="C243" s="1919"/>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0" t="s">
        <v>960</v>
      </c>
      <c r="C244" s="1921"/>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2" t="s">
        <v>957</v>
      </c>
      <c r="C245" s="1923"/>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3" t="s">
        <v>958</v>
      </c>
      <c r="C246" s="1904"/>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5" t="s">
        <v>959</v>
      </c>
      <c r="C247" s="1906"/>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5" t="s">
        <v>1254</v>
      </c>
      <c r="C248" s="1906"/>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7" t="s">
        <v>18</v>
      </c>
      <c r="C250" s="1908"/>
      <c r="D250" s="776">
        <v>9</v>
      </c>
      <c r="E250" s="661">
        <v>25</v>
      </c>
      <c r="F250" s="319"/>
      <c r="G250" s="1907" t="s">
        <v>18</v>
      </c>
      <c r="H250" s="1908"/>
      <c r="I250" s="776">
        <v>8</v>
      </c>
      <c r="J250" s="646">
        <v>1</v>
      </c>
      <c r="K250" s="319"/>
      <c r="L250" s="1941" t="s">
        <v>1316</v>
      </c>
      <c r="M250" s="1942"/>
      <c r="N250" s="1943"/>
      <c r="O250" s="1536">
        <f>SUM($BH$6,$N251)</f>
        <v>5.4382483487450459</v>
      </c>
      <c r="P250" s="647">
        <v>60000</v>
      </c>
      <c r="Q250" s="623" t="s">
        <v>825</v>
      </c>
      <c r="R250" s="777">
        <f>(P250/64.55337)</f>
        <v>929.46348114745979</v>
      </c>
      <c r="S250" s="1536">
        <f>SUM($O250,$R251)</f>
        <v>87.935905617146162</v>
      </c>
      <c r="T250" s="1850" t="str">
        <f>IF($BN$5="ON","72F                22c",IF($BN$5="OFF","72F                22c"))</f>
        <v>72F                22c</v>
      </c>
      <c r="U250" s="1851"/>
      <c r="V250" s="1852"/>
      <c r="W250" s="1536">
        <f>SUM($S250,$V251)</f>
        <v>228.90171314843934</v>
      </c>
      <c r="X250" s="1850" t="str">
        <f>IF($BN$5="ON","60F                16c",IF($BN$5="OFF","60F                16c"))</f>
        <v>60F                16c</v>
      </c>
      <c r="Y250" s="1851"/>
      <c r="Z250" s="1852"/>
      <c r="AA250" s="1536">
        <f>SUM($W250,$Z251)</f>
        <v>305.4178798287756</v>
      </c>
      <c r="AB250" s="1850" t="str">
        <f>IF($BN$5="ON","45%                30%",IF($BN$5="OFF","45%                30%"))</f>
        <v>45%                30%</v>
      </c>
      <c r="AC250" s="1851"/>
      <c r="AD250" s="1852"/>
      <c r="AE250" s="1536">
        <f>SUM($AA250,$AD251)</f>
        <v>417.46033338510324</v>
      </c>
      <c r="AF250" s="1940" t="s">
        <v>1360</v>
      </c>
      <c r="AG250" s="1851"/>
      <c r="AH250" s="1852"/>
      <c r="AI250" s="1536">
        <f>SUM($AE250,$AH251)</f>
        <v>417.46033338510324</v>
      </c>
      <c r="AJ250" s="1940" t="s">
        <v>19</v>
      </c>
      <c r="AK250" s="1851"/>
      <c r="AL250" s="1852"/>
      <c r="AM250" s="1536">
        <f>SUM($AI250,$AL251)</f>
        <v>428.89494648057399</v>
      </c>
      <c r="AN250" s="1940" t="s">
        <v>980</v>
      </c>
      <c r="AO250" s="1851"/>
      <c r="AP250" s="1852"/>
      <c r="AQ250" s="1536">
        <f>SUM($AM250,$AP251)</f>
        <v>428.89494648057399</v>
      </c>
      <c r="AR250" s="1850" t="str">
        <f>IF($BN$5="ON","67F                19c",IF($BN$5="OFF","67F                19c"))</f>
        <v>67F                19c</v>
      </c>
      <c r="AS250" s="1851"/>
      <c r="AT250" s="1852"/>
      <c r="AU250" s="1536">
        <f>SUM($AQ250,$AT251)</f>
        <v>428.89494648057399</v>
      </c>
      <c r="AV250" s="1850" t="str">
        <f>IF($BN$5="ON","700 PPM co2",IF($BN$5="OFF","700 PPM co2"))</f>
        <v>700 PPM co2</v>
      </c>
      <c r="AW250" s="1851"/>
      <c r="AX250" s="1852"/>
      <c r="AY250" s="1536">
        <f>SUM($AU250,$AX251,$AX252)</f>
        <v>587.01277388987023</v>
      </c>
      <c r="AZ250" s="745">
        <f>EI$331</f>
        <v>0.6</v>
      </c>
      <c r="BA250" s="728">
        <f>(E250*AZ250)*(J250)</f>
        <v>15</v>
      </c>
      <c r="BB250" s="729">
        <f>IF($BI$6="ON",$BR265,IF($BI$6="OFF",$BS265))</f>
        <v>35.984147952443855</v>
      </c>
      <c r="BC250" s="894">
        <f>SUM($AY250,$BB250,$BB251,$BB252)</f>
        <v>622.99692184231412</v>
      </c>
      <c r="BD250" s="1938">
        <v>5.6</v>
      </c>
      <c r="BE250" s="1939"/>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2" t="s">
        <v>1873</v>
      </c>
      <c r="FP250" s="1843"/>
      <c r="FQ250" s="1843"/>
      <c r="FR250" s="1843"/>
      <c r="FS250" s="1843"/>
      <c r="FT250" s="1843"/>
      <c r="FU250" s="1843"/>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8" t="s">
        <v>20</v>
      </c>
      <c r="C251" s="1889"/>
      <c r="D251" s="1890">
        <f>SUM(D231,D230)</f>
        <v>44325</v>
      </c>
      <c r="E251" s="1891"/>
      <c r="F251" s="319"/>
      <c r="G251" s="1888" t="s">
        <v>20</v>
      </c>
      <c r="H251" s="1889"/>
      <c r="I251" s="1890">
        <f>SUM(I231,I230)</f>
        <v>44405</v>
      </c>
      <c r="J251" s="1891"/>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116</v>
      </c>
      <c r="J252" s="706">
        <f>(I252/7)</f>
        <v>16.571428571428573</v>
      </c>
      <c r="K252" s="753"/>
      <c r="L252" s="1844" t="s">
        <v>1661</v>
      </c>
      <c r="M252" s="1845"/>
      <c r="N252" s="1845"/>
      <c r="O252" s="1845"/>
      <c r="P252" s="1845"/>
      <c r="Q252" s="1845"/>
      <c r="R252" s="1845"/>
      <c r="S252" s="1845"/>
      <c r="T252" s="1845"/>
      <c r="U252" s="1845"/>
      <c r="V252" s="1845"/>
      <c r="W252" s="1845"/>
      <c r="X252" s="1845"/>
      <c r="Y252" s="1845"/>
      <c r="Z252" s="1845"/>
      <c r="AA252" s="1845"/>
      <c r="AB252" s="1845"/>
      <c r="AC252" s="1845"/>
      <c r="AD252" s="1845"/>
      <c r="AE252" s="1845"/>
      <c r="AF252" s="1845"/>
      <c r="AG252" s="1845"/>
      <c r="AH252" s="1845"/>
      <c r="AI252" s="1845"/>
      <c r="AJ252" s="1845"/>
      <c r="AK252" s="1845"/>
      <c r="AL252" s="1845"/>
      <c r="AM252" s="1845"/>
      <c r="AN252" s="1845"/>
      <c r="AO252" s="1845"/>
      <c r="AP252" s="1845"/>
      <c r="AQ252" s="1845"/>
      <c r="AR252" s="1845"/>
      <c r="AS252" s="1845"/>
      <c r="AT252" s="1845"/>
      <c r="AU252" s="1846"/>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6" t="str">
        <f>$B$33</f>
        <v>Expert Light</v>
      </c>
      <c r="C253" s="1937"/>
      <c r="D253" s="652">
        <v>1</v>
      </c>
      <c r="E253" s="831"/>
      <c r="F253" s="753"/>
      <c r="G253" s="1924"/>
      <c r="H253" s="1925"/>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9" t="s">
        <v>1364</v>
      </c>
      <c r="BM253" s="1950"/>
      <c r="BN253" s="1951"/>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9" t="str">
        <f>$B$34</f>
        <v>Expert Medium</v>
      </c>
      <c r="C254" s="1925"/>
      <c r="D254" s="653">
        <v>1</v>
      </c>
      <c r="E254" s="836"/>
      <c r="F254" s="319"/>
      <c r="G254" s="1929"/>
      <c r="H254" s="1925"/>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4" t="s">
        <v>1376</v>
      </c>
      <c r="BM254" s="1831"/>
      <c r="BN254" s="1945"/>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4" t="str">
        <f>$B$35</f>
        <v>Expert Heavy</v>
      </c>
      <c r="C255" s="1925"/>
      <c r="D255" s="653">
        <v>1</v>
      </c>
      <c r="E255" s="841"/>
      <c r="F255" s="319"/>
      <c r="G255" s="1924"/>
      <c r="H255" s="1925"/>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4" t="s">
        <v>1367</v>
      </c>
      <c r="BM255" s="1831"/>
      <c r="BN255" s="1945"/>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9" t="str">
        <f>$B$36</f>
        <v>Full Light</v>
      </c>
      <c r="C256" s="1925"/>
      <c r="D256" s="653">
        <v>1</v>
      </c>
      <c r="E256" s="836"/>
      <c r="F256" s="319"/>
      <c r="G256" s="1929"/>
      <c r="H256" s="1925"/>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9" t="s">
        <v>1364</v>
      </c>
      <c r="BM256" s="1950"/>
      <c r="BN256" s="1951"/>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4" t="str">
        <f>$B$37</f>
        <v>Full Medium</v>
      </c>
      <c r="C257" s="1925"/>
      <c r="D257" s="653">
        <v>1</v>
      </c>
      <c r="E257" s="841"/>
      <c r="F257" s="319"/>
      <c r="G257" s="1924"/>
      <c r="H257" s="1925"/>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4" t="s">
        <v>1376</v>
      </c>
      <c r="BM257" s="1831"/>
      <c r="BN257" s="1945"/>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9" t="str">
        <f>$B$38</f>
        <v>Testing</v>
      </c>
      <c r="C258" s="1925"/>
      <c r="D258" s="653">
        <v>1</v>
      </c>
      <c r="E258" s="836"/>
      <c r="F258" s="319"/>
      <c r="G258" s="1929"/>
      <c r="H258" s="1925"/>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6"/>
      <c r="BM258" s="1947"/>
      <c r="BN258" s="1948"/>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2" t="s">
        <v>962</v>
      </c>
      <c r="C260" s="1913"/>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4" t="s">
        <v>963</v>
      </c>
      <c r="C261" s="1915"/>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6" t="s">
        <v>964</v>
      </c>
      <c r="C262" s="1917"/>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8" t="s">
        <v>961</v>
      </c>
      <c r="C263" s="1919"/>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0" t="s">
        <v>960</v>
      </c>
      <c r="C264" s="1921"/>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2" t="s">
        <v>957</v>
      </c>
      <c r="C265" s="1923"/>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3" t="s">
        <v>958</v>
      </c>
      <c r="C266" s="1904"/>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5" t="s">
        <v>959</v>
      </c>
      <c r="C267" s="1906"/>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5" t="s">
        <v>1254</v>
      </c>
      <c r="C268" s="1906"/>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7" t="s">
        <v>21</v>
      </c>
      <c r="C270" s="1908"/>
      <c r="D270" s="776">
        <v>10</v>
      </c>
      <c r="E270" s="661">
        <v>25</v>
      </c>
      <c r="F270" s="319"/>
      <c r="G270" s="1907" t="s">
        <v>21</v>
      </c>
      <c r="H270" s="1908"/>
      <c r="I270" s="776">
        <v>10</v>
      </c>
      <c r="J270" s="646">
        <v>1</v>
      </c>
      <c r="K270" s="319"/>
      <c r="L270" s="1941" t="s">
        <v>2512</v>
      </c>
      <c r="M270" s="1942"/>
      <c r="N270" s="1943"/>
      <c r="O270" s="1536">
        <f>SUM($BH$6,$N271)</f>
        <v>5.4382483487450459</v>
      </c>
      <c r="P270" s="647">
        <v>60000</v>
      </c>
      <c r="Q270" s="623" t="s">
        <v>825</v>
      </c>
      <c r="R270" s="777">
        <f>(P270/64.55337)</f>
        <v>929.46348114745979</v>
      </c>
      <c r="S270" s="1536">
        <f>SUM($O270,$R271)</f>
        <v>5.4382483487450459</v>
      </c>
      <c r="T270" s="1850" t="str">
        <f>IF($BN$5="ON","70F                21c",IF($BN$5="OFF","70F                21c"))</f>
        <v>70F                21c</v>
      </c>
      <c r="U270" s="1851"/>
      <c r="V270" s="1852"/>
      <c r="W270" s="1536">
        <f>SUM($S270,$V271)</f>
        <v>83.752585866130119</v>
      </c>
      <c r="X270" s="1850" t="str">
        <f>IF($BN$5="ON","60F                16c",IF($BN$5="OFF","60F                16c"))</f>
        <v>60F                16c</v>
      </c>
      <c r="Y270" s="1851"/>
      <c r="Z270" s="1852"/>
      <c r="AA270" s="1536">
        <f>SUM($W270,$Z271)</f>
        <v>133.65443370113201</v>
      </c>
      <c r="AB270" s="1850" t="str">
        <f>IF($BN$5="ON","45%                30%",IF($BN$5="OFF","45%                30%"))</f>
        <v>45%                30%</v>
      </c>
      <c r="AC270" s="1851"/>
      <c r="AD270" s="1852"/>
      <c r="AE270" s="1536">
        <f>SUM($AA270,$AD271)</f>
        <v>216.64884374285617</v>
      </c>
      <c r="AF270" s="1940" t="s">
        <v>1360</v>
      </c>
      <c r="AG270" s="1851"/>
      <c r="AH270" s="1852"/>
      <c r="AI270" s="1536">
        <f>SUM($AE270,$AH271)</f>
        <v>216.64884374285617</v>
      </c>
      <c r="AJ270" s="1940" t="s">
        <v>19</v>
      </c>
      <c r="AK270" s="1851"/>
      <c r="AL270" s="1852"/>
      <c r="AM270" s="1536">
        <f>SUM($AI270,$AL271)</f>
        <v>216.64884374285617</v>
      </c>
      <c r="AN270" s="1940" t="s">
        <v>981</v>
      </c>
      <c r="AO270" s="1851"/>
      <c r="AP270" s="1852"/>
      <c r="AQ270" s="1536">
        <f>SUM($AM270,$AP271)</f>
        <v>216.64884374285617</v>
      </c>
      <c r="AR270" s="1850" t="str">
        <f>IF($BN$5="ON","66F                19c",IF($BN$5="OFF","66F                19c"))</f>
        <v>66F                19c</v>
      </c>
      <c r="AS270" s="1851"/>
      <c r="AT270" s="1852"/>
      <c r="AU270" s="1536">
        <f>SUM($AQ270,$AT271)</f>
        <v>216.64884374285617</v>
      </c>
      <c r="AV270" s="1850" t="str">
        <f>IF($BN$5="ON","450 PPM co2",IF($BN$5="OFF","450 PPM co2"))</f>
        <v>450 PPM co2</v>
      </c>
      <c r="AW270" s="1851"/>
      <c r="AX270" s="1852"/>
      <c r="AY270" s="1536">
        <f>SUM($AU270,$AX271,$AX272)</f>
        <v>381.3225250429698</v>
      </c>
      <c r="AZ270" s="745">
        <f>EJ$331</f>
        <v>0.6</v>
      </c>
      <c r="BA270" s="728">
        <f>(E270*AZ270)*(J270)</f>
        <v>15</v>
      </c>
      <c r="BB270" s="729">
        <f>IF($BI$6="ON",$BR285,IF($BI$6="OFF",$BS285))</f>
        <v>35.984147952443855</v>
      </c>
      <c r="BC270" s="894">
        <f>SUM($AY270,$BB270,$BB271,$BB272)</f>
        <v>417.30667299541363</v>
      </c>
      <c r="BD270" s="1938">
        <v>5.5</v>
      </c>
      <c r="BE270" s="1939"/>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2" t="s">
        <v>1873</v>
      </c>
      <c r="FP270" s="1843"/>
      <c r="FQ270" s="1843"/>
      <c r="FR270" s="1843"/>
      <c r="FS270" s="1843"/>
      <c r="FT270" s="1843"/>
      <c r="FU270" s="1843"/>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8" t="s">
        <v>22</v>
      </c>
      <c r="C271" s="1889"/>
      <c r="D271" s="1890">
        <f>SUM(D251,D250)</f>
        <v>44334</v>
      </c>
      <c r="E271" s="1891"/>
      <c r="F271" s="319"/>
      <c r="G271" s="1888" t="s">
        <v>22</v>
      </c>
      <c r="H271" s="1889"/>
      <c r="I271" s="1890">
        <f>SUM(I251,I250)</f>
        <v>44413</v>
      </c>
      <c r="J271" s="1891"/>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124</v>
      </c>
      <c r="J272" s="706">
        <f>(I272/7)</f>
        <v>17.714285714285715</v>
      </c>
      <c r="K272" s="753"/>
      <c r="L272" s="1844" t="s">
        <v>1672</v>
      </c>
      <c r="M272" s="1845"/>
      <c r="N272" s="1845"/>
      <c r="O272" s="1845"/>
      <c r="P272" s="1845"/>
      <c r="Q272" s="1845"/>
      <c r="R272" s="1845"/>
      <c r="S272" s="1845"/>
      <c r="T272" s="1845"/>
      <c r="U272" s="1845"/>
      <c r="V272" s="1845"/>
      <c r="W272" s="1845"/>
      <c r="X272" s="1845"/>
      <c r="Y272" s="1845"/>
      <c r="Z272" s="1845"/>
      <c r="AA272" s="1845"/>
      <c r="AB272" s="1845"/>
      <c r="AC272" s="1845"/>
      <c r="AD272" s="1845"/>
      <c r="AE272" s="1845"/>
      <c r="AF272" s="1845"/>
      <c r="AG272" s="1845"/>
      <c r="AH272" s="1845"/>
      <c r="AI272" s="1845"/>
      <c r="AJ272" s="1845"/>
      <c r="AK272" s="1845"/>
      <c r="AL272" s="1845"/>
      <c r="AM272" s="1845"/>
      <c r="AN272" s="1845"/>
      <c r="AO272" s="1845"/>
      <c r="AP272" s="1845"/>
      <c r="AQ272" s="1845"/>
      <c r="AR272" s="1845"/>
      <c r="AS272" s="1845"/>
      <c r="AT272" s="1845"/>
      <c r="AU272" s="1846"/>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6" t="str">
        <f>$B$33</f>
        <v>Expert Light</v>
      </c>
      <c r="C273" s="1937"/>
      <c r="D273" s="652">
        <v>1</v>
      </c>
      <c r="E273" s="831"/>
      <c r="F273" s="753"/>
      <c r="G273" s="1924"/>
      <c r="H273" s="1925"/>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3" t="s">
        <v>1365</v>
      </c>
      <c r="BM273" s="1934"/>
      <c r="BN273" s="1935"/>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9" t="str">
        <f>$B$34</f>
        <v>Expert Medium</v>
      </c>
      <c r="C274" s="1925"/>
      <c r="D274" s="653">
        <v>1</v>
      </c>
      <c r="E274" s="836"/>
      <c r="F274" s="319"/>
      <c r="G274" s="1929"/>
      <c r="H274" s="1925"/>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6" t="s">
        <v>1375</v>
      </c>
      <c r="BM274" s="1927"/>
      <c r="BN274" s="1928"/>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4" t="str">
        <f>$B$35</f>
        <v>Expert Heavy</v>
      </c>
      <c r="C275" s="1925"/>
      <c r="D275" s="653">
        <v>1</v>
      </c>
      <c r="E275" s="841"/>
      <c r="F275" s="319"/>
      <c r="G275" s="1924"/>
      <c r="H275" s="1925"/>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6" t="s">
        <v>1366</v>
      </c>
      <c r="BM275" s="1927"/>
      <c r="BN275" s="1928"/>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9" t="str">
        <f>$B$36</f>
        <v>Full Light</v>
      </c>
      <c r="C276" s="1925"/>
      <c r="D276" s="653">
        <v>1</v>
      </c>
      <c r="E276" s="836"/>
      <c r="F276" s="319"/>
      <c r="G276" s="1929"/>
      <c r="H276" s="1925"/>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3" t="s">
        <v>1365</v>
      </c>
      <c r="BM276" s="1934"/>
      <c r="BN276" s="1935"/>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4" t="str">
        <f>$B$37</f>
        <v>Full Medium</v>
      </c>
      <c r="C277" s="1925"/>
      <c r="D277" s="653">
        <v>1</v>
      </c>
      <c r="E277" s="841"/>
      <c r="F277" s="319"/>
      <c r="G277" s="1924"/>
      <c r="H277" s="1925"/>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6" t="s">
        <v>1375</v>
      </c>
      <c r="BM277" s="1927"/>
      <c r="BN277" s="1928"/>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9" t="str">
        <f>$B$38</f>
        <v>Testing</v>
      </c>
      <c r="C278" s="1925"/>
      <c r="D278" s="653">
        <v>1</v>
      </c>
      <c r="E278" s="836"/>
      <c r="F278" s="319"/>
      <c r="G278" s="1929"/>
      <c r="H278" s="1925"/>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30"/>
      <c r="BM278" s="1931"/>
      <c r="BN278" s="1932"/>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2" t="s">
        <v>962</v>
      </c>
      <c r="C280" s="1913"/>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4" t="s">
        <v>963</v>
      </c>
      <c r="C281" s="1915"/>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6" t="s">
        <v>964</v>
      </c>
      <c r="C282" s="1917"/>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8" t="s">
        <v>961</v>
      </c>
      <c r="C283" s="1919"/>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0" t="s">
        <v>960</v>
      </c>
      <c r="C284" s="1921"/>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2" t="s">
        <v>957</v>
      </c>
      <c r="C285" s="1923"/>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3" t="s">
        <v>958</v>
      </c>
      <c r="C286" s="1904"/>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5" t="s">
        <v>959</v>
      </c>
      <c r="C287" s="1906"/>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5" t="s">
        <v>1254</v>
      </c>
      <c r="C288" s="1906"/>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7" t="s">
        <v>23</v>
      </c>
      <c r="C290" s="1908"/>
      <c r="D290" s="776">
        <v>4</v>
      </c>
      <c r="E290" s="661">
        <v>25</v>
      </c>
      <c r="F290" s="319"/>
      <c r="G290" s="1907" t="s">
        <v>23</v>
      </c>
      <c r="H290" s="1908"/>
      <c r="I290" s="776">
        <v>4</v>
      </c>
      <c r="J290" s="646"/>
      <c r="K290" s="319"/>
      <c r="L290" s="1909" t="s">
        <v>829</v>
      </c>
      <c r="M290" s="1910"/>
      <c r="N290" s="1911"/>
      <c r="O290" s="1541"/>
      <c r="P290" s="647">
        <v>60000</v>
      </c>
      <c r="Q290" s="623" t="s">
        <v>825</v>
      </c>
      <c r="R290" s="727">
        <f>(P290/64.55337)</f>
        <v>929.46348114745979</v>
      </c>
      <c r="S290" s="1541"/>
      <c r="T290" s="1850" t="str">
        <f>IF($BN$5="ON","64F                18c",IF($BN$5="OFF","64F                18c"))</f>
        <v>64F                18c</v>
      </c>
      <c r="U290" s="1851"/>
      <c r="V290" s="1852"/>
      <c r="W290" s="1541"/>
      <c r="X290" s="1850" t="str">
        <f>IF($BN$5="ON","60F                16c",IF($BN$5="OFF","60F                16c"))</f>
        <v>60F                16c</v>
      </c>
      <c r="Y290" s="1851"/>
      <c r="Z290" s="1852"/>
      <c r="AA290" s="1534"/>
      <c r="AB290" s="1850" t="str">
        <f>IF($BN$5="ON","40%                25%",IF($BN$5="OFF","40%                25%"))</f>
        <v>40%                25%</v>
      </c>
      <c r="AC290" s="1851"/>
      <c r="AD290" s="1852"/>
      <c r="AE290" s="1534"/>
      <c r="AF290" s="2054" t="s">
        <v>1360</v>
      </c>
      <c r="AG290" s="2055"/>
      <c r="AH290" s="2056"/>
      <c r="AI290" s="1541"/>
      <c r="AJ290" s="2054" t="s">
        <v>19</v>
      </c>
      <c r="AK290" s="2055"/>
      <c r="AL290" s="2056"/>
      <c r="AM290" s="1541"/>
      <c r="AN290" s="1940" t="s">
        <v>981</v>
      </c>
      <c r="AO290" s="1851"/>
      <c r="AP290" s="1852"/>
      <c r="AQ290" s="1541"/>
      <c r="AR290" s="1850" t="str">
        <f>IF($BN$5="ON","65F                18c",IF($BN$5="OFF","65F                18c"))</f>
        <v>65F                18c</v>
      </c>
      <c r="AS290" s="1851"/>
      <c r="AT290" s="1852"/>
      <c r="AU290" s="1541"/>
      <c r="AV290" s="1850" t="str">
        <f>IF($BN$5="ON","350 PPM co2",IF($BN$5="OFF","3450 PPM co2"))</f>
        <v>350 PPM co2</v>
      </c>
      <c r="AW290" s="1851"/>
      <c r="AX290" s="1852"/>
      <c r="AY290" s="1541"/>
      <c r="AZ290" s="2054"/>
      <c r="BA290" s="2055"/>
      <c r="BB290" s="2056"/>
      <c r="BC290" s="649"/>
      <c r="BD290" s="1938">
        <v>5.7</v>
      </c>
      <c r="BE290" s="1939"/>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8" t="s">
        <v>851</v>
      </c>
      <c r="C291" s="1889"/>
      <c r="D291" s="1890">
        <f>SUM(D271,D270)</f>
        <v>44344</v>
      </c>
      <c r="E291" s="1891"/>
      <c r="F291" s="319"/>
      <c r="G291" s="1888" t="s">
        <v>851</v>
      </c>
      <c r="H291" s="1889"/>
      <c r="I291" s="1890">
        <f>SUM(I271,I270)</f>
        <v>44423</v>
      </c>
      <c r="J291" s="1891"/>
      <c r="K291" s="753"/>
      <c r="L291" s="1892" t="s">
        <v>1822</v>
      </c>
      <c r="M291" s="1893"/>
      <c r="N291" s="1894"/>
      <c r="O291" s="1541"/>
      <c r="P291" s="1883" t="s">
        <v>985</v>
      </c>
      <c r="Q291" s="1884"/>
      <c r="R291" s="860">
        <f>SUM(Electricity!AL4*U291)</f>
        <v>239.52860239999998</v>
      </c>
      <c r="S291" s="1093"/>
      <c r="T291" s="708">
        <f>(D293/7)</f>
        <v>17.428571428571427</v>
      </c>
      <c r="U291" s="861">
        <f>SUM(C7,D30,D50,D70,D90,D110,D130,D150,D170,D190,D210,D230,D250,D270,D290)</f>
        <v>122</v>
      </c>
      <c r="V291" s="709">
        <f ca="1">D7/D6</f>
        <v>1.0901639344262295</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5">
        <f>SUM(D291,D290)</f>
        <v>44348</v>
      </c>
      <c r="AG291" s="1886"/>
      <c r="AH291" s="1886"/>
      <c r="AI291" s="1886"/>
      <c r="AJ291" s="1886"/>
      <c r="AK291" s="1886"/>
      <c r="AL291" s="1887"/>
      <c r="AM291" s="1093"/>
      <c r="AN291" s="1853">
        <f>SUM(D291,D290)</f>
        <v>44348</v>
      </c>
      <c r="AO291" s="1854"/>
      <c r="AP291" s="1849"/>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2" t="s">
        <v>1012</v>
      </c>
      <c r="BM291" s="2053"/>
      <c r="BN291" s="2053"/>
      <c r="BO291" s="1854"/>
      <c r="BP291" s="1849"/>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134</v>
      </c>
      <c r="J292" s="707">
        <f>(I292/7)</f>
        <v>19.142857142857142</v>
      </c>
      <c r="K292" s="753"/>
      <c r="L292" s="864">
        <v>10</v>
      </c>
      <c r="M292" s="733">
        <f>(E290*L292)</f>
        <v>250</v>
      </c>
      <c r="N292" s="683">
        <v>0.1</v>
      </c>
      <c r="O292" s="1559"/>
      <c r="P292" s="1898" t="s">
        <v>986</v>
      </c>
      <c r="Q292" s="1899"/>
      <c r="R292" s="865">
        <f>SUM(Electricity!AL4*U292)</f>
        <v>270.94218960000001</v>
      </c>
      <c r="S292" s="1552"/>
      <c r="T292" s="716">
        <f>(I293/7)</f>
        <v>19.714285714285715</v>
      </c>
      <c r="U292" s="866">
        <f>SUM(H7,I30,I50,I70,I90,I110,I130,I150,I170,I190,I210,I230,I250,I270,I290)</f>
        <v>138</v>
      </c>
      <c r="V292" s="717">
        <f ca="1">I7/I6</f>
        <v>0.50724637681159424</v>
      </c>
      <c r="W292" s="1552"/>
      <c r="X292" s="718" t="s">
        <v>987</v>
      </c>
      <c r="Y292" s="867">
        <f>(I132/7)</f>
        <v>9.8571428571428577</v>
      </c>
      <c r="Z292" s="868">
        <f>SUM(H7,I30,I50,I70,I90,I110)</f>
        <v>69</v>
      </c>
      <c r="AA292" s="1557"/>
      <c r="AB292" s="719" t="s">
        <v>942</v>
      </c>
      <c r="AC292" s="720">
        <f>(G293/7)</f>
        <v>9.8571428571428577</v>
      </c>
      <c r="AD292" s="721">
        <f>SUM(I130,I150,I170,I190,I210,I230,I250,I270,I290)</f>
        <v>69</v>
      </c>
      <c r="AE292" s="1554"/>
      <c r="AF292" s="1900">
        <f>SUM(I291,I290)</f>
        <v>44427</v>
      </c>
      <c r="AG292" s="1901"/>
      <c r="AH292" s="1901"/>
      <c r="AI292" s="1901"/>
      <c r="AJ292" s="1901"/>
      <c r="AK292" s="1901"/>
      <c r="AL292" s="1902"/>
      <c r="AM292" s="1552"/>
      <c r="AN292" s="1853">
        <f>SUM(I291,I290)</f>
        <v>44427</v>
      </c>
      <c r="AO292" s="1854"/>
      <c r="AP292" s="1849"/>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138</v>
      </c>
      <c r="J293" s="287">
        <f>(I293/7)</f>
        <v>19.714285714285715</v>
      </c>
      <c r="K293" s="217"/>
      <c r="L293" s="1895" t="s">
        <v>665</v>
      </c>
      <c r="M293" s="1896"/>
      <c r="N293" s="1896"/>
      <c r="O293" s="1896"/>
      <c r="P293" s="1896"/>
      <c r="Q293" s="1896"/>
      <c r="R293" s="1896"/>
      <c r="S293" s="1896"/>
      <c r="T293" s="1896"/>
      <c r="U293" s="1896"/>
      <c r="V293" s="1896"/>
      <c r="W293" s="1896"/>
      <c r="X293" s="1896"/>
      <c r="Y293" s="1896"/>
      <c r="Z293" s="1896"/>
      <c r="AA293" s="1896"/>
      <c r="AB293" s="1896"/>
      <c r="AC293" s="1896"/>
      <c r="AD293" s="1896"/>
      <c r="AE293" s="1896"/>
      <c r="AF293" s="1896"/>
      <c r="AG293" s="1896"/>
      <c r="AH293" s="1896"/>
      <c r="AI293" s="1896"/>
      <c r="AJ293" s="1896"/>
      <c r="AK293" s="1897"/>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3" t="s">
        <v>962</v>
      </c>
      <c r="C295" s="1874"/>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5" t="s">
        <v>963</v>
      </c>
      <c r="C296" s="1876"/>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7" t="s">
        <v>964</v>
      </c>
      <c r="C297" s="1878"/>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9" t="s">
        <v>961</v>
      </c>
      <c r="C298" s="1880"/>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81" t="s">
        <v>960</v>
      </c>
      <c r="C299" s="1882"/>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4" t="s">
        <v>957</v>
      </c>
      <c r="C300" s="1865"/>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6" t="s">
        <v>958</v>
      </c>
      <c r="C301" s="1867"/>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8" t="s">
        <v>959</v>
      </c>
      <c r="C302" s="1869"/>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8" t="s">
        <v>1254</v>
      </c>
      <c r="C303" s="1869"/>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70" t="s">
        <v>24</v>
      </c>
      <c r="C305" s="1871"/>
      <c r="D305" s="391">
        <f>SUM(L305,P305,T305,X305,AB305,AF305,AJ305,AN305,AR305,AV305,AZ305,BD305)</f>
        <v>229.1</v>
      </c>
      <c r="E305" s="392">
        <f>SUM(M305,Q305,U305,Y305,AC305,AG305,AK305,AO305,AS305,AW305,BA305,BE305)</f>
        <v>6061.5</v>
      </c>
      <c r="F305" s="299"/>
      <c r="G305" s="1870" t="s">
        <v>2419</v>
      </c>
      <c r="H305" s="1871"/>
      <c r="I305" s="1871"/>
      <c r="J305" s="1872"/>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5" t="str">
        <f>$B$33</f>
        <v>Expert Light</v>
      </c>
      <c r="C306" s="1856"/>
      <c r="D306" s="393">
        <f>SUM(L306,P306,T306,X306,AB306,AF306,AJ306,AN306,AR306,AV306,AZ306,BD306)</f>
        <v>170.8</v>
      </c>
      <c r="E306" s="222">
        <f>SUM(M306,Q306,U306,Y306,AC306,AG306,AK306,AN306,AS306,AW306,BA306,BE306)</f>
        <v>4635</v>
      </c>
      <c r="F306" s="137"/>
      <c r="G306" s="1855"/>
      <c r="H306" s="1856"/>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7" t="str">
        <f>$B$34</f>
        <v>Expert Medium</v>
      </c>
      <c r="C307" s="1858"/>
      <c r="D307" s="138">
        <f>SUM(L307,P307,T307,X307,AB307,AF307,AJ307,AN307,AR307,AV307,AZ307,BD307)</f>
        <v>191.19999999999996</v>
      </c>
      <c r="E307" s="223">
        <f>SUM(M307,Q307,U307,Y307,AC307,AG307,AK307,AN307,AS307,AW307,BA307,BE307)</f>
        <v>5204</v>
      </c>
      <c r="F307" s="224"/>
      <c r="G307" s="1857"/>
      <c r="H307" s="1858"/>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9" t="s">
        <v>1668</v>
      </c>
      <c r="C308" s="1860"/>
      <c r="D308" s="1861"/>
      <c r="E308" s="1009">
        <f>SUM(M308,Q308,U308,Y308,AC308,AG308,AK308,AO308,AS308,AW308,BA308)</f>
        <v>107.15357793151639</v>
      </c>
      <c r="F308" s="137"/>
      <c r="G308" s="1859"/>
      <c r="H308" s="1860"/>
      <c r="I308" s="1862"/>
      <c r="J308" s="1863"/>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6" t="s">
        <v>1676</v>
      </c>
      <c r="C310" s="1827"/>
      <c r="D310" s="1836">
        <v>44226</v>
      </c>
      <c r="E310" s="1837"/>
      <c r="F310" s="1561"/>
      <c r="G310" s="1826" t="s">
        <v>1677</v>
      </c>
      <c r="H310" s="1827"/>
      <c r="I310" s="2086">
        <v>44289</v>
      </c>
      <c r="J310" s="2087"/>
      <c r="L310" s="1848" t="s">
        <v>1824</v>
      </c>
      <c r="M310" s="1849"/>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6"/>
      <c r="BH310" s="2037"/>
      <c r="BI310" s="1562"/>
      <c r="BJ310" s="1562"/>
      <c r="BK310" s="1562"/>
      <c r="BL310" s="1562"/>
      <c r="BM310" s="1562"/>
      <c r="BN310" s="1562"/>
      <c r="BQ310" s="1479"/>
      <c r="BR310" s="1289" t="s">
        <v>1880</v>
      </c>
      <c r="BS310" s="1290"/>
      <c r="BT310" s="1291"/>
      <c r="BU310" s="2038" t="s">
        <v>1391</v>
      </c>
      <c r="BV310" s="2039"/>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69</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40" t="s">
        <v>1390</v>
      </c>
      <c r="BV311" s="2041"/>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7" t="s">
        <v>2705</v>
      </c>
      <c r="CS311" s="2058"/>
      <c r="CT311" s="2058"/>
      <c r="CU311" s="2058"/>
      <c r="CV311" s="2058"/>
      <c r="CW311" s="2058"/>
      <c r="CX311" s="2058"/>
      <c r="CY311" s="2058"/>
      <c r="CZ311" s="2058"/>
      <c r="DA311" s="2058"/>
      <c r="DB311" s="2058"/>
      <c r="DC311" s="2058"/>
      <c r="DD311" s="2058"/>
      <c r="DE311" s="1927"/>
      <c r="DF311" s="1927"/>
      <c r="DG311" s="1927"/>
      <c r="DH311" s="1927"/>
      <c r="DI311" s="1927"/>
      <c r="DJ311" s="1927"/>
      <c r="DK311" s="1927"/>
      <c r="DL311" s="1927"/>
      <c r="DM311" s="2035"/>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8" t="str">
        <f ca="1">"Day "&amp;D7&amp;" of "&amp;D6</f>
        <v>Day 133 of 122</v>
      </c>
      <c r="C312" s="2089"/>
      <c r="D312" s="2090"/>
      <c r="E312" s="722">
        <f ca="1">D7/D6</f>
        <v>1.0901639344262295</v>
      </c>
      <c r="F312" s="1561"/>
      <c r="G312" s="2088" t="str">
        <f ca="1">"Day "&amp;I7&amp;" of "&amp;I6</f>
        <v>Day 70 of 138</v>
      </c>
      <c r="H312" s="2089"/>
      <c r="I312" s="2090"/>
      <c r="J312" s="722">
        <f ca="1">I7/I6</f>
        <v>0.50724637681159424</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2" t="s">
        <v>1863</v>
      </c>
      <c r="BX312" s="2043"/>
      <c r="BY312" s="2043"/>
      <c r="BZ312" s="2043"/>
      <c r="CA312" s="2043"/>
      <c r="CB312" s="2044"/>
      <c r="CC312" s="2050" t="s">
        <v>1864</v>
      </c>
      <c r="CD312" s="2051"/>
      <c r="CE312" s="2051"/>
      <c r="CF312" s="2051"/>
      <c r="CG312" s="2051"/>
      <c r="CH312" s="2051"/>
      <c r="CI312" s="2051"/>
      <c r="CJ312" s="2035"/>
      <c r="CK312" s="2048" t="s">
        <v>1865</v>
      </c>
      <c r="CL312" s="2049"/>
      <c r="CM312" s="2049"/>
      <c r="CN312" s="1927"/>
      <c r="CO312" s="1927"/>
      <c r="CP312" s="1927"/>
      <c r="CQ312" s="2035"/>
      <c r="CR312" s="2045" t="s">
        <v>1385</v>
      </c>
      <c r="CS312" s="2046"/>
      <c r="CT312" s="2046"/>
      <c r="CU312" s="2046"/>
      <c r="CV312" s="2046"/>
      <c r="CW312" s="2046"/>
      <c r="CX312" s="2046"/>
      <c r="CY312" s="2047"/>
      <c r="CZ312" s="2059" t="s">
        <v>1250</v>
      </c>
      <c r="DA312" s="1927"/>
      <c r="DB312" s="1927"/>
      <c r="DC312" s="1927"/>
      <c r="DD312" s="1927"/>
      <c r="DE312" s="1927"/>
      <c r="DF312" s="2035"/>
      <c r="DG312" s="1995" t="s">
        <v>1871</v>
      </c>
      <c r="DH312" s="1927"/>
      <c r="DI312" s="1927"/>
      <c r="DJ312" s="1927"/>
      <c r="DK312" s="1927"/>
      <c r="DL312" s="1927"/>
      <c r="DM312" s="2035"/>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8" t="s">
        <v>1679</v>
      </c>
      <c r="C313" s="1839"/>
      <c r="D313" s="1836">
        <f>SUM(D291,D290)</f>
        <v>44348</v>
      </c>
      <c r="E313" s="1837"/>
      <c r="F313" s="1561"/>
      <c r="G313" s="1838" t="s">
        <v>1679</v>
      </c>
      <c r="H313" s="1839"/>
      <c r="I313" s="2086">
        <f>SUM(I291,I290)</f>
        <v>44427</v>
      </c>
      <c r="J313" s="2087"/>
      <c r="L313" s="1006">
        <f>U291</f>
        <v>122</v>
      </c>
      <c r="M313" s="1298">
        <f>SUM($M311*$L313)</f>
        <v>239.52860239999998</v>
      </c>
      <c r="N313" s="1169">
        <f>E308</f>
        <v>107.15357793151639</v>
      </c>
      <c r="O313" s="1532"/>
      <c r="P313" s="1299">
        <f>SUM(M313+N313)</f>
        <v>346.68218033151641</v>
      </c>
      <c r="Q313" s="1299">
        <f>SUM($N311*$U292+M311*$U292)</f>
        <v>392.14869578483001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6" t="s">
        <v>2519</v>
      </c>
      <c r="C315" s="1827"/>
      <c r="D315" s="1836">
        <v>44306</v>
      </c>
      <c r="E315" s="1837"/>
      <c r="F315" s="1612"/>
      <c r="G315" s="1840" t="s">
        <v>1675</v>
      </c>
      <c r="H315" s="1841"/>
      <c r="I315" s="1824">
        <v>44226</v>
      </c>
      <c r="J315" s="1825"/>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2" t="s">
        <v>1873</v>
      </c>
      <c r="FP315" s="1843"/>
      <c r="FQ315" s="1843"/>
      <c r="FR315" s="1843"/>
      <c r="FS315" s="1843"/>
      <c r="FT315" s="1843"/>
      <c r="FU315" s="1843"/>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2" t="s">
        <v>2520</v>
      </c>
      <c r="C317" s="1823"/>
      <c r="D317" s="1836">
        <v>44418</v>
      </c>
      <c r="E317" s="1837"/>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8" t="s">
        <v>1679</v>
      </c>
      <c r="C318" s="1839"/>
      <c r="D318" s="1836">
        <f>D317+70</f>
        <v>44488</v>
      </c>
      <c r="E318" s="1837"/>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8">
        <f>SUM(I322/1000)</f>
        <v>2.6420079260237703E-3</v>
      </c>
      <c r="K322" s="1829"/>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8">
        <f>SUM(I323/1000)</f>
        <v>3.1704095112285243E-3</v>
      </c>
      <c r="K323" s="1829"/>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8">
        <f>SUM(I324/1000)</f>
        <v>1.1529722589167732E-3</v>
      </c>
      <c r="K324" s="1829"/>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8">
        <f>SUM(I325/1000)</f>
        <v>8.6129458388374915E-4</v>
      </c>
      <c r="K325" s="1829"/>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8">
        <f t="shared" ref="J326:J348" si="3354">SUM(I326/1000)</f>
        <v>2.1931307793923317E-3</v>
      </c>
      <c r="K326" s="1829"/>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8">
        <f t="shared" si="3354"/>
        <v>2.1690885072655152E-3</v>
      </c>
      <c r="K327" s="1829"/>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8">
        <f t="shared" si="3354"/>
        <v>5.9709379128137206E-4</v>
      </c>
      <c r="K328" s="1829"/>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8">
        <v>1</v>
      </c>
      <c r="K329" s="1829"/>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8">
        <f t="shared" si="3354"/>
        <v>1.8863936591809718E-3</v>
      </c>
      <c r="K330" s="1829"/>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8">
        <f t="shared" si="3354"/>
        <v>1.0568031704095079E-3</v>
      </c>
      <c r="K331" s="1829"/>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8">
        <f t="shared" si="3354"/>
        <v>1.2349537648612908E-3</v>
      </c>
      <c r="K332" s="1829"/>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8">
        <f t="shared" si="3354"/>
        <v>1.2349537648612908E-3</v>
      </c>
      <c r="K333" s="1829"/>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8">
        <f t="shared" si="3354"/>
        <v>1.5931307793923333E-3</v>
      </c>
      <c r="K334" s="1829"/>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8">
        <f t="shared" si="3354"/>
        <v>8.7978863936591552E-3</v>
      </c>
      <c r="K335" s="1829"/>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8">
        <f t="shared" si="3354"/>
        <v>1.0568031704095079E-3</v>
      </c>
      <c r="K336" s="1829"/>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8">
        <f t="shared" si="3354"/>
        <v>2.3772787318361885E-3</v>
      </c>
      <c r="K337" s="1829"/>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8">
        <f t="shared" si="3354"/>
        <v>1.847820343461025E-3</v>
      </c>
      <c r="K338" s="1829"/>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8">
        <f t="shared" si="3354"/>
        <v>1.9117569352708002E-3</v>
      </c>
      <c r="K339" s="1829"/>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8">
        <f t="shared" si="3354"/>
        <v>2.0536327608982764E-3</v>
      </c>
      <c r="K340" s="1829"/>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8">
        <f t="shared" si="3354"/>
        <v>2.04623513870541E-3</v>
      </c>
      <c r="K341" s="1829"/>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8">
        <f t="shared" si="3354"/>
        <v>2.3664464993394911E-3</v>
      </c>
      <c r="K342" s="1829"/>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8">
        <f t="shared" si="3354"/>
        <v>1.9601056803170351E-3</v>
      </c>
      <c r="K343" s="1829"/>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8">
        <f t="shared" si="3354"/>
        <v>1.8076618229854635E-3</v>
      </c>
      <c r="K344" s="1829"/>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8">
        <f t="shared" si="3354"/>
        <v>7.6192866578599506E-4</v>
      </c>
      <c r="K345" s="1829"/>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8">
        <f t="shared" si="3354"/>
        <v>2.6420079260237703E-3</v>
      </c>
      <c r="K346" s="1829"/>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8">
        <f t="shared" si="3354"/>
        <v>2.6420079260237703E-3</v>
      </c>
      <c r="K347" s="1829"/>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8">
        <f t="shared" si="3354"/>
        <v>2.6420079260237703E-3</v>
      </c>
      <c r="K348" s="1829"/>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workbookViewId="0">
      <selection activeCell="D11" sqref="D11"/>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t="s">
        <v>2738</v>
      </c>
    </row>
    <row r="4" spans="1:2" customFormat="1" ht="15.75" customHeight="1" x14ac:dyDescent="0.35">
      <c r="A4" s="159"/>
      <c r="B4" s="538"/>
    </row>
    <row r="5" spans="1:2" customFormat="1" ht="15.75" customHeight="1" x14ac:dyDescent="0.35">
      <c r="A5" s="159"/>
      <c r="B5" s="538"/>
    </row>
    <row r="6" spans="1:2" customFormat="1" ht="15.75" customHeight="1" x14ac:dyDescent="0.35">
      <c r="A6" s="159"/>
      <c r="B6" s="538"/>
    </row>
    <row r="7" spans="1:2" customFormat="1" ht="15.75" customHeight="1" x14ac:dyDescent="0.35">
      <c r="A7" s="159"/>
      <c r="B7" s="538" t="s">
        <v>2739</v>
      </c>
    </row>
    <row r="8" spans="1:2" customFormat="1" ht="15.75" customHeight="1" x14ac:dyDescent="0.35">
      <c r="A8" s="159"/>
      <c r="B8" s="538" t="s">
        <v>2741</v>
      </c>
    </row>
    <row r="9" spans="1:2" customFormat="1" ht="15.75" customHeight="1" x14ac:dyDescent="0.35">
      <c r="A9" s="159"/>
      <c r="B9" s="538" t="s">
        <v>2742</v>
      </c>
    </row>
    <row r="10" spans="1:2" customFormat="1" ht="15.75" customHeight="1" x14ac:dyDescent="0.35">
      <c r="A10" s="159"/>
      <c r="B10" s="538" t="s">
        <v>2745</v>
      </c>
    </row>
    <row r="11" spans="1:2" customFormat="1" ht="15.75" customHeight="1" x14ac:dyDescent="0.35">
      <c r="A11" s="159"/>
      <c r="B11" s="538" t="s">
        <v>2743</v>
      </c>
    </row>
    <row r="12" spans="1:2" customFormat="1" ht="21" x14ac:dyDescent="0.35">
      <c r="A12" s="159"/>
      <c r="B12" s="538" t="s">
        <v>2740</v>
      </c>
    </row>
    <row r="13" spans="1:2" customFormat="1" ht="15.75" customHeight="1" x14ac:dyDescent="0.35">
      <c r="A13" s="159"/>
      <c r="B13" s="538" t="s">
        <v>2681</v>
      </c>
    </row>
    <row r="14" spans="1:2" customFormat="1" ht="15.75" customHeight="1" x14ac:dyDescent="0.25">
      <c r="A14" s="159"/>
      <c r="B14" s="159"/>
    </row>
    <row r="15" spans="1:2" customFormat="1" ht="15.75" customHeight="1" x14ac:dyDescent="0.35">
      <c r="A15" s="159"/>
      <c r="B15" s="538" t="s">
        <v>2744</v>
      </c>
    </row>
    <row r="16" spans="1:2" customFormat="1" ht="15.75" customHeight="1" x14ac:dyDescent="0.35">
      <c r="A16" s="159"/>
      <c r="B16" s="538"/>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R72"/>
  <sheetViews>
    <sheetView tabSelected="1" topLeftCell="O16" zoomScaleNormal="100" workbookViewId="0">
      <selection activeCell="AP17" sqref="AP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2593</v>
      </c>
    </row>
    <row r="2" spans="2:34" ht="10.5" customHeight="1" x14ac:dyDescent="0.25">
      <c r="D2">
        <v>50</v>
      </c>
      <c r="G2">
        <v>30.5</v>
      </c>
      <c r="K2">
        <v>70</v>
      </c>
    </row>
    <row r="3" spans="2:34" ht="22.5" customHeight="1" x14ac:dyDescent="0.25">
      <c r="Q3" t="s">
        <v>2710</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1828</v>
      </c>
      <c r="AH12" s="1814"/>
    </row>
    <row r="13" spans="2:34" ht="22.5" customHeight="1" x14ac:dyDescent="0.25">
      <c r="Q13" t="s">
        <v>1827</v>
      </c>
      <c r="AH13" s="1814"/>
    </row>
    <row r="14" spans="2:34" ht="22.5" customHeight="1" x14ac:dyDescent="0.25">
      <c r="F14" t="s">
        <v>2693</v>
      </c>
      <c r="L14">
        <v>43</v>
      </c>
      <c r="Q14" t="s">
        <v>266</v>
      </c>
      <c r="AH14" s="1814"/>
    </row>
    <row r="15" spans="2:34" ht="22.5" customHeight="1" x14ac:dyDescent="0.25">
      <c r="J15">
        <v>1.5</v>
      </c>
      <c r="K15">
        <v>14</v>
      </c>
      <c r="Q15" t="s">
        <v>267</v>
      </c>
      <c r="AH15" s="1814"/>
    </row>
    <row r="16" spans="2:34" ht="22.5" customHeight="1" x14ac:dyDescent="0.25">
      <c r="C16">
        <v>29</v>
      </c>
      <c r="F16">
        <v>4</v>
      </c>
      <c r="Q16" t="s">
        <v>264</v>
      </c>
      <c r="AH16" s="1814"/>
    </row>
    <row r="17" spans="26:122" ht="22.5" customHeight="1" x14ac:dyDescent="0.25">
      <c r="Z17">
        <v>1</v>
      </c>
      <c r="AC17" t="s">
        <v>2755</v>
      </c>
      <c r="AF17">
        <v>2</v>
      </c>
      <c r="AH17" s="1814"/>
      <c r="AI17" t="s">
        <v>2756</v>
      </c>
      <c r="AM17">
        <v>3</v>
      </c>
      <c r="AP17" t="s">
        <v>2762</v>
      </c>
      <c r="AV17">
        <v>4</v>
      </c>
      <c r="AZ17" t="s">
        <v>2759</v>
      </c>
      <c r="BG17">
        <v>5</v>
      </c>
      <c r="BK17" t="s">
        <v>2760</v>
      </c>
      <c r="BS17">
        <v>6</v>
      </c>
      <c r="BV17" t="s">
        <v>2757</v>
      </c>
      <c r="CD17">
        <v>7</v>
      </c>
      <c r="CH17" t="s">
        <v>2758</v>
      </c>
      <c r="CT17">
        <v>8</v>
      </c>
      <c r="CW17" t="s">
        <v>2761</v>
      </c>
    </row>
    <row r="18" spans="26:122" ht="22.5" customHeight="1" x14ac:dyDescent="0.25">
      <c r="AB18" t="s">
        <v>2753</v>
      </c>
      <c r="AH18" s="1814" t="s">
        <v>2754</v>
      </c>
      <c r="AP18" t="s">
        <v>2752</v>
      </c>
      <c r="AY18" t="s">
        <v>2751</v>
      </c>
      <c r="BJ18" t="s">
        <v>2750</v>
      </c>
      <c r="BV18" t="s">
        <v>2748</v>
      </c>
      <c r="CH18" t="s">
        <v>2746</v>
      </c>
      <c r="CX18" t="s">
        <v>2747</v>
      </c>
      <c r="DJ18" t="s">
        <v>2749</v>
      </c>
    </row>
    <row r="19" spans="26:122"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row>
    <row r="20" spans="26:122" ht="9.75" customHeight="1" x14ac:dyDescent="0.25">
      <c r="Z20">
        <v>1</v>
      </c>
    </row>
    <row r="21" spans="26:122" ht="10.5" customHeight="1" x14ac:dyDescent="0.25"/>
    <row r="22" spans="26:122" ht="11.25" customHeight="1" x14ac:dyDescent="0.25"/>
    <row r="23" spans="26:122" ht="11.25" customHeight="1" x14ac:dyDescent="0.25"/>
    <row r="24" spans="26:122" ht="11.25" customHeight="1" x14ac:dyDescent="0.25"/>
    <row r="25" spans="26:122" ht="11.25" customHeight="1" x14ac:dyDescent="0.25"/>
    <row r="26" spans="26:122" ht="11.25" customHeight="1" x14ac:dyDescent="0.25"/>
    <row r="27" spans="26:122" ht="11.25" customHeight="1" x14ac:dyDescent="0.25"/>
    <row r="28" spans="26:122" ht="11.25" customHeight="1" x14ac:dyDescent="0.25"/>
    <row r="29" spans="26:122" ht="11.25" customHeight="1" x14ac:dyDescent="0.25"/>
    <row r="30" spans="26:122" ht="11.25" customHeight="1" x14ac:dyDescent="0.25"/>
    <row r="31" spans="26:122" ht="11.25" customHeight="1" x14ac:dyDescent="0.25">
      <c r="Z31">
        <v>12</v>
      </c>
    </row>
    <row r="32" spans="26:122"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C6BA-9B13-4DD7-9E91-F0508C36101E}">
  <sheetPr>
    <pageSetUpPr fitToPage="1"/>
  </sheetPr>
  <dimension ref="B1:DS120"/>
  <sheetViews>
    <sheetView zoomScaleNormal="100" workbookViewId="0">
      <selection activeCell="L9" sqref="L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H8" sqref="H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DD41-D227-4CE8-A83C-D87F2E7EDA89}">
  <sheetPr>
    <pageSetUpPr fitToPage="1"/>
  </sheetPr>
  <dimension ref="B1:DS120"/>
  <sheetViews>
    <sheetView zoomScaleNormal="100" workbookViewId="0">
      <selection activeCell="AC5" sqref="AC5"/>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1" t="s">
        <v>2624</v>
      </c>
      <c r="J3" s="1829"/>
      <c r="L3" s="2091" t="s">
        <v>254</v>
      </c>
      <c r="M3" s="1829"/>
      <c r="O3" s="2091" t="s">
        <v>253</v>
      </c>
      <c r="P3" s="1829"/>
      <c r="X3" s="2091" t="s">
        <v>2628</v>
      </c>
      <c r="Y3" s="1829"/>
      <c r="AA3" s="2094" t="s">
        <v>2625</v>
      </c>
      <c r="AB3" s="2095"/>
      <c r="AC3" s="2095"/>
      <c r="AG3" s="2092" t="s">
        <v>247</v>
      </c>
      <c r="AH3" s="2093"/>
      <c r="AI3" s="2093"/>
      <c r="AJ3" s="2093"/>
      <c r="AK3" s="2093"/>
      <c r="AM3" s="2092" t="s">
        <v>247</v>
      </c>
      <c r="AN3" s="2093"/>
      <c r="AO3" s="2093"/>
      <c r="AP3" s="2093"/>
      <c r="AQ3" s="2093"/>
      <c r="AS3"/>
      <c r="AT3"/>
    </row>
    <row r="4" spans="1:46" s="152" customFormat="1" ht="12" customHeight="1" outlineLevel="1" x14ac:dyDescent="0.25">
      <c r="A4" s="1727"/>
      <c r="B4" s="1710">
        <v>2</v>
      </c>
      <c r="C4" s="1703" t="s">
        <v>247</v>
      </c>
      <c r="D4" s="1718" t="s">
        <v>2620</v>
      </c>
      <c r="E4" s="1715" t="s">
        <v>2635</v>
      </c>
      <c r="F4" s="1722"/>
      <c r="H4" s="1712"/>
      <c r="I4" s="2096" t="s">
        <v>2597</v>
      </c>
      <c r="J4" s="2096"/>
      <c r="L4" s="2096" t="s">
        <v>2598</v>
      </c>
      <c r="M4" s="2096"/>
      <c r="O4" s="2096" t="s">
        <v>2599</v>
      </c>
      <c r="P4" s="2096"/>
      <c r="R4" s="2096" t="s">
        <v>2600</v>
      </c>
      <c r="S4" s="2096"/>
      <c r="U4" s="2096" t="s">
        <v>2601</v>
      </c>
      <c r="V4" s="2096"/>
      <c r="X4" s="2096" t="s">
        <v>2602</v>
      </c>
      <c r="Y4" s="2096"/>
      <c r="AA4" s="2096" t="s">
        <v>2603</v>
      </c>
      <c r="AB4" s="2096"/>
      <c r="AD4" s="2096" t="s">
        <v>2604</v>
      </c>
      <c r="AE4" s="2096"/>
      <c r="AG4" s="2096" t="s">
        <v>2605</v>
      </c>
      <c r="AH4" s="2096"/>
      <c r="AI4" s="1700">
        <v>15</v>
      </c>
      <c r="AJ4" s="2096" t="s">
        <v>2607</v>
      </c>
      <c r="AK4" s="2096"/>
      <c r="AM4" s="2096" t="s">
        <v>2606</v>
      </c>
      <c r="AN4" s="2096"/>
      <c r="AO4" s="1700">
        <v>15</v>
      </c>
      <c r="AP4" s="2096" t="s">
        <v>2608</v>
      </c>
      <c r="AQ4" s="2096"/>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6" t="s">
        <v>2596</v>
      </c>
      <c r="J6" s="2096"/>
      <c r="K6" s="1700">
        <v>40</v>
      </c>
      <c r="L6" s="2096" t="s">
        <v>2595</v>
      </c>
      <c r="M6" s="2096"/>
      <c r="O6" s="2096" t="s">
        <v>2618</v>
      </c>
      <c r="P6" s="2096"/>
      <c r="Q6" s="1700">
        <v>40</v>
      </c>
      <c r="R6" s="2096" t="s">
        <v>2617</v>
      </c>
      <c r="S6" s="2096"/>
      <c r="U6" s="2096" t="s">
        <v>2616</v>
      </c>
      <c r="V6" s="2096"/>
      <c r="W6" s="1700">
        <v>30</v>
      </c>
      <c r="X6" s="2096" t="s">
        <v>2615</v>
      </c>
      <c r="Y6" s="2096"/>
      <c r="AA6" s="2098" t="s">
        <v>2614</v>
      </c>
      <c r="AB6" s="2098"/>
      <c r="AD6" s="2098" t="s">
        <v>2613</v>
      </c>
      <c r="AE6" s="2098"/>
      <c r="AG6" s="2097" t="s">
        <v>2612</v>
      </c>
      <c r="AH6" s="2097"/>
      <c r="AJ6" s="2097" t="s">
        <v>2611</v>
      </c>
      <c r="AK6" s="2097"/>
      <c r="AM6" s="2096" t="s">
        <v>2610</v>
      </c>
      <c r="AN6" s="2096"/>
      <c r="AO6" s="1700">
        <v>15</v>
      </c>
      <c r="AP6" s="2096" t="s">
        <v>2609</v>
      </c>
      <c r="AQ6" s="2096"/>
      <c r="AR6" s="1713"/>
      <c r="AS6"/>
      <c r="AT6"/>
    </row>
    <row r="7" spans="1:46" s="152" customFormat="1" ht="12" customHeight="1" outlineLevel="1" x14ac:dyDescent="0.25">
      <c r="A7" s="1727"/>
      <c r="B7" s="1707">
        <v>5</v>
      </c>
      <c r="C7" s="1703" t="s">
        <v>247</v>
      </c>
      <c r="D7" s="1718" t="s">
        <v>2620</v>
      </c>
      <c r="E7" s="1715" t="s">
        <v>2635</v>
      </c>
      <c r="F7" s="1722"/>
      <c r="I7" s="2092" t="s">
        <v>257</v>
      </c>
      <c r="J7" s="2093"/>
      <c r="K7" s="2093"/>
      <c r="L7" s="2093"/>
      <c r="M7" s="2093"/>
      <c r="O7" s="2092" t="s">
        <v>256</v>
      </c>
      <c r="P7" s="2093"/>
      <c r="Q7" s="2093"/>
      <c r="R7" s="2093"/>
      <c r="S7" s="2093"/>
      <c r="U7" s="2092" t="s">
        <v>2623</v>
      </c>
      <c r="V7" s="2093"/>
      <c r="W7" s="2093"/>
      <c r="X7" s="2093"/>
      <c r="Y7" s="2093"/>
      <c r="AM7" s="2092" t="s">
        <v>247</v>
      </c>
      <c r="AN7" s="2093"/>
      <c r="AO7" s="2093"/>
      <c r="AP7" s="2093"/>
      <c r="AQ7" s="2093"/>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2" t="s">
        <v>1987</v>
      </c>
      <c r="C2" s="2103"/>
      <c r="D2" s="2103"/>
      <c r="E2" s="2103"/>
      <c r="F2" s="2103"/>
      <c r="G2" s="2104"/>
      <c r="H2" s="2102" t="s">
        <v>1988</v>
      </c>
      <c r="I2" s="2103"/>
      <c r="J2" s="2103"/>
      <c r="K2" s="2103"/>
      <c r="L2" s="2103"/>
      <c r="M2" s="2104"/>
      <c r="N2" s="2102" t="s">
        <v>1989</v>
      </c>
      <c r="O2" s="2103"/>
      <c r="P2" s="2103"/>
      <c r="Q2" s="2103"/>
      <c r="R2" s="2103"/>
      <c r="S2" s="2103"/>
      <c r="T2" s="2103"/>
      <c r="U2" s="2103"/>
      <c r="V2" s="2103"/>
      <c r="W2" s="2103"/>
      <c r="X2" s="2103"/>
      <c r="Y2" s="2103"/>
      <c r="Z2" s="2103"/>
      <c r="AA2" s="2103"/>
      <c r="AB2" s="2103"/>
      <c r="AC2" s="2104"/>
    </row>
    <row r="3" spans="2:53" ht="15" customHeight="1" x14ac:dyDescent="0.25">
      <c r="B3" s="2105" t="s">
        <v>1990</v>
      </c>
      <c r="C3" s="2106"/>
      <c r="D3" s="2107">
        <v>23</v>
      </c>
      <c r="E3" s="2107"/>
      <c r="F3" s="2108" t="s">
        <v>1991</v>
      </c>
      <c r="G3" s="2109"/>
      <c r="H3" s="2105" t="s">
        <v>1992</v>
      </c>
      <c r="I3" s="2106"/>
      <c r="J3" s="2110">
        <f>((610.7*10^((7.5*(D3))/(237.3+(D3))))/1000)*(D5/100)</f>
        <v>1.9100015553764977</v>
      </c>
      <c r="K3" s="2110"/>
      <c r="L3" s="2111" t="s">
        <v>1993</v>
      </c>
      <c r="M3" s="2111"/>
      <c r="N3" s="2112" t="s">
        <v>1994</v>
      </c>
      <c r="O3" s="2113"/>
      <c r="P3" s="2113" t="s">
        <v>1993</v>
      </c>
      <c r="Q3" s="2113"/>
      <c r="R3" s="2114" t="s">
        <v>1995</v>
      </c>
      <c r="S3" s="2114"/>
      <c r="T3" s="2114"/>
      <c r="U3" s="2114"/>
      <c r="V3" s="2114"/>
      <c r="W3" s="2114"/>
      <c r="X3" s="2115" t="s">
        <v>1996</v>
      </c>
      <c r="Y3" s="2115"/>
      <c r="Z3" s="2115"/>
      <c r="AA3" s="2115"/>
      <c r="AB3" s="2115"/>
      <c r="AC3" s="2116"/>
    </row>
    <row r="4" spans="2:53" ht="15" customHeight="1" x14ac:dyDescent="0.25">
      <c r="B4" s="2105" t="s">
        <v>1997</v>
      </c>
      <c r="C4" s="2106"/>
      <c r="D4" s="2107">
        <v>20</v>
      </c>
      <c r="E4" s="2107"/>
      <c r="F4" s="2109" t="s">
        <v>1991</v>
      </c>
      <c r="G4" s="2109"/>
      <c r="H4" s="2105" t="s">
        <v>1998</v>
      </c>
      <c r="I4" s="2106"/>
      <c r="J4" s="2110">
        <f>(610.7*10^((7.5*D4/(237.3+D4))))/1000</f>
        <v>2.3377872707169831</v>
      </c>
      <c r="K4" s="2110"/>
      <c r="L4" s="2111" t="s">
        <v>1993</v>
      </c>
      <c r="M4" s="2111"/>
      <c r="N4" s="2123" t="s">
        <v>1999</v>
      </c>
      <c r="O4" s="2099"/>
      <c r="P4" s="2099" t="s">
        <v>1993</v>
      </c>
      <c r="Q4" s="2099"/>
      <c r="R4" s="2100" t="s">
        <v>2000</v>
      </c>
      <c r="S4" s="2100"/>
      <c r="T4" s="2100"/>
      <c r="U4" s="2100"/>
      <c r="V4" s="2100"/>
      <c r="W4" s="2100"/>
      <c r="X4" s="2100"/>
      <c r="Y4" s="2100"/>
      <c r="Z4" s="2100"/>
      <c r="AA4" s="2100"/>
      <c r="AB4" s="2100"/>
      <c r="AC4" s="2101"/>
    </row>
    <row r="5" spans="2:53" ht="15" customHeight="1" x14ac:dyDescent="0.25">
      <c r="B5" s="2105" t="s">
        <v>2001</v>
      </c>
      <c r="C5" s="2106"/>
      <c r="D5" s="2107">
        <v>68</v>
      </c>
      <c r="E5" s="2107"/>
      <c r="F5" s="2109" t="s">
        <v>848</v>
      </c>
      <c r="G5" s="2109"/>
      <c r="H5" s="2121"/>
      <c r="I5" s="2122"/>
      <c r="J5" s="2122"/>
      <c r="K5" s="2122"/>
      <c r="L5" s="2111"/>
      <c r="M5" s="2111"/>
      <c r="N5" s="2117" t="s">
        <v>2002</v>
      </c>
      <c r="O5" s="2118"/>
      <c r="P5" s="2118" t="s">
        <v>1993</v>
      </c>
      <c r="Q5" s="2118"/>
      <c r="R5" s="2119" t="s">
        <v>2003</v>
      </c>
      <c r="S5" s="2119"/>
      <c r="T5" s="2119"/>
      <c r="U5" s="2119"/>
      <c r="V5" s="2119"/>
      <c r="W5" s="2119"/>
      <c r="X5" s="2119"/>
      <c r="Y5" s="2119"/>
      <c r="Z5" s="2119"/>
      <c r="AA5" s="2119"/>
      <c r="AB5" s="2119"/>
      <c r="AC5" s="2120"/>
    </row>
    <row r="6" spans="2:53" ht="15" customHeight="1" x14ac:dyDescent="0.25">
      <c r="B6" s="2139"/>
      <c r="C6" s="2140"/>
      <c r="D6" s="2140"/>
      <c r="E6" s="2140"/>
      <c r="F6" s="2140"/>
      <c r="G6" s="2141"/>
      <c r="H6" s="2105" t="s">
        <v>2004</v>
      </c>
      <c r="I6" s="2106"/>
      <c r="J6" s="2142">
        <f>J4-J3</f>
        <v>0.42778571534048537</v>
      </c>
      <c r="K6" s="2142"/>
      <c r="L6" s="2111" t="s">
        <v>1993</v>
      </c>
      <c r="M6" s="2111"/>
      <c r="N6" s="2130" t="s">
        <v>2005</v>
      </c>
      <c r="O6" s="2131"/>
      <c r="P6" s="2131" t="s">
        <v>1993</v>
      </c>
      <c r="Q6" s="2131"/>
      <c r="R6" s="2132" t="s">
        <v>2006</v>
      </c>
      <c r="S6" s="2132"/>
      <c r="T6" s="2132"/>
      <c r="U6" s="2132"/>
      <c r="V6" s="2132"/>
      <c r="W6" s="2132"/>
      <c r="X6" s="2132"/>
      <c r="Y6" s="2132"/>
      <c r="Z6" s="2132"/>
      <c r="AA6" s="2132"/>
      <c r="AB6" s="2132"/>
      <c r="AC6" s="2133"/>
    </row>
    <row r="7" spans="2:53" ht="15" customHeight="1" thickBot="1" x14ac:dyDescent="0.3">
      <c r="B7" s="2126"/>
      <c r="C7" s="2127"/>
      <c r="D7" s="2127"/>
      <c r="E7" s="2127"/>
      <c r="F7" s="2127"/>
      <c r="G7" s="2128"/>
      <c r="H7" s="2126"/>
      <c r="I7" s="2127"/>
      <c r="J7" s="2127"/>
      <c r="K7" s="2127"/>
      <c r="L7" s="2127"/>
      <c r="M7" s="2128"/>
      <c r="N7" s="2134" t="s">
        <v>2007</v>
      </c>
      <c r="O7" s="2135"/>
      <c r="P7" s="2135" t="s">
        <v>1993</v>
      </c>
      <c r="Q7" s="2135"/>
      <c r="R7" s="2136" t="s">
        <v>2008</v>
      </c>
      <c r="S7" s="2136"/>
      <c r="T7" s="2136"/>
      <c r="U7" s="2136"/>
      <c r="V7" s="2136"/>
      <c r="W7" s="2136"/>
      <c r="X7" s="2137" t="s">
        <v>2009</v>
      </c>
      <c r="Y7" s="2137"/>
      <c r="Z7" s="2137"/>
      <c r="AA7" s="2137"/>
      <c r="AB7" s="2137"/>
      <c r="AC7" s="2138"/>
    </row>
    <row r="8" spans="2:53" ht="15" customHeight="1" x14ac:dyDescent="0.25">
      <c r="B8" s="2129" t="s">
        <v>2010</v>
      </c>
      <c r="C8" s="2129"/>
      <c r="D8" s="2129"/>
      <c r="E8" s="2129"/>
      <c r="F8" s="2129"/>
      <c r="G8" s="2129"/>
      <c r="H8" s="2129"/>
      <c r="I8" s="2129"/>
      <c r="J8" s="2129"/>
      <c r="K8" s="2129"/>
      <c r="L8" s="2129"/>
      <c r="M8" s="2129"/>
      <c r="N8" s="2129"/>
      <c r="O8" s="2129"/>
      <c r="P8" s="2129"/>
      <c r="Q8" s="2129"/>
      <c r="R8" s="2129"/>
      <c r="S8" s="2129"/>
      <c r="T8" s="2129"/>
      <c r="U8" s="2129"/>
      <c r="V8" s="2129"/>
      <c r="W8" s="2129"/>
      <c r="X8" s="2129"/>
      <c r="Y8" s="2129"/>
      <c r="Z8" s="2129"/>
      <c r="AA8" s="2129"/>
      <c r="AB8" s="2129"/>
      <c r="AC8" s="2129"/>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4" t="s">
        <v>2011</v>
      </c>
      <c r="C10" s="2124"/>
      <c r="D10" s="2124"/>
      <c r="E10" s="4">
        <f>$D$3-$D$4</f>
        <v>3</v>
      </c>
      <c r="F10" s="2125" t="s">
        <v>2012</v>
      </c>
      <c r="G10" s="2125"/>
      <c r="H10" s="2125"/>
      <c r="I10" s="2125"/>
      <c r="J10" s="2125"/>
      <c r="K10" s="2125"/>
      <c r="L10" s="2125"/>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Feed Chart</vt:lpstr>
      <vt:lpstr>User1</vt:lpstr>
      <vt:lpstr>User2</vt:lpstr>
      <vt:lpstr>User3</vt:lpstr>
      <vt:lpstr>$</vt:lpstr>
      <vt:lpstr>Room</vt:lpstr>
      <vt:lpstr>Room (4)</vt:lpstr>
      <vt:lpstr>Room (2)</vt:lpstr>
      <vt:lpstr>Room (3)</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2021-06-12T04:59:37Z</dcterms:modified>
</cp:coreProperties>
</file>