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8.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30A2A0CB-E3F1-4FF1-905B-5C0567D4E7AF}" xr6:coauthVersionLast="47" xr6:coauthVersionMax="47" xr10:uidLastSave="{00000000-0000-0000-0000-000000000000}"/>
  <bookViews>
    <workbookView xWindow="-120" yWindow="-120" windowWidth="29040" windowHeight="15840" tabRatio="915"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Room (4)" sheetId="112" r:id="rId7"/>
    <sheet name="Room (2)" sheetId="110" r:id="rId8"/>
    <sheet name="Room (3)" sheetId="111" r:id="rId9"/>
    <sheet name="Arduino" sheetId="109" r:id="rId10"/>
    <sheet name="Panel" sheetId="104" r:id="rId11"/>
    <sheet name="Light Layout" sheetId="45" r:id="rId12"/>
    <sheet name="Brian" sheetId="103" r:id="rId13"/>
    <sheet name="SaltMix" sheetId="102" r:id="rId14"/>
    <sheet name="VPD Calc" sheetId="100" r:id="rId15"/>
    <sheet name="Electricity" sheetId="6" r:id="rId16"/>
    <sheet name="PPM Calc" sheetId="20" r:id="rId17"/>
    <sheet name="PPM" sheetId="96" r:id="rId18"/>
    <sheet name="NPK Calculator" sheetId="98" r:id="rId19"/>
    <sheet name="Ternary Chart" sheetId="94" r:id="rId20"/>
    <sheet name="Element to Oxide" sheetId="91" r:id="rId21"/>
    <sheet name="Labels" sheetId="89" r:id="rId22"/>
    <sheet name="RO Water" sheetId="101" r:id="rId23"/>
    <sheet name="Hardware" sheetId="99" r:id="rId24"/>
    <sheet name="LEDS" sheetId="87" r:id="rId25"/>
    <sheet name="Ohms Law" sheetId="88" r:id="rId26"/>
    <sheet name="EC" sheetId="73" r:id="rId27"/>
    <sheet name="VPD" sheetId="7" r:id="rId28"/>
    <sheet name="Defoliation" sheetId="17" r:id="rId29"/>
    <sheet name="Cloning" sheetId="41" r:id="rId30"/>
    <sheet name="Harvest" sheetId="15" r:id="rId31"/>
    <sheet name="Deficiency" sheetId="14" r:id="rId32"/>
    <sheet name="Concentrates" sheetId="18" r:id="rId33"/>
    <sheet name="Root Health" sheetId="43" r:id="rId34"/>
    <sheet name="Strains" sheetId="8" r:id="rId35"/>
    <sheet name="Soil" sheetId="38" r:id="rId36"/>
    <sheet name="GH Feedchart" sheetId="90" r:id="rId37"/>
  </sheets>
  <externalReferences>
    <externalReference r:id="rId38"/>
    <externalReference r:id="rId39"/>
    <externalReference r:id="rId40"/>
  </externalReferences>
  <definedNames>
    <definedName name="Appliances">'[1]Appliances Data'!$C$5:$C$104</definedName>
    <definedName name="Classes">[2]!TaskSchedule[[#All],[Column1]]</definedName>
    <definedName name="daygrid" localSheetId="4">'$'!days+'$'!weeks*7</definedName>
    <definedName name="daygrid" localSheetId="26">EC!days+EC!weeks*7</definedName>
    <definedName name="daygrid" localSheetId="0">'Feed Chart'!days+'Feed Chart'!weeks*7</definedName>
    <definedName name="daygrid" localSheetId="23">Hardware!days+Hardware!weeks*7</definedName>
    <definedName name="daygrid" localSheetId="24">LEDS!days+LEDS!weeks*7</definedName>
    <definedName name="daygrid" localSheetId="10">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6">{0,1,2,3,4,5,6}</definedName>
    <definedName name="days" localSheetId="0">{0,1,2,3,4,5,6}</definedName>
    <definedName name="days" localSheetId="23">{0,1,2,3,4,5,6}</definedName>
    <definedName name="days" localSheetId="24">{0,1,2,3,4,5,6}</definedName>
    <definedName name="days" localSheetId="10">{0,1,2,3,4,5,6}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6">{"January","February","March","April","May","June","July","August","September","October","November","December"}</definedName>
    <definedName name="months" localSheetId="0">{"January","February","March","April","May","June","July","August","September","October","November","December"}</definedName>
    <definedName name="months" localSheetId="23">{"January","February","March","April","May","June","July","August","September","October","November","December"}</definedName>
    <definedName name="months" localSheetId="24">{"January","February","March","April","May","June","July","August","September","October","November","December"}</definedName>
    <definedName name="months" localSheetId="10">{"January","February","March","April","May","June","July","August","September","October","November","December"}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6">MATCH(DayToStart,EC!weekdays_reversed,0)-2</definedName>
    <definedName name="weekday_option" localSheetId="0">MATCH([0]!DayToStart,'Feed Chart'!weekdays_reversed,0)-2</definedName>
    <definedName name="weekday_option" localSheetId="23">MATCH([0]!DayToStart,Hardware!weekdays_reversed,0)-2</definedName>
    <definedName name="weekday_option" localSheetId="24">MATCH([0]!DayToStart,LEDS!weekdays_reversed,0)-2</definedName>
    <definedName name="weekday_option" localSheetId="10">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6">{"Sunday","Saturday","Friday","Thursday","Wednesday","Tuesday","Monday"}</definedName>
    <definedName name="weekdays_reversed" localSheetId="0">{"Sunday","Saturday","Friday","Thursday","Wednesday","Tuesday","Monday"}</definedName>
    <definedName name="weekdays_reversed" localSheetId="23">{"Sunday","Saturday","Friday","Thursday","Wednesday","Tuesday","Monday"}</definedName>
    <definedName name="weekdays_reversed" localSheetId="24">{"Sunday","Saturday","Friday","Thursday","Wednesday","Tuesday","Monday"}</definedName>
    <definedName name="weekdays_reversed" localSheetId="10">{"Sunday","Saturday","Friday","Thursday","Wednesday","Tuesday","Monday"}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6">{0;1;2;3;4;5;6}</definedName>
    <definedName name="weeks" localSheetId="0">{0;1;2;3;4;5;6}</definedName>
    <definedName name="weeks" localSheetId="23">{0;1;2;3;4;5;6}</definedName>
    <definedName name="weeks" localSheetId="24">{0;1;2;3;4;5;6}</definedName>
    <definedName name="weeks" localSheetId="10">{0;1;2;3;4;5;6}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N375" i="93" l="1"/>
  <c r="KL375" i="93"/>
  <c r="JE365" i="93"/>
  <c r="LE365" i="93" s="1"/>
  <c r="JM365" i="93"/>
  <c r="LM365" i="93" s="1"/>
  <c r="JU365" i="93"/>
  <c r="LU365" i="93" s="1"/>
  <c r="KC365" i="93"/>
  <c r="MC365" i="93" s="1"/>
  <c r="KK365" i="93"/>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JU373" i="93"/>
  <c r="LU373" i="93" s="1"/>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LE379" i="93" s="1"/>
  <c r="JM379" i="93"/>
  <c r="JU379" i="93"/>
  <c r="LU379" i="93" s="1"/>
  <c r="KC379" i="93"/>
  <c r="MC379" i="93" s="1"/>
  <c r="JE381" i="93"/>
  <c r="JM381" i="93"/>
  <c r="LM381" i="93" s="1"/>
  <c r="JU381" i="93"/>
  <c r="KC381" i="93"/>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LU377" i="93"/>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KE382" i="93"/>
  <c r="ME382" i="93" s="1"/>
  <c r="JG384" i="93"/>
  <c r="LG384" i="93" s="1"/>
  <c r="JO384" i="93"/>
  <c r="JW384" i="93"/>
  <c r="LW384" i="93" s="1"/>
  <c r="KE384" i="93"/>
  <c r="JG388" i="93"/>
  <c r="LG388" i="93" s="1"/>
  <c r="JO388" i="93"/>
  <c r="JW388" i="93"/>
  <c r="JG390" i="93"/>
  <c r="LG390" i="93" s="1"/>
  <c r="JO390" i="93"/>
  <c r="LO390" i="93" s="1"/>
  <c r="JG392" i="93"/>
  <c r="MC373" i="93"/>
  <c r="JW365" i="93"/>
  <c r="KE365" i="93"/>
  <c r="ME365" i="93" s="1"/>
  <c r="KM365" i="93"/>
  <c r="MM365" i="93" s="1"/>
  <c r="JO367" i="93"/>
  <c r="LO367" i="93" s="1"/>
  <c r="JW367" i="93"/>
  <c r="KE367" i="93"/>
  <c r="ME367" i="93" s="1"/>
  <c r="KM367" i="93"/>
  <c r="MM367" i="93" s="1"/>
  <c r="KC350" i="93"/>
  <c r="MC350" i="93" s="1"/>
  <c r="KK350" i="93"/>
  <c r="MK350" i="93" s="1"/>
  <c r="LM373" i="93"/>
  <c r="MK373" i="93"/>
  <c r="LM379" i="93"/>
  <c r="KM382" i="93"/>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JD372" i="93"/>
  <c r="LD372" i="93" s="1"/>
  <c r="JD386" i="93"/>
  <c r="LD386" i="93" s="1"/>
  <c r="JL386" i="93"/>
  <c r="LL386" i="93" s="1"/>
  <c r="JT386" i="93"/>
  <c r="LT386" i="93" s="1"/>
  <c r="KB386" i="93"/>
  <c r="MB386" i="93" s="1"/>
  <c r="KJ386" i="93"/>
  <c r="JD388" i="93"/>
  <c r="LD388" i="93" s="1"/>
  <c r="JL388" i="93"/>
  <c r="JT388" i="93"/>
  <c r="LT388" i="93" s="1"/>
  <c r="KB388" i="93"/>
  <c r="MB388" i="93" s="1"/>
  <c r="KJ388" i="93"/>
  <c r="MJ388" i="93" s="1"/>
  <c r="JD390" i="93"/>
  <c r="LD390" i="93" s="1"/>
  <c r="JL390" i="93"/>
  <c r="LL390" i="93" s="1"/>
  <c r="JT390" i="93"/>
  <c r="LT390" i="93" s="1"/>
  <c r="KB390" i="93"/>
  <c r="MB390" i="93" s="1"/>
  <c r="JD392" i="93"/>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JX370" i="93"/>
  <c r="LX370" i="93" s="1"/>
  <c r="KF370" i="93"/>
  <c r="MF370" i="93" s="1"/>
  <c r="JH372" i="93"/>
  <c r="LH372" i="93" s="1"/>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JE391" i="93"/>
  <c r="LE391" i="93" s="1"/>
  <c r="KO391" i="93"/>
  <c r="MO391" i="93" s="1"/>
  <c r="IO391" i="93" s="1"/>
  <c r="MC381" i="93"/>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LR373" i="93"/>
  <c r="MH375" i="93"/>
  <c r="LJ379" i="93"/>
  <c r="LJ387" i="93"/>
  <c r="KG353" i="93"/>
  <c r="MG353" i="93" s="1"/>
  <c r="KO353" i="93"/>
  <c r="MO353" i="93" s="1"/>
  <c r="LE357" i="93"/>
  <c r="LM357" i="93"/>
  <c r="LU357" i="93"/>
  <c r="MC357" i="93"/>
  <c r="LS369" i="93"/>
  <c r="KE374" i="93"/>
  <c r="ME374" i="93" s="1"/>
  <c r="KM374" i="93"/>
  <c r="MM374" i="93" s="1"/>
  <c r="MA375" i="93"/>
  <c r="JG376" i="93"/>
  <c r="LG376" i="93" s="1"/>
  <c r="JO376" i="93"/>
  <c r="LO376" i="93" s="1"/>
  <c r="JW376" i="93"/>
  <c r="LW376" i="93" s="1"/>
  <c r="MQ377" i="93"/>
  <c r="JG380" i="93"/>
  <c r="LG380" i="93" s="1"/>
  <c r="JO380" i="93"/>
  <c r="LO380" i="93" s="1"/>
  <c r="LK381" i="93"/>
  <c r="MA383" i="93"/>
  <c r="LK389" i="93"/>
  <c r="KI391" i="93"/>
  <c r="MI391" i="93" s="1"/>
  <c r="JB353" i="93"/>
  <c r="LB353" i="93" s="1"/>
  <c r="JJ353" i="93"/>
  <c r="LJ353" i="93" s="1"/>
  <c r="JR353" i="93"/>
  <c r="LR353" i="93" s="1"/>
  <c r="LL369" i="93"/>
  <c r="LT373" i="93"/>
  <c r="KF374" i="93"/>
  <c r="MF374" i="93" s="1"/>
  <c r="KN374" i="93"/>
  <c r="JH376" i="93"/>
  <c r="LH376" i="93" s="1"/>
  <c r="JP376" i="93"/>
  <c r="LP376" i="93" s="1"/>
  <c r="JX376" i="93"/>
  <c r="LX376" i="93" s="1"/>
  <c r="KF376" i="93"/>
  <c r="MF376" i="93" s="1"/>
  <c r="KN376" i="93"/>
  <c r="MN376" i="93" s="1"/>
  <c r="LT379" i="93"/>
  <c r="MB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LA372"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MB372" i="93"/>
  <c r="MJ386" i="93"/>
  <c r="LD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P368" i="93"/>
  <c r="KN368" i="93"/>
  <c r="MN368" i="93" s="1"/>
  <c r="LP370"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LW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JA28" i="93" s="1"/>
  <c r="BW27" i="93"/>
  <c r="JA27" i="93" s="1"/>
  <c r="LA27" i="93" s="1"/>
  <c r="BW26" i="93"/>
  <c r="BW25" i="93"/>
  <c r="BW24" i="93"/>
  <c r="BW23" i="93"/>
  <c r="BW22" i="93"/>
  <c r="BW21" i="93"/>
  <c r="JA21" i="93" s="1"/>
  <c r="BW20" i="93"/>
  <c r="JA20" i="93" s="1"/>
  <c r="BW19" i="93"/>
  <c r="JA19" i="93" s="1"/>
  <c r="LA19" i="93" s="1"/>
  <c r="BW18" i="93"/>
  <c r="BW17" i="93"/>
  <c r="BW16" i="93"/>
  <c r="BW15" i="93"/>
  <c r="CL15" i="93"/>
  <c r="CL21" i="93"/>
  <c r="JP21" i="93" s="1"/>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A22" i="93" l="1"/>
  <c r="JF14" i="93"/>
  <c r="JC19" i="93"/>
  <c r="LC19" i="93" s="1"/>
  <c r="JP27" i="93"/>
  <c r="LP27" i="93" s="1"/>
  <c r="JB19" i="93"/>
  <c r="LB19" i="93" s="1"/>
  <c r="JB27" i="93"/>
  <c r="LB27" i="93" s="1"/>
  <c r="JI19" i="93"/>
  <c r="LI19" i="93" s="1"/>
  <c r="JQ21" i="93"/>
  <c r="LQ21" i="93" s="1"/>
  <c r="HQ21" i="93" s="1"/>
  <c r="LB20" i="93"/>
  <c r="LB28" i="93"/>
  <c r="JI18" i="93"/>
  <c r="LI18" i="93" s="1"/>
  <c r="LM20" i="93"/>
  <c r="JC22" i="93"/>
  <c r="LC22" i="93" s="1"/>
  <c r="JI26" i="93"/>
  <c r="LI26" i="93" s="1"/>
  <c r="LM28" i="93"/>
  <c r="JQ18" i="93"/>
  <c r="LQ18" i="93" s="1"/>
  <c r="JG14" i="93"/>
  <c r="JI22" i="93"/>
  <c r="LI22" i="93" s="1"/>
  <c r="JQ26" i="93"/>
  <c r="LQ26" i="93" s="1"/>
  <c r="JB18" i="93"/>
  <c r="JB26" i="93"/>
  <c r="JA18" i="93"/>
  <c r="LA18" i="93" s="1"/>
  <c r="JA26" i="93"/>
  <c r="LA26" i="93" s="1"/>
  <c r="JD28" i="93"/>
  <c r="LD28" i="93" s="1"/>
  <c r="JF28" i="93"/>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JB14" i="93"/>
  <c r="LB14" i="93" s="1"/>
  <c r="JB22" i="93"/>
  <c r="LB22" i="93" s="1"/>
  <c r="JD14" i="93"/>
  <c r="LD14" i="93" s="1"/>
  <c r="LD21" i="93"/>
  <c r="JF22" i="93"/>
  <c r="JG22" i="93"/>
  <c r="LG22" i="93" s="1"/>
  <c r="HG22" i="93" s="1"/>
  <c r="JC27" i="93"/>
  <c r="LC27" i="93" s="1"/>
  <c r="JI14" i="93"/>
  <c r="LI14" i="93" s="1"/>
  <c r="JF19" i="93"/>
  <c r="LF19" i="93" s="1"/>
  <c r="JK22" i="93"/>
  <c r="LK22" i="93" s="1"/>
  <c r="JF27" i="93"/>
  <c r="LF27" i="93" s="1"/>
  <c r="LB18" i="93"/>
  <c r="LB26" i="93"/>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KO156" i="93"/>
  <c r="MO156" i="93" s="1"/>
  <c r="IO156" i="93" s="1"/>
  <c r="KP196" i="93"/>
  <c r="M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JH196" i="93"/>
  <c r="LH196" i="93" s="1"/>
  <c r="HH196" i="93" s="1"/>
  <c r="JL256" i="93"/>
  <c r="LL256" i="93" s="1"/>
  <c r="JY16" i="93"/>
  <c r="LY16" i="93" s="1"/>
  <c r="KJ216" i="93"/>
  <c r="MJ216" i="93" s="1"/>
  <c r="JH76" i="93"/>
  <c r="LH76" i="93" s="1"/>
  <c r="HH76" i="93" s="1"/>
  <c r="KK16" i="93"/>
  <c r="MK16" i="93" s="1"/>
  <c r="JH116" i="93"/>
  <c r="LH116" i="93" s="1"/>
  <c r="HH116" i="93" s="1"/>
  <c r="JR16" i="93"/>
  <c r="LR16" i="93" s="1"/>
  <c r="KJ136" i="93"/>
  <c r="MJ136" i="93" s="1"/>
  <c r="IJ136" i="93" s="1"/>
  <c r="JH176" i="93"/>
  <c r="LH176" i="93" s="1"/>
  <c r="JL96" i="93"/>
  <c r="LL96" i="93" s="1"/>
  <c r="JT16" i="93"/>
  <c r="LT16" i="93" s="1"/>
  <c r="HT16" i="93" s="1"/>
  <c r="KG16" i="93"/>
  <c r="MG16" i="93" s="1"/>
  <c r="I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JU116" i="93"/>
  <c r="LU116" i="93" s="1"/>
  <c r="HU116" i="93" s="1"/>
  <c r="JT156" i="93"/>
  <c r="LT156" i="93" s="1"/>
  <c r="JJ216" i="93"/>
  <c r="LJ216" i="93" s="1"/>
  <c r="JV276" i="93"/>
  <c r="LV276" i="93" s="1"/>
  <c r="KL56" i="93"/>
  <c r="ML56" i="93" s="1"/>
  <c r="KK76" i="93"/>
  <c r="MK76" i="93" s="1"/>
  <c r="JE156" i="93"/>
  <c r="LE156" i="93" s="1"/>
  <c r="H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JX276" i="93"/>
  <c r="LX276" i="93" s="1"/>
  <c r="KF236" i="93"/>
  <c r="M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HR236" i="93" s="1"/>
  <c r="KF156" i="93"/>
  <c r="M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KM76" i="93"/>
  <c r="MM76" i="93" s="1"/>
  <c r="KL136" i="93"/>
  <c r="ML136" i="93" s="1"/>
  <c r="KK156" i="93"/>
  <c r="MK156" i="93" s="1"/>
  <c r="JN136" i="93"/>
  <c r="LN136" i="93" s="1"/>
  <c r="JE276" i="93"/>
  <c r="LE276" i="93" s="1"/>
  <c r="HE276" i="93" s="1"/>
  <c r="KA236" i="93"/>
  <c r="MA236" i="93" s="1"/>
  <c r="JV136" i="93"/>
  <c r="LV136" i="93" s="1"/>
  <c r="H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ID136" i="93" s="1"/>
  <c r="JU176" i="93"/>
  <c r="LU176" i="93" s="1"/>
  <c r="HU176" i="93" s="1"/>
  <c r="JT216" i="93"/>
  <c r="LT216" i="93" s="1"/>
  <c r="HT216" i="93" s="1"/>
  <c r="JJ236" i="93"/>
  <c r="LJ236" i="93" s="1"/>
  <c r="H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JV176" i="93"/>
  <c r="LV176" i="93" s="1"/>
  <c r="HV176" i="93" s="1"/>
  <c r="JE76" i="93"/>
  <c r="L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JW276" i="93"/>
  <c r="LW276" i="93" s="1"/>
  <c r="KH276" i="93"/>
  <c r="MH276" i="93" s="1"/>
  <c r="KG136" i="93"/>
  <c r="MG136" i="93" s="1"/>
  <c r="JX136" i="93"/>
  <c r="LX136" i="93" s="1"/>
  <c r="HX136" i="93" s="1"/>
  <c r="JR156" i="93"/>
  <c r="LR156" i="93" s="1"/>
  <c r="HR156" i="93" s="1"/>
  <c r="KF76" i="93"/>
  <c r="MF76" i="93" s="1"/>
  <c r="IF76" i="93" s="1"/>
  <c r="KE216" i="93"/>
  <c r="ME216" i="93" s="1"/>
  <c r="IE216" i="93" s="1"/>
  <c r="JZ256" i="93"/>
  <c r="LZ256" i="93" s="1"/>
  <c r="JW56" i="93"/>
  <c r="LW56" i="93" s="1"/>
  <c r="KG176" i="93"/>
  <c r="MG176" i="93" s="1"/>
  <c r="JX196" i="93"/>
  <c r="LX196" i="93" s="1"/>
  <c r="JR56" i="93"/>
  <c r="LR56" i="93" s="1"/>
  <c r="HR56" i="93" s="1"/>
  <c r="JW236" i="93"/>
  <c r="LW236" i="93" s="1"/>
  <c r="JY236" i="93"/>
  <c r="LY236" i="93" s="1"/>
  <c r="HY236" i="93" s="1"/>
  <c r="JN56" i="93"/>
  <c r="LN56" i="93" s="1"/>
  <c r="H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76" i="93"/>
  <c r="IN56" i="93"/>
  <c r="IO176" i="93"/>
  <c r="IN236" i="93"/>
  <c r="IO56" i="93"/>
  <c r="IP19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216" i="93"/>
  <c r="II116" i="93"/>
  <c r="II276" i="93"/>
  <c r="IQ11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H56" i="93"/>
  <c r="HH176" i="93"/>
  <c r="HL96" i="93"/>
  <c r="HL216" i="93"/>
  <c r="HH15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IA276" i="93"/>
  <c r="HJ216" i="93"/>
  <c r="ID96" i="93"/>
  <c r="IG116" i="93"/>
  <c r="HU96" i="93"/>
  <c r="HN76" i="93"/>
  <c r="HS276" i="93"/>
  <c r="HS156" i="93"/>
  <c r="II36" i="93"/>
  <c r="IB116" i="93"/>
  <c r="IC96" i="93"/>
  <c r="IC236" i="93"/>
  <c r="HS236" i="93"/>
  <c r="ID156" i="93"/>
  <c r="HU156" i="93"/>
  <c r="HT36" i="93"/>
  <c r="HJ116" i="93"/>
  <c r="ID196" i="93"/>
  <c r="HV96" i="93"/>
  <c r="IH76" i="93"/>
  <c r="IF216" i="93"/>
  <c r="HR216" i="93"/>
  <c r="IA156" i="93"/>
  <c r="IH276" i="93"/>
  <c r="HY196" i="93"/>
  <c r="HV276" i="93"/>
  <c r="IH256" i="93"/>
  <c r="IF96" i="93"/>
  <c r="HZ96" i="93"/>
  <c r="HN136" i="93"/>
  <c r="HY156" i="93"/>
  <c r="HY36" i="93"/>
  <c r="IF256" i="93"/>
  <c r="HZ256" i="93"/>
  <c r="IG176" i="93"/>
  <c r="HS116" i="93"/>
  <c r="HE256" i="93"/>
  <c r="IC56" i="93"/>
  <c r="HS56" i="93"/>
  <c r="IG216" i="93"/>
  <c r="IF156" i="93"/>
  <c r="HX236" i="93"/>
  <c r="IH36" i="93"/>
  <c r="IA36" i="93"/>
  <c r="IC196" i="93"/>
  <c r="IE156" i="93"/>
  <c r="HR76" i="93"/>
  <c r="HZ56" i="93"/>
  <c r="IA56" i="93"/>
  <c r="HR256" i="93"/>
  <c r="IG136" i="93"/>
  <c r="HE176" i="93"/>
  <c r="HE76" i="93"/>
  <c r="HU76" i="93"/>
  <c r="IG76" i="93"/>
  <c r="HY56" i="93"/>
  <c r="IF236" i="93"/>
  <c r="IG196" i="93"/>
  <c r="IF136" i="93"/>
  <c r="HW36" i="93"/>
  <c r="HE196" i="93"/>
  <c r="HZ276" i="93"/>
  <c r="ID56" i="93"/>
  <c r="HT276" i="93"/>
  <c r="ID21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IC16" i="93"/>
  <c r="HS16" i="93"/>
  <c r="HW16" i="93"/>
  <c r="HR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<sst xmlns="http://schemas.openxmlformats.org/spreadsheetml/2006/main" count="4486" uniqueCount="2763">
  <si>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</si>
  <si>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</si>
  <si>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</si>
  <si>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</si>
  <si>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</si>
  <si>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</si>
  <si>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</si>
  <si>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</si>
  <si>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</si>
  <si>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</si>
  <si>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</si>
  <si>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</si>
  <si>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</si>
  <si>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</si>
  <si>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</si>
  <si>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</si>
  <si>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</si>
  <si>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</si>
  <si>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</si>
  <si>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</si>
  <si>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</si>
  <si>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</si>
  <si>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</si>
  <si>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</si>
  <si>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</si>
  <si>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</si>
  <si>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</si>
  <si>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</si>
  <si>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</si>
  <si>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</si>
  <si>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</si>
  <si>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</si>
  <si>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</si>
  <si>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</si>
  <si>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</si>
  <si>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</si>
  <si>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</si>
  <si>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</si>
  <si>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</si>
  <si>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</si>
  <si>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</si>
  <si>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</si>
  <si>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</si>
  <si>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</si>
  <si>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</si>
  <si>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</si>
  <si>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</si>
  <si>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</si>
  <si>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</si>
  <si>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</si>
  <si>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</si>
  <si>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</si>
  <si>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</si>
  <si>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</si>
  <si>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</si>
  <si>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</si>
  <si>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</si>
  <si>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</si>
  <si>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</si>
  <si>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</si>
  <si>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</si>
  <si>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</si>
  <si>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</si>
  <si>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</si>
  <si>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</si>
  <si>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</si>
  <si>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</si>
  <si>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</si>
  <si>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</si>
  <si>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</si>
  <si>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</si>
  <si>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</si>
  <si>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</si>
  <si>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</si>
  <si>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</si>
  <si>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</si>
  <si>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</si>
  <si>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</si>
  <si>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</si>
  <si>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</si>
  <si>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</si>
  <si>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</si>
  <si>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</si>
  <si>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</si>
  <si>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</si>
  <si>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</si>
  <si>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</si>
  <si>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</si>
  <si>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</si>
  <si>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</si>
  <si>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</si>
  <si>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</si>
  <si>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</si>
  <si>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</si>
  <si>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</si>
  <si>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</si>
  <si>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</si>
  <si>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</si>
  <si>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</si>
  <si>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</si>
  <si>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</si>
  <si>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</si>
  <si>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</si>
  <si>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</si>
  <si>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</si>
  <si>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</si>
  <si>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</si>
  <si>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</si>
  <si>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</si>
  <si>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</si>
  <si>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</si>
  <si>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</si>
  <si>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</si>
  <si>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</si>
  <si>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</si>
  <si>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</si>
  <si>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</si>
  <si>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</si>
  <si>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</si>
  <si>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</si>
  <si>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</si>
  <si>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</si>
  <si>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</si>
  <si>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</si>
  <si>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</si>
  <si>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</si>
  <si>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</si>
  <si>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</si>
  <si>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</si>
  <si>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</si>
  <si>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</si>
  <si>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</si>
  <si>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</si>
  <si>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</si>
  <si>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</si>
  <si>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</si>
  <si>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</si>
  <si>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</si>
  <si>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</si>
  <si>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</si>
  <si>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</si>
  <si>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</si>
  <si>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</si>
  <si>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</si>
  <si>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</si>
  <si>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</si>
  <si>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</si>
  <si>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</si>
  <si>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</si>
  <si>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</si>
  <si>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</si>
  <si>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</si>
  <si>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</si>
  <si>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</si>
  <si>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</si>
  <si>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</si>
  <si>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</si>
  <si>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</si>
  <si>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</si>
  <si>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</si>
  <si>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</si>
  <si>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</si>
  <si>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</si>
  <si>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</si>
  <si>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</si>
  <si>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</si>
  <si>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</si>
  <si>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</si>
  <si>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</si>
  <si>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</si>
  <si>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</si>
  <si>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</si>
  <si>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</si>
  <si>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</si>
  <si>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</si>
  <si>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</si>
  <si>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</si>
  <si>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</si>
  <si>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</si>
  <si>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</si>
  <si>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</si>
  <si>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</si>
  <si>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</si>
  <si>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</si>
  <si>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</si>
  <si>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</si>
  <si>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</si>
  <si>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</si>
  <si>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</si>
  <si>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</si>
  <si>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</si>
  <si>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</si>
  <si>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</si>
  <si>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</si>
  <si>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</si>
  <si>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</si>
  <si>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</si>
  <si>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</si>
  <si>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</si>
  <si>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</si>
  <si>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</si>
  <si>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</si>
  <si>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</si>
  <si>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</si>
  <si>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</si>
  <si>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</si>
  <si>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</si>
  <si>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</si>
  <si>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</si>
  <si>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</si>
  <si>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</si>
  <si>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</si>
  <si>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</si>
  <si>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</si>
  <si>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</si>
  <si>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</si>
  <si>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</si>
  <si>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</si>
  <si>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</si>
  <si>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</si>
  <si>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</si>
  <si>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</si>
  <si>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</si>
  <si>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</si>
  <si>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</si>
  <si>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</si>
  <si>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</si>
  <si>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</si>
  <si>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</si>
  <si>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</si>
  <si>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</si>
  <si>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</si>
  <si>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</si>
  <si>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</si>
  <si>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</si>
  <si>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</si>
  <si>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</si>
  <si>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</si>
  <si>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</si>
  <si>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</si>
  <si>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</si>
  <si>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</si>
  <si>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</si>
  <si>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</si>
  <si>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</si>
  <si>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</si>
  <si>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</si>
  <si>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</si>
  <si>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</si>
  <si>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</si>
  <si>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</si>
  <si>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</si>
  <si>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</si>
  <si>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</si>
  <si>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</si>
  <si>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</si>
  <si>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</si>
  <si>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</si>
  <si>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</si>
  <si>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</si>
  <si>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</si>
  <si>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</si>
  <si>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</si>
  <si>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</si>
  <si>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</si>
  <si>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</si>
  <si>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</si>
  <si>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</si>
  <si>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</si>
  <si>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</si>
  <si>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</si>
  <si>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</si>
  <si>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</si>
  <si>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</si>
  <si>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</si>
  <si>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</si>
  <si>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</si>
  <si>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</si>
  <si>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</si>
  <si>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</si>
  <si>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</si>
  <si>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</si>
  <si>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</si>
  <si>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</si>
  <si>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</si>
  <si>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</si>
  <si>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</si>
  <si>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</si>
  <si>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</si>
  <si>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</si>
  <si>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</si>
  <si>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</si>
  <si>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</si>
  <si>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</si>
  <si>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</si>
  <si>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</si>
  <si>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</si>
  <si>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</si>
  <si>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</si>
  <si>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</si>
  <si>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</si>
  <si>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</si>
  <si>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</si>
  <si>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</si>
  <si>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</si>
  <si>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</si>
  <si>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</si>
  <si>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</si>
  <si>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</si>
  <si>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</si>
  <si>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</si>
  <si>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</si>
  <si>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</si>
  <si>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</si>
  <si>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</si>
  <si>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</si>
  <si>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</si>
  <si>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</si>
  <si>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</si>
  <si>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</si>
  <si>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</si>
  <si>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</si>
  <si>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</si>
  <si>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</si>
  <si>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</si>
  <si>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</si>
  <si>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</si>
  <si>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</si>
  <si>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</si>
  <si>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</si>
  <si>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</si>
  <si>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</si>
  <si>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</si>
  <si>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</si>
  <si>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</si>
  <si>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</si>
  <si>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</si>
  <si>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</si>
  <si>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</si>
  <si>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</si>
  <si>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</si>
  <si>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</si>
  <si>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</si>
  <si>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</si>
  <si>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</si>
  <si>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</si>
  <si>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</si>
  <si>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</si>
  <si>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</si>
  <si>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</si>
  <si>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</si>
  <si>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</si>
  <si>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</si>
  <si>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</si>
  <si>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</si>
  <si>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</si>
  <si>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</si>
  <si>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</si>
  <si>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</si>
  <si>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</si>
  <si>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</si>
  <si>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</si>
  <si>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</si>
  <si>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</si>
  <si>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</si>
  <si>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</si>
  <si>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</si>
  <si>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</si>
  <si>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</si>
  <si>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</si>
  <si>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</si>
  <si>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</si>
  <si>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</si>
  <si>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</si>
  <si>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</si>
  <si>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</si>
  <si>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</si>
  <si>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</si>
  <si>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</si>
  <si>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</si>
  <si>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</si>
  <si>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</si>
  <si>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</si>
  <si>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</si>
  <si>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</si>
  <si>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</si>
  <si>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</si>
  <si>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</si>
  <si>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</si>
  <si>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</si>
  <si>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</si>
  <si>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</si>
  <si>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</si>
  <si>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</si>
  <si>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</si>
  <si>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</si>
  <si>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</si>
  <si>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</si>
  <si>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</si>
  <si>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</si>
  <si>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</si>
  <si>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</si>
  <si>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</si>
  <si>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</si>
  <si>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</si>
  <si>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</si>
  <si>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</si>
  <si>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</si>
  <si>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</si>
  <si>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</si>
  <si>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</si>
  <si>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</si>
  <si>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</si>
  <si>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</si>
  <si>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</si>
  <si>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</si>
  <si>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</si>
  <si>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</si>
  <si>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</si>
  <si>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</si>
  <si>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</si>
  <si>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</si>
  <si>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</si>
  <si>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</si>
  <si>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</si>
  <si>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</si>
  <si>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</si>
  <si>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</si>
  <si>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</si>
  <si>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</si>
  <si>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</si>
  <si>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</si>
  <si>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</si>
  <si>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</si>
  <si>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</si>
  <si>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</si>
  <si>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</si>
  <si>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</si>
  <si>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</si>
  <si>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</si>
  <si>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</si>
  <si>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</si>
  <si>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</si>
  <si>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</si>
  <si>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</si>
  <si>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</si>
  <si>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</si>
  <si>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</si>
  <si>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</si>
  <si>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</si>
  <si>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</si>
  <si>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</si>
  <si>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</si>
  <si>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</si>
  <si>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</si>
  <si>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</si>
  <si>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</si>
  <si>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</si>
  <si>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</si>
  <si>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</si>
  <si>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</si>
  <si>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</si>
  <si>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</si>
  <si>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</si>
  <si>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</si>
  <si>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</si>
  <si>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</si>
  <si>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</si>
  <si>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</si>
  <si>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</si>
  <si>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</si>
  <si>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</si>
  <si>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</si>
  <si>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</si>
  <si>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</si>
  <si>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</si>
  <si>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</si>
  <si>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</si>
  <si>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</si>
  <si>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</si>
  <si>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</si>
  <si>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</si>
  <si>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</si>
  <si>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</si>
  <si>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</si>
  <si>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</si>
  <si>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</si>
  <si>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</si>
  <si>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</si>
  <si>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</si>
  <si>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</si>
  <si>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</si>
  <si>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</si>
  <si>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</si>
  <si>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</si>
  <si>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</si>
  <si>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</si>
  <si>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</si>
  <si>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</si>
  <si>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</si>
  <si>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</si>
  <si>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</si>
  <si>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</si>
  <si>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</si>
  <si>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</si>
  <si>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</si>
  <si>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</si>
  <si>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</si>
  <si>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</si>
  <si>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</si>
  <si>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</si>
  <si>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</si>
  <si>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</si>
  <si>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</si>
  <si>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</si>
  <si>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</si>
  <si>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</si>
  <si>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</si>
  <si>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</si>
  <si>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</si>
  <si>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</si>
  <si>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</si>
  <si>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</si>
  <si>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</si>
  <si>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</si>
  <si>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</si>
  <si>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</si>
  <si>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</si>
  <si>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</si>
  <si>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</si>
  <si>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</si>
  <si>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</si>
  <si>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</si>
  <si>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</si>
  <si>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</si>
  <si>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</si>
  <si>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</si>
  <si>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</si>
  <si>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</si>
  <si>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</si>
  <si>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</si>
  <si>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</si>
  <si>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</si>
  <si>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</si>
  <si>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</si>
  <si>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</si>
  <si>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</si>
  <si>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</si>
  <si>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</si>
  <si>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</si>
  <si>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</si>
  <si>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</si>
  <si>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</si>
  <si>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</si>
  <si>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</si>
  <si>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</si>
  <si>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</si>
  <si>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</si>
  <si>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</si>
  <si>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</si>
  <si>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</si>
  <si>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</si>
  <si>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</si>
  <si>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</si>
  <si>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</si>
  <si>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</si>
  <si>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</si>
  <si>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</si>
  <si>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</si>
  <si>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</si>
  <si>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</si>
  <si>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</si>
  <si>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</si>
  <si>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</si>
  <si>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</si>
  <si>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</si>
  <si>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</si>
  <si>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</si>
  <si>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</si>
  <si>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</si>
  <si>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</si>
  <si>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</si>
  <si>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</si>
  <si>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</si>
  <si>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</si>
  <si>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</si>
  <si>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</si>
  <si>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</si>
  <si>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</si>
  <si>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</si>
  <si>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</si>
  <si>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</si>
  <si>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</si>
  <si>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</si>
  <si>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</si>
  <si>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</si>
  <si>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</si>
  <si>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</si>
  <si>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</si>
  <si>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</si>
  <si>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</si>
  <si>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</si>
  <si>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</si>
  <si>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</si>
  <si>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</si>
  <si>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</si>
  <si>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</si>
  <si>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</si>
  <si>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</si>
  <si>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</si>
  <si>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</si>
  <si>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</si>
  <si>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</si>
  <si>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</si>
  <si>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</si>
  <si>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</si>
  <si>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</si>
  <si>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</si>
  <si>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</si>
  <si>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</si>
  <si>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</si>
  <si>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</si>
  <si>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</si>
  <si>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</si>
  <si>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</si>
  <si>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</si>
  <si>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</si>
  <si>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</si>
  <si>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</si>
  <si>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</si>
  <si>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</si>
  <si>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</si>
  <si>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</si>
  <si>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</si>
  <si>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</si>
  <si>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</si>
  <si>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</si>
  <si>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</si>
  <si>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</si>
  <si>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</si>
  <si>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</si>
  <si>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</si>
  <si>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</si>
  <si>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</si>
  <si>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</si>
  <si>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</si>
  <si>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</si>
  <si>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</si>
  <si>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</si>
  <si>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</si>
  <si>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</si>
  <si>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</si>
  <si>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</si>
  <si>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</si>
  <si>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</si>
  <si>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</si>
  <si>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</si>
  <si>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</si>
  <si>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</si>
  <si>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</si>
  <si>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</si>
  <si>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</si>
  <si>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</si>
  <si>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</si>
  <si>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</si>
  <si>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</si>
  <si>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</si>
  <si>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</si>
  <si>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</si>
  <si>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</si>
  <si>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</si>
  <si>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</si>
  <si>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</si>
  <si>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</si>
  <si>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</si>
  <si>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</si>
  <si>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</si>
  <si>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</si>
  <si>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</si>
  <si>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</si>
  <si>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</si>
  <si>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</si>
  <si>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</si>
  <si>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</si>
  <si>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</si>
  <si>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</si>
  <si>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</si>
  <si>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</si>
  <si>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</si>
  <si>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</si>
  <si>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</si>
  <si>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</si>
  <si>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</si>
  <si>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</si>
  <si>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</si>
  <si>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</si>
  <si>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</si>
  <si>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</si>
  <si>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</si>
  <si>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</si>
  <si>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</si>
  <si>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</si>
  <si>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</si>
  <si>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</si>
  <si>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</si>
  <si>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</si>
  <si>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</si>
  <si>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</si>
  <si>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</si>
  <si>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</si>
  <si>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</si>
  <si>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</si>
  <si>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</si>
  <si>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</si>
  <si>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</si>
  <si>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</si>
  <si>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</si>
  <si>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</si>
  <si>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</si>
  <si>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</si>
  <si>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</si>
  <si>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</si>
  <si>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</si>
  <si>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</si>
  <si>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</si>
  <si>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</si>
  <si>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</si>
  <si>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</si>
  <si>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</si>
  <si>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</si>
  <si>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</si>
  <si>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</si>
  <si>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</si>
  <si>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</si>
  <si>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</si>
  <si>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</si>
  <si>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</si>
  <si>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</si>
  <si>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</si>
  <si>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</si>
  <si>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</si>
  <si>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</si>
  <si>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</si>
  <si>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</si>
  <si>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</si>
  <si>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</si>
  <si>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</si>
  <si>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</si>
  <si>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</si>
  <si>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</si>
  <si>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</si>
  <si>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</si>
  <si>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</si>
  <si>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</si>
  <si>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</si>
  <si>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</si>
  <si>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</si>
  <si>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</si>
  <si>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</si>
  <si>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</si>
  <si>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</si>
  <si>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</si>
  <si>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</si>
  <si>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</si>
  <si>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</si>
  <si>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</si>
  <si>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</si>
  <si>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</si>
  <si>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</si>
  <si>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</si>
  <si>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</si>
  <si>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</si>
  <si>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</si>
  <si>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</si>
  <si>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</si>
  <si>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</si>
  <si>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</si>
  <si>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</si>
  <si>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</si>
  <si>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</si>
  <si>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</si>
  <si>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</si>
  <si>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</si>
  <si>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</si>
  <si>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</si>
  <si>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</si>
  <si>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</si>
  <si>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</si>
  <si>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</si>
  <si>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</si>
  <si>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</si>
  <si>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</si>
  <si>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</si>
  <si>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</si>
  <si>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</si>
  <si>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</si>
  <si>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</si>
  <si>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</si>
  <si>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</si>
  <si>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</si>
  <si>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</si>
  <si>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</si>
  <si>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</si>
  <si>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</si>
  <si>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</si>
  <si>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</si>
  <si>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</si>
  <si>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</si>
  <si>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</si>
  <si>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</si>
  <si>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</si>
  <si>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</si>
  <si>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</si>
  <si>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</si>
  <si>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</si>
  <si>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</si>
  <si>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</si>
  <si>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</si>
  <si>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</si>
  <si>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</si>
  <si>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</si>
  <si>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</si>
  <si>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</si>
  <si>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</si>
  <si>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</si>
  <si>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</si>
  <si>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</si>
  <si>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</si>
  <si>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</si>
  <si>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</si>
  <si>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</si>
  <si>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</si>
  <si>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</si>
  <si>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</si>
  <si>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</si>
  <si>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</si>
  <si>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</si>
  <si>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</si>
  <si>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</si>
  <si>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</si>
  <si>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</si>
  <si>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</si>
  <si>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</si>
  <si>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</si>
  <si>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</si>
  <si>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</si>
  <si>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</si>
  <si>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</si>
  <si>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</si>
  <si>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</si>
  <si>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</si>
  <si>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</si>
  <si>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</si>
  <si>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</si>
  <si>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</si>
  <si>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</si>
  <si>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</si>
  <si>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</si>
  <si>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</si>
  <si>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</si>
  <si>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</si>
  <si>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</si>
  <si>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</si>
  <si>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</si>
  <si>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</si>
  <si>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</si>
  <si>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</si>
  <si>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</si>
  <si>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</si>
  <si>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</si>
  <si>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</si>
  <si>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</si>
  <si>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</si>
  <si>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</si>
  <si>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</si>
  <si>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</si>
  <si>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</si>
  <si>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</si>
  <si>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</si>
  <si>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</si>
  <si>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</si>
  <si>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</si>
  <si>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</si>
  <si>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</si>
  <si>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</si>
  <si>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</si>
  <si>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</si>
  <si>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</si>
  <si>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</si>
  <si>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</si>
  <si>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</si>
  <si>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</si>
  <si>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</si>
  <si>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</si>
  <si>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</si>
  <si>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</si>
  <si>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</si>
  <si>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</si>
  <si>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</si>
  <si>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</si>
  <si>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</si>
  <si>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</si>
  <si>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</si>
  <si>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</si>
  <si>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</si>
  <si>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</si>
  <si>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</si>
  <si>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</si>
  <si>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</si>
  <si>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</si>
  <si>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</si>
  <si>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</si>
  <si>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</si>
  <si>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</si>
  <si>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</si>
  <si>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</si>
  <si>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</si>
  <si>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</si>
  <si>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</si>
  <si>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</si>
  <si>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</si>
  <si>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</si>
  <si>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</si>
  <si>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</si>
  <si>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</si>
  <si>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</si>
  <si>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</si>
  <si>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</si>
  <si>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</si>
  <si>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</si>
  <si>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</si>
  <si>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</si>
  <si>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</si>
  <si>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</si>
  <si>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</si>
  <si>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</si>
  <si>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</si>
  <si>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</si>
  <si>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</si>
  <si>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</si>
  <si>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</si>
  <si>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</si>
  <si>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</si>
  <si>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</si>
  <si>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</si>
  <si>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</si>
  <si>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</si>
  <si>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</si>
  <si>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</si>
  <si>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</si>
  <si>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</si>
  <si>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</si>
  <si>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</si>
  <si>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</si>
  <si>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</si>
  <si>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</si>
  <si>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</si>
  <si>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</si>
  <si>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</si>
  <si>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</si>
  <si>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</si>
  <si>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</si>
  <si>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</si>
  <si>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</si>
  <si>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</si>
  <si>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</si>
  <si>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</si>
  <si>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</si>
  <si>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</si>
  <si>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</si>
  <si>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</si>
  <si>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</si>
  <si>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</si>
  <si>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</si>
  <si>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</si>
  <si>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</si>
  <si>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</si>
  <si>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</si>
  <si>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</si>
  <si>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</si>
  <si>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</si>
  <si>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</si>
  <si>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</si>
  <si>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</si>
  <si>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</si>
  <si>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</si>
  <si>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</si>
  <si>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</si>
  <si>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</si>
  <si>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</si>
  <si>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</si>
  <si>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</si>
  <si>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</si>
  <si>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</si>
  <si>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</si>
  <si>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</si>
  <si>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</si>
  <si>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</si>
  <si>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</si>
  <si>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</si>
  <si>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</si>
  <si>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</si>
  <si>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</si>
  <si>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</si>
  <si>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</si>
  <si>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</si>
  <si>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</si>
  <si>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</si>
  <si>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</si>
  <si>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</si>
  <si>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</si>
  <si>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</si>
  <si>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</si>
  <si>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</si>
  <si>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</si>
  <si>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</si>
  <si>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</si>
  <si>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</si>
  <si>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</si>
  <si>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</si>
  <si>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</si>
  <si>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</si>
  <si>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</si>
  <si>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</si>
  <si>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</si>
  <si>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</si>
  <si>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</si>
  <si>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</si>
  <si>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</si>
  <si>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</si>
  <si>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</si>
  <si>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</si>
  <si>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</si>
  <si>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</si>
  <si>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</si>
  <si>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</si>
  <si>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</si>
  <si>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</si>
  <si>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</si>
  <si>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</si>
  <si>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</si>
  <si>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</si>
  <si>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</si>
  <si>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</si>
  <si>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</si>
  <si>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</si>
  <si>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</si>
  <si>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</si>
  <si>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</si>
  <si>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</si>
  <si>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</si>
  <si>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</si>
  <si>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</si>
  <si>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</si>
  <si>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</si>
  <si>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</si>
  <si>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</si>
  <si>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</si>
  <si>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</si>
  <si>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</si>
  <si>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</si>
  <si>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</si>
  <si>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</si>
  <si>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</si>
  <si>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</si>
  <si>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</si>
  <si>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</si>
  <si>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</si>
  <si>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</si>
  <si>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</si>
  <si>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</si>
  <si>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</si>
  <si>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</si>
  <si>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</si>
  <si>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</si>
  <si>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</si>
  <si>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</si>
  <si>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</si>
  <si>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</si>
  <si>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</si>
  <si>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</si>
  <si>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</si>
  <si>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</si>
  <si>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</si>
  <si>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</si>
  <si>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</si>
  <si>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</si>
  <si>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</si>
  <si>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</si>
  <si>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</si>
  <si>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</si>
  <si>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</si>
  <si>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</si>
  <si>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</si>
  <si>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</si>
  <si>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</si>
  <si>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</si>
  <si>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</si>
  <si>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</si>
  <si>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</si>
  <si>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</si>
  <si>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</si>
  <si>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</si>
  <si>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</si>
  <si>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</si>
  <si>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</si>
  <si>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</si>
  <si>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</si>
  <si>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</si>
  <si>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</si>
  <si>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</si>
  <si>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</si>
  <si>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</si>
  <si>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</si>
  <si>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</si>
  <si>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</si>
  <si>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</si>
  <si>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</si>
  <si>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</si>
  <si>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</si>
  <si>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</si>
  <si>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</si>
  <si>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</si>
  <si>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</si>
  <si>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</si>
  <si>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</si>
  <si>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</si>
  <si>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</si>
  <si>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</si>
  <si>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</si>
  <si>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</si>
  <si>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</si>
  <si>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</si>
  <si>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</si>
  <si>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</si>
  <si>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</si>
  <si>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</si>
  <si>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</si>
  <si>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</si>
  <si>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</si>
  <si>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</si>
  <si>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</si>
  <si>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</si>
  <si>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</si>
  <si>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</si>
  <si>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</si>
  <si>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</si>
  <si>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</si>
  <si>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</si>
  <si>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</si>
  <si>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</si>
  <si>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</si>
  <si>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</si>
  <si>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</si>
  <si>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</si>
  <si>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</si>
  <si>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</si>
  <si>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</si>
  <si>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</si>
  <si>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</si>
  <si>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</si>
  <si>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</si>
  <si>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</si>
  <si>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</si>
  <si>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</si>
  <si>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</si>
  <si>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</si>
  <si>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</si>
  <si>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</si>
  <si>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</si>
  <si>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</si>
  <si>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</si>
  <si>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</si>
  <si>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</si>
  <si>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</si>
  <si>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</si>
  <si>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</si>
  <si>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</si>
  <si>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</si>
  <si>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</si>
  <si>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</si>
  <si>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</si>
  <si>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</si>
  <si>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</si>
  <si>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</si>
  <si>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</si>
  <si>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</si>
  <si>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</si>
  <si>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</si>
  <si>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</si>
  <si>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</si>
  <si>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</si>
  <si>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</si>
  <si>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</si>
  <si>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</si>
  <si>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</si>
  <si>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</si>
  <si>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</si>
  <si>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</si>
  <si>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</si>
  <si>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</si>
  <si>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</si>
  <si>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</si>
  <si>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</si>
  <si>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</si>
  <si>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</si>
  <si>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</si>
  <si>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</si>
  <si>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</si>
  <si>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</si>
  <si>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</si>
  <si>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</si>
  <si>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</si>
  <si>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</si>
  <si>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</si>
  <si>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</si>
  <si>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</si>
  <si>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</si>
  <si>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</si>
  <si>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</si>
  <si>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</si>
  <si>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</si>
  <si>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</si>
  <si>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</si>
  <si>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</si>
  <si>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</si>
  <si>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</si>
  <si>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</si>
  <si>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</si>
  <si>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</si>
  <si>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</si>
  <si>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</si>
  <si>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</si>
  <si>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</si>
  <si>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</si>
  <si>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</si>
  <si>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</si>
  <si>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</si>
  <si>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</si>
  <si>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</si>
  <si>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</si>
  <si>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</si>
  <si>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</si>
  <si>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</si>
  <si>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</si>
  <si>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</si>
  <si>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</si>
  <si>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</si>
  <si>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</si>
  <si>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</si>
  <si>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</si>
  <si>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</si>
  <si>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</si>
  <si>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</si>
  <si>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</si>
  <si>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</si>
  <si>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</si>
  <si>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</si>
  <si>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</si>
  <si>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</si>
  <si>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</si>
  <si>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</si>
  <si>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</si>
  <si>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</si>
  <si>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</si>
  <si>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</si>
  <si>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</si>
  <si>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</si>
  <si>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</si>
  <si>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</si>
  <si>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</si>
  <si>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</si>
  <si>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</si>
  <si>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</si>
  <si>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</si>
  <si>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</si>
  <si>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</si>
  <si>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</si>
  <si>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</si>
  <si>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</si>
  <si>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</si>
  <si>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</si>
  <si>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</si>
  <si>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</si>
  <si>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</si>
  <si>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</si>
  <si>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</si>
  <si>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</si>
  <si>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</si>
  <si>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</si>
  <si>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</si>
  <si>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</si>
  <si>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</si>
  <si>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</si>
  <si>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</si>
  <si>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</si>
  <si>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</si>
  <si>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</si>
  <si>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</si>
  <si>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</si>
  <si>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</si>
  <si>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</si>
  <si>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</si>
  <si>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</si>
  <si>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</si>
  <si>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</si>
  <si>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</si>
  <si>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</si>
  <si>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</si>
  <si>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</si>
  <si>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</si>
  <si>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</si>
  <si>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</si>
  <si>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</si>
  <si>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</si>
  <si>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</si>
  <si>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</si>
  <si>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</si>
  <si>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</si>
  <si>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</si>
  <si>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</si>
  <si>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</si>
  <si>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</si>
  <si>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</si>
  <si>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</si>
  <si>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</si>
  <si>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</si>
  <si>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</si>
  <si>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</si>
  <si>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</si>
  <si>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</si>
  <si>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</si>
  <si>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</si>
  <si>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</si>
  <si>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</si>
  <si>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</si>
  <si>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</si>
  <si>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</si>
  <si>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</si>
  <si>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</si>
  <si>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</si>
  <si>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</si>
  <si>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</si>
  <si>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</si>
  <si>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</si>
  <si>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</si>
  <si>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</si>
  <si>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</si>
  <si>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</si>
  <si>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</si>
  <si>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</si>
  <si>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</si>
  <si>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</si>
  <si>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</si>
  <si>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</si>
  <si>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</si>
  <si>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</si>
  <si>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</si>
  <si>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</si>
  <si>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</si>
  <si>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</si>
  <si>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</si>
  <si>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</si>
  <si>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</si>
  <si>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</si>
  <si>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</si>
  <si>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</si>
  <si>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</si>
  <si>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</si>
  <si>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</si>
  <si>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</si>
  <si>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</si>
  <si>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</si>
  <si>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</si>
  <si>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</si>
  <si>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</si>
  <si>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</si>
  <si>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</si>
  <si>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</si>
  <si>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</si>
  <si>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</si>
  <si>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</si>
  <si>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</si>
  <si>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</si>
  <si>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</si>
  <si>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</si>
  <si>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</si>
  <si>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</si>
  <si>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</si>
  <si>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</si>
  <si>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</si>
  <si>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</si>
  <si>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</si>
  <si>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</si>
  <si>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</si>
  <si>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</si>
  <si>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</si>
  <si>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</si>
  <si>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</si>
  <si>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</si>
  <si>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</si>
  <si>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</si>
  <si>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</si>
  <si>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</si>
  <si>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</si>
  <si>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</si>
  <si>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</si>
  <si>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</si>
  <si>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</si>
  <si>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</si>
  <si>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</si>
  <si>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</si>
  <si>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</si>
  <si>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</si>
  <si>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</si>
  <si>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</si>
  <si>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</si>
  <si>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</si>
  <si>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</si>
  <si>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</si>
  <si>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</si>
  <si>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</si>
  <si>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</si>
  <si>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</si>
  <si>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</si>
  <si>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</si>
  <si>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</si>
  <si>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</si>
  <si>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</si>
  <si>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</si>
  <si>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</si>
  <si>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</si>
  <si>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</si>
  <si>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</si>
  <si>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</si>
  <si>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</si>
  <si>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</si>
  <si>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</si>
  <si>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</si>
  <si>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</si>
  <si>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</si>
  <si>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</si>
  <si>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</si>
  <si>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</si>
  <si>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</si>
  <si>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</si>
  <si>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</si>
  <si>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</si>
  <si>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</si>
  <si>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</si>
  <si>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</si>
  <si>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</si>
  <si>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</si>
  <si>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</si>
  <si>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</si>
  <si>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</si>
  <si>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</si>
  <si>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</si>
  <si>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</si>
  <si>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</si>
  <si>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</si>
  <si>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</si>
  <si>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</si>
  <si>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</si>
  <si>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</si>
  <si>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</si>
  <si>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</si>
  <si>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</si>
  <si>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</si>
  <si>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</si>
  <si>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</si>
  <si>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</si>
  <si>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</si>
  <si>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</si>
  <si>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</si>
  <si>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</si>
  <si>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</si>
  <si>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</si>
  <si>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</si>
  <si>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</si>
  <si>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</si>
  <si>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</si>
  <si>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</si>
  <si>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</si>
  <si>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</si>
  <si>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</si>
  <si>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</si>
  <si>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</si>
  <si>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</si>
  <si>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</si>
  <si>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</si>
  <si>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</si>
  <si>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</si>
  <si>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</si>
  <si>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</si>
  <si>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</si>
  <si>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</si>
  <si>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</si>
  <si>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</si>
  <si>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</si>
  <si>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</si>
  <si>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</si>
  <si>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</si>
  <si>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</si>
  <si>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</si>
  <si>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</si>
  <si>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</si>
  <si>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</si>
  <si>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</si>
  <si>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</si>
  <si>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</si>
  <si>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</si>
  <si>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</si>
  <si>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</si>
  <si>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</si>
  <si>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</si>
  <si>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</si>
  <si>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</si>
  <si>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</si>
  <si>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</si>
  <si>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</si>
  <si>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</si>
  <si>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</si>
  <si>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</si>
  <si>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</si>
  <si>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</si>
  <si>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</si>
  <si>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</si>
  <si>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</si>
  <si>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</si>
  <si>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</si>
  <si>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</si>
  <si>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</si>
  <si>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</si>
  <si>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</si>
  <si>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</si>
  <si>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</si>
  <si>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</si>
  <si>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</si>
  <si>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</si>
  <si>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</si>
  <si>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</si>
  <si>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</si>
  <si>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</si>
  <si>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</si>
  <si>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</si>
  <si>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</si>
  <si>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</si>
  <si>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</si>
  <si>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</si>
  <si>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</si>
  <si>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</si>
  <si>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</si>
  <si>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</si>
  <si>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</si>
  <si>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</si>
  <si>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</si>
  <si>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</si>
  <si>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</si>
  <si>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</si>
  <si>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</si>
  <si>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</si>
  <si>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</si>
  <si>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</si>
  <si>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</si>
  <si>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</si>
  <si>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</si>
  <si>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</si>
  <si>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</si>
  <si>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</si>
  <si>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</si>
  <si>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</si>
  <si>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</si>
  <si>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</si>
  <si>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</si>
  <si>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</si>
  <si>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</si>
  <si>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</si>
  <si>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</si>
  <si>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</si>
  <si>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</si>
  <si>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</si>
  <si>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</si>
  <si>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</si>
  <si>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</si>
  <si>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</si>
  <si>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</si>
  <si>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</si>
  <si>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</si>
  <si>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</si>
  <si>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</si>
  <si>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</si>
  <si>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</si>
  <si>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</si>
  <si>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</si>
  <si>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</si>
  <si>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</si>
  <si>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</si>
  <si>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</si>
  <si>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</si>
  <si>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</si>
  <si>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</si>
  <si>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</si>
  <si>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</si>
  <si>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</si>
  <si>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</si>
  <si>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</si>
  <si>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</si>
  <si>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</si>
  <si>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</si>
  <si>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</si>
  <si>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</si>
  <si>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</si>
  <si>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</si>
  <si>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</si>
  <si>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</si>
  <si>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</si>
  <si>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</si>
  <si>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</si>
  <si>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</si>
  <si>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</si>
  <si>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</si>
  <si>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</si>
  <si>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</si>
  <si>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</si>
  <si>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</si>
  <si>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</si>
  <si>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</si>
  <si>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</si>
  <si>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</si>
  <si>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</si>
  <si>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</si>
  <si>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</si>
  <si>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</si>
  <si>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</si>
  <si>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</si>
  <si>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</si>
  <si>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</si>
  <si>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</si>
  <si>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</si>
  <si>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</si>
  <si>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</si>
  <si>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</si>
  <si>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</si>
  <si>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</si>
  <si>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</si>
  <si>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</si>
  <si>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</si>
  <si>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</si>
  <si>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</si>
  <si>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</si>
  <si>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</si>
  <si>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</si>
  <si>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</si>
  <si>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</si>
  <si>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</si>
  <si>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</si>
  <si>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</si>
  <si>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</si>
  <si>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</si>
  <si>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</si>
  <si>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</si>
  <si>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</si>
  <si>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</si>
  <si>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</si>
  <si>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</si>
  <si>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</si>
  <si>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</si>
  <si>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</si>
  <si>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</si>
  <si>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</si>
  <si>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</si>
  <si>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</si>
  <si>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</si>
  <si>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</si>
  <si>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</si>
  <si>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</si>
  <si>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</si>
  <si>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</si>
  <si>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</si>
  <si>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</si>
  <si>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</si>
  <si>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</si>
  <si>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</si>
  <si>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</si>
  <si>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</si>
  <si>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</si>
  <si>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</si>
  <si>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</si>
  <si>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</si>
  <si>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</si>
  <si>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</si>
  <si>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</si>
  <si>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</si>
  <si>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</si>
  <si>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</si>
  <si>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</si>
  <si>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</si>
  <si>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</si>
  <si>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</si>
  <si>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</si>
  <si>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</si>
  <si>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</si>
  <si>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</si>
  <si>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</si>
  <si>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</si>
  <si>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</si>
  <si>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</si>
  <si>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</si>
  <si>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</si>
  <si>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</si>
  <si>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</si>
  <si>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</si>
  <si>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</si>
  <si>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</si>
  <si>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</si>
  <si>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</si>
  <si>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</si>
  <si>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</si>
  <si>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</si>
  <si>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</si>
  <si>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</si>
  <si>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</si>
  <si>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</si>
  <si>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</si>
  <si>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</si>
  <si>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</si>
  <si>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</si>
  <si>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</si>
  <si>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</si>
  <si>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</si>
  <si>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</si>
  <si>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</si>
  <si>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</si>
  <si>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</si>
  <si>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</si>
  <si>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</si>
  <si>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</si>
  <si>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</si>
  <si>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</si>
  <si>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</si>
  <si>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</si>
  <si>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</si>
  <si>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</si>
  <si>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</si>
  <si>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</si>
  <si>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</si>
  <si>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</si>
  <si>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</si>
  <si>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</si>
  <si>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</si>
  <si>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</si>
  <si>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</si>
  <si>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</si>
  <si>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</si>
  <si>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</si>
  <si>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</si>
  <si>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</si>
  <si>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</si>
  <si>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</si>
  <si>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</si>
  <si>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</si>
  <si>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</si>
  <si>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</si>
  <si>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</si>
  <si>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</si>
  <si>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</si>
  <si>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</si>
  <si>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</si>
  <si>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</si>
  <si>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</si>
  <si>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</si>
  <si>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</si>
  <si>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</si>
  <si>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</si>
  <si>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</si>
  <si>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</si>
  <si>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</si>
  <si>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</si>
  <si>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</si>
  <si>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</si>
  <si>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</si>
  <si>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</si>
  <si>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</si>
  <si>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</si>
  <si>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</si>
  <si>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</si>
  <si>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</si>
  <si>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</si>
  <si>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</si>
  <si>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</si>
  <si>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</si>
  <si>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</si>
  <si>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</si>
  <si>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</si>
  <si>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</si>
  <si>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</si>
  <si>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</si>
  <si>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</si>
  <si>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</si>
  <si>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</si>
  <si>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</si>
  <si>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</si>
  <si>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</si>
  <si>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</si>
  <si>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</si>
  <si>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</si>
  <si>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</si>
  <si>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</si>
  <si>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</si>
  <si>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</si>
  <si>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</si>
  <si>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</si>
  <si>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</si>
  <si>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</si>
  <si>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</si>
  <si>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</si>
  <si>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</si>
  <si>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</si>
  <si>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</si>
  <si>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</si>
  <si>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</si>
  <si>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</si>
  <si>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</si>
  <si>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</si>
  <si>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</si>
  <si>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</si>
  <si>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</si>
  <si>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</si>
  <si>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</si>
  <si>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</si>
  <si>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</si>
  <si>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</si>
  <si>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</si>
  <si>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</si>
  <si>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</si>
  <si>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</si>
  <si>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</si>
  <si>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</si>
  <si>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</si>
  <si>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</si>
  <si>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</si>
  <si>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</si>
  <si>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</si>
  <si>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</si>
  <si>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</si>
  <si>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</si>
  <si>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</si>
  <si>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</si>
  <si>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</si>
  <si>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</si>
  <si>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</si>
  <si>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</si>
  <si>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</si>
  <si>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</si>
  <si>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</si>
  <si>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</si>
  <si>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</si>
  <si>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</si>
  <si>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</si>
  <si>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</si>
  <si>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</si>
  <si>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</si>
  <si>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</si>
  <si>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</si>
  <si>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</si>
  <si>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</si>
  <si>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</si>
  <si>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</si>
  <si>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</si>
  <si>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</si>
  <si>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</si>
  <si>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</si>
  <si>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</si>
  <si>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</si>
  <si>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</si>
  <si>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</si>
  <si>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</si>
  <si>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</si>
  <si>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</si>
  <si>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</si>
  <si>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</si>
  <si>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</si>
  <si>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</si>
  <si>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</si>
  <si>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</si>
  <si>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</si>
  <si>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</si>
  <si>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</si>
  <si>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</si>
  <si>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</si>
  <si>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</si>
  <si>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</si>
  <si>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</si>
  <si>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</si>
  <si>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</si>
  <si>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</si>
  <si>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</si>
  <si>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</si>
  <si>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</si>
  <si>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</si>
  <si>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</si>
  <si>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</si>
  <si>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</si>
  <si>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</si>
  <si>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</si>
  <si>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</si>
  <si>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</si>
  <si>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</si>
  <si>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</si>
  <si>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</si>
  <si>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</si>
  <si>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</si>
  <si>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</si>
  <si>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</si>
  <si>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</si>
  <si>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</si>
  <si>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</si>
  <si>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</si>
  <si>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</si>
  <si>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</si>
  <si>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</si>
  <si>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</si>
  <si>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</si>
  <si>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</si>
  <si>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</si>
  <si>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</si>
  <si>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</si>
  <si>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</si>
  <si>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</si>
  <si>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</si>
  <si>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</si>
  <si>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</si>
  <si>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</si>
  <si>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</si>
  <si>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</si>
  <si>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</si>
  <si>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</si>
  <si>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</si>
  <si>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</si>
  <si>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</si>
  <si>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</si>
  <si>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</si>
  <si>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</si>
  <si>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</si>
  <si>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</si>
  <si>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</si>
  <si>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</si>
  <si>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</si>
  <si>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</si>
  <si>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</si>
  <si>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</si>
  <si>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</si>
  <si>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</si>
  <si>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</si>
  <si>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</si>
  <si>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</si>
  <si>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</si>
  <si>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</si>
  <si>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</si>
  <si>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</si>
  <si>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</si>
  <si>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</si>
  <si>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</si>
  <si>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</si>
  <si>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</si>
  <si>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</si>
  <si>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</si>
  <si>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</si>
  <si>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</si>
  <si>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</si>
  <si>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</si>
  <si>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</si>
  <si>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</si>
  <si>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</si>
  <si>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</si>
  <si>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</si>
  <si>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</si>
  <si>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</si>
  <si>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</si>
  <si>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</si>
  <si>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</si>
  <si>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</si>
  <si>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</si>
  <si>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</si>
  <si>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</si>
  <si>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</si>
  <si>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</si>
  <si>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</si>
  <si>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</si>
  <si>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</si>
  <si>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</si>
  <si>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</si>
  <si>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</si>
  <si>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</si>
  <si>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</si>
  <si>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</si>
  <si>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</si>
  <si>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</si>
  <si>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</si>
  <si>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</si>
  <si>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</si>
  <si>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</si>
  <si>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</si>
  <si>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</si>
  <si>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</si>
  <si>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</si>
  <si>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</si>
  <si>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</si>
  <si>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</si>
  <si>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</si>
  <si>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</si>
  <si>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</si>
  <si>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</si>
  <si>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</si>
  <si>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</si>
  <si>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</si>
  <si>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</si>
  <si>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</si>
  <si>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</si>
  <si>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</si>
  <si>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</si>
  <si>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</si>
  <si>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</si>
  <si>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</si>
  <si>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</si>
  <si>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</si>
  <si>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</si>
  <si>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</si>
  <si>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</si>
  <si>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</si>
  <si>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</si>
  <si>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</si>
  <si>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</si>
  <si>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</si>
  <si>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</si>
  <si>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</si>
  <si>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</si>
  <si>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</si>
  <si>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</si>
  <si>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</si>
  <si>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</si>
  <si>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</si>
  <si>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</si>
  <si>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</si>
  <si>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</si>
  <si>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</si>
  <si>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</si>
  <si>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</si>
  <si>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</si>
  <si>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</si>
  <si>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</si>
  <si>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</si>
  <si>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</si>
  <si>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</si>
  <si>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</si>
  <si>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</si>
  <si>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</si>
  <si>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</si>
  <si>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</si>
  <si>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</si>
  <si>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</si>
  <si>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</si>
  <si>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</si>
  <si>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</si>
  <si>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</si>
  <si>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</si>
  <si>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</si>
  <si>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</si>
  <si>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</si>
  <si>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</si>
  <si>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</si>
  <si>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</si>
  <si>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</si>
  <si>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</si>
  <si>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</si>
  <si>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</si>
  <si>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</si>
  <si>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</si>
  <si>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</si>
  <si>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</si>
  <si>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</si>
  <si>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</si>
  <si>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</si>
  <si>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</si>
  <si>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</si>
  <si>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</si>
  <si>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</si>
  <si>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</si>
  <si>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</si>
  <si>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</si>
  <si>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</si>
  <si>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</si>
  <si>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</si>
  <si>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</si>
  <si>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</si>
  <si>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</si>
  <si>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</si>
  <si>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</si>
  <si>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</si>
  <si>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</si>
  <si>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</si>
  <si>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</si>
  <si>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</si>
  <si>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</si>
  <si>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</si>
  <si>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</si>
  <si>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</si>
  <si>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</si>
  <si>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</si>
  <si>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</si>
  <si>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</si>
  <si>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</si>
  <si>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</si>
  <si>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</si>
  <si>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</si>
  <si>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</si>
  <si>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</si>
  <si>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</si>
  <si>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</si>
  <si>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</si>
  <si>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</si>
  <si>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</si>
  <si>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</si>
  <si>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</si>
  <si>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</si>
  <si>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</si>
  <si>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</si>
  <si>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</si>
  <si>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</si>
  <si>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</si>
  <si>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</si>
  <si>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</si>
  <si>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</si>
  <si>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</si>
  <si>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</si>
  <si>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</si>
  <si>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</si>
  <si>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</si>
  <si>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</si>
  <si>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</si>
  <si>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</si>
  <si>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</si>
  <si>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</si>
  <si>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</si>
  <si>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</si>
  <si>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</si>
  <si>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</si>
  <si>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</si>
  <si>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</si>
  <si>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</si>
  <si>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</si>
  <si>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</si>
  <si>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</si>
  <si>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</si>
  <si>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</si>
  <si>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</si>
  <si>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</si>
  <si>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</si>
  <si>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</si>
  <si>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</si>
  <si>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</si>
  <si>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</si>
  <si>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</si>
  <si>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</si>
  <si>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</si>
  <si>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</si>
  <si>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</si>
  <si>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</si>
  <si>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</si>
  <si>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</si>
  <si>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</si>
  <si>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</si>
  <si>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</si>
  <si>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</si>
  <si>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</si>
  <si>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</si>
  <si>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</si>
  <si>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</si>
  <si>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</si>
  <si>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</si>
  <si>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</si>
  <si>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</si>
  <si>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</si>
  <si>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</si>
  <si>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</si>
  <si>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</si>
  <si>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</si>
  <si>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</si>
  <si>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</si>
  <si>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</si>
  <si>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</si>
  <si>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</si>
  <si>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</si>
  <si>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</si>
  <si>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</si>
  <si>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</si>
  <si>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</si>
  <si>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</si>
  <si>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</si>
  <si>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</si>
  <si>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</si>
  <si>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</si>
  <si>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</si>
  <si>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</si>
  <si>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</si>
  <si>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</si>
  <si>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</si>
  <si>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</si>
  <si>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</si>
  <si>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</si>
  <si>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</si>
  <si>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</si>
  <si>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</si>
  <si>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</si>
  <si>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</si>
  <si>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</si>
  <si>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</si>
  <si>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</si>
  <si>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</si>
  <si>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</si>
  <si>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</si>
  <si>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</si>
  <si>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</si>
  <si>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</si>
  <si>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</si>
  <si>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</si>
  <si>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</si>
  <si>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</si>
  <si>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</si>
  <si>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</si>
  <si>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</si>
  <si>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</si>
  <si>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</si>
  <si>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</si>
  <si>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</si>
  <si>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</si>
  <si>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</si>
  <si>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</si>
  <si>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</si>
  <si>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</si>
  <si>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</si>
  <si>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</si>
  <si>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</si>
  <si>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</si>
  <si>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</si>
  <si>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</si>
  <si>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</si>
  <si>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</si>
  <si>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</si>
  <si>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</si>
  <si>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</si>
  <si>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</si>
  <si>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</si>
  <si>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</si>
  <si>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</si>
  <si>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</si>
  <si>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</si>
  <si>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</si>
  <si>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</si>
  <si>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</si>
  <si>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</si>
  <si>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</si>
  <si>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</si>
  <si>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</si>
  <si>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</si>
  <si>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</si>
  <si>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</si>
  <si>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</si>
  <si>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</si>
  <si>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</si>
  <si>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</si>
  <si>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</si>
  <si>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</si>
  <si>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</si>
  <si>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</si>
  <si>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</si>
  <si>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</si>
  <si>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</si>
  <si>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</si>
  <si>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</si>
  <si>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</si>
  <si>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</si>
  <si>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</si>
  <si>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</si>
  <si>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</si>
  <si>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</si>
  <si>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</si>
  <si>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</si>
  <si>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</si>
  <si>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</si>
  <si>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</si>
  <si>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</si>
  <si>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</si>
  <si>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</si>
  <si>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</si>
  <si>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</si>
  <si>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</si>
  <si>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</si>
  <si>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</si>
  <si>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</si>
  <si>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</si>
  <si>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</si>
  <si>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</si>
  <si>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</si>
  <si>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</si>
  <si>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</si>
  <si>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</si>
  <si>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</si>
  <si>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</si>
  <si>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</si>
  <si>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</si>
  <si>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</si>
  <si>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</si>
  <si>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</si>
  <si>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</si>
  <si>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</si>
  <si>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</si>
  <si>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</si>
  <si>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</si>
  <si>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</si>
  <si>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</si>
  <si>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</si>
  <si>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</si>
  <si>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</si>
  <si>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</si>
  <si>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</si>
  <si>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</si>
  <si>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</si>
  <si>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</si>
  <si>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</si>
  <si>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</si>
  <si>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</si>
  <si>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</si>
  <si>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</si>
  <si>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</si>
  <si>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</si>
  <si>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</si>
  <si>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</si>
  <si>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</si>
  <si>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</si>
  <si>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</si>
  <si>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</si>
  <si>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</si>
  <si>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</si>
  <si>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</si>
  <si>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</si>
  <si>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</si>
  <si>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</si>
  <si>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</si>
  <si>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</si>
  <si>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</si>
  <si>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</si>
  <si>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</si>
  <si>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</si>
  <si>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</si>
  <si>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</si>
  <si>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</si>
  <si>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</si>
  <si>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</si>
  <si>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</si>
  <si>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</si>
  <si>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</si>
  <si>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</si>
  <si>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</si>
  <si>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</si>
  <si>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</si>
  <si>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</si>
  <si>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</si>
  <si>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</si>
  <si>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</si>
  <si>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</si>
  <si>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</si>
  <si>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</si>
  <si>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</si>
  <si>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</si>
  <si>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</si>
  <si>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</si>
  <si>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</si>
  <si>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</si>
  <si>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</si>
  <si>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</si>
  <si>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</si>
  <si>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</si>
  <si>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</si>
  <si>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</si>
  <si>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</si>
  <si>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</si>
  <si>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</si>
  <si>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</si>
  <si>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</si>
  <si>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</si>
  <si>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</si>
  <si>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</si>
  <si>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</si>
  <si>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</si>
  <si>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</si>
  <si>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</si>
  <si>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</si>
  <si>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</si>
  <si>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</si>
  <si>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</si>
  <si>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</si>
  <si>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</si>
  <si>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</si>
  <si>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</si>
  <si>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</si>
  <si>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</si>
  <si>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</si>
  <si>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</si>
  <si>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</si>
  <si>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</si>
  <si>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</si>
  <si>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</si>
  <si>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</si>
  <si>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</si>
  <si>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</si>
  <si>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</si>
  <si>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</si>
  <si>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</si>
  <si>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</si>
  <si>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</si>
  <si>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</si>
  <si>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</si>
  <si>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</si>
  <si>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</si>
  <si>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</si>
  <si>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</si>
  <si>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</si>
  <si>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</si>
  <si>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</si>
  <si>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</si>
  <si>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</si>
  <si>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</si>
  <si>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</si>
  <si>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</si>
  <si>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</si>
  <si>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</si>
  <si>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</si>
  <si>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</si>
  <si>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</si>
  <si>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</si>
  <si>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</si>
  <si>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</si>
  <si>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</si>
  <si>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</si>
  <si>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</si>
  <si>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</si>
  <si>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</si>
  <si>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</si>
  <si>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</si>
  <si>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</si>
  <si>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</si>
  <si>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</si>
  <si>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</si>
  <si>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</si>
  <si>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</si>
  <si>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</si>
  <si>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</si>
  <si>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</si>
  <si>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</si>
  <si>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</si>
  <si>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</si>
  <si>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</si>
  <si>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</si>
  <si>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</si>
  <si>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</si>
  <si>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</si>
  <si>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</si>
  <si>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</si>
  <si>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</si>
  <si>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</si>
  <si>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</si>
  <si>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</si>
  <si>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</si>
  <si>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</si>
  <si>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</si>
  <si>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</si>
  <si>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</si>
  <si>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</si>
  <si>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</si>
  <si>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</si>
  <si>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</si>
  <si>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</si>
  <si>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</si>
  <si>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</si>
  <si>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</si>
  <si>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</si>
  <si>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</si>
  <si>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</si>
  <si>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</si>
  <si>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</si>
  <si>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</si>
  <si>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</si>
  <si>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</si>
  <si>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</si>
  <si>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</si>
  <si>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</si>
  <si>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</si>
  <si>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</si>
  <si>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</si>
  <si>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</si>
  <si>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</si>
  <si>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</si>
  <si>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</si>
  <si>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</si>
  <si>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</si>
  <si>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</si>
  <si>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</si>
  <si>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</si>
  <si>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</si>
  <si>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</si>
  <si>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</si>
  <si>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</si>
  <si>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</si>
  <si>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</si>
  <si>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</si>
  <si>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</si>
  <si>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</si>
  <si>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</si>
  <si>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</si>
  <si>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</si>
  <si>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</si>
  <si>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</si>
  <si>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</si>
  <si>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</si>
  <si>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</si>
  <si>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</si>
  <si>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</si>
  <si>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</si>
  <si>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</si>
  <si>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</si>
  <si>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</si>
  <si>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</si>
  <si>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</si>
  <si>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</si>
  <si>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</si>
  <si>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</si>
  <si>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</si>
  <si>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</si>
  <si>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</si>
  <si>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</si>
  <si>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</si>
  <si>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</si>
  <si>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</si>
  <si>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</si>
  <si>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</si>
  <si>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</si>
  <si>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</si>
  <si>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</si>
  <si>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</si>
  <si>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</si>
  <si>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</si>
  <si>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</si>
  <si>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</si>
  <si>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</si>
  <si>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</si>
  <si>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</si>
  <si>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</si>
  <si>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</si>
  <si>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</si>
  <si>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</si>
  <si>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</si>
  <si>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</si>
  <si>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</si>
  <si>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</si>
  <si>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</si>
  <si>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</si>
  <si>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</si>
  <si>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</si>
  <si>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</si>
  <si>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</si>
  <si>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</si>
  <si>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</si>
  <si>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</si>
  <si>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</si>
  <si>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</si>
  <si>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</si>
  <si>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</si>
  <si>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</si>
  <si>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</si>
  <si>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</si>
  <si>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</si>
  <si>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</si>
  <si>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</si>
  <si>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</si>
  <si>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</si>
  <si>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</si>
  <si>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</si>
  <si>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</si>
  <si>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</si>
  <si>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</si>
  <si>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</si>
  <si>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</si>
  <si>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</si>
  <si>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</si>
  <si>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</si>
  <si>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</si>
  <si>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</si>
  <si>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</si>
  <si>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</si>
  <si>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</si>
  <si>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</si>
  <si>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</si>
  <si>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</si>
  <si>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</si>
  <si>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</si>
  <si>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</si>
  <si>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</si>
  <si>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</si>
  <si>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</si>
  <si>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</si>
  <si>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</si>
  <si>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</si>
  <si>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</si>
  <si>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</si>
  <si>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</si>
  <si>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</si>
  <si>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</si>
  <si>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</si>
  <si>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</si>
  <si>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</si>
  <si>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</si>
  <si>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</si>
  <si>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</si>
  <si>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</si>
  <si>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</si>
  <si>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</si>
  <si>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</si>
  <si>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</si>
  <si>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</si>
  <si>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</si>
  <si>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</si>
  <si>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</si>
  <si>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</si>
  <si>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</si>
  <si>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</si>
  <si>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</si>
  <si>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</si>
  <si>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</si>
  <si>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</si>
  <si>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</si>
  <si>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</si>
  <si>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</si>
  <si>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</si>
  <si>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</si>
  <si>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</si>
  <si>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</si>
  <si>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</si>
  <si>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</si>
  <si>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</si>
  <si>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</si>
  <si>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</si>
  <si>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</si>
  <si>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</si>
  <si>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</si>
  <si>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</si>
  <si>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</si>
  <si>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</si>
  <si>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</si>
  <si>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</si>
  <si>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</si>
  <si>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</si>
  <si>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</si>
  <si>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</si>
  <si>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</si>
  <si>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</si>
  <si>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</si>
  <si>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</si>
  <si>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</si>
  <si>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</si>
  <si>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</si>
  <si>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</si>
  <si>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</si>
  <si>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</si>
  <si>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</si>
  <si>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</si>
  <si>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</si>
  <si>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</si>
  <si>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</si>
  <si>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</si>
  <si>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</si>
  <si>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</si>
  <si>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</si>
  <si>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</si>
  <si>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</si>
  <si>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</si>
  <si>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</si>
  <si>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</si>
  <si>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</si>
  <si>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</si>
  <si>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</si>
  <si>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</si>
  <si>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</si>
  <si>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</si>
  <si>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</si>
  <si>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</si>
  <si>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</si>
  <si>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</si>
  <si>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</si>
  <si>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</si>
  <si>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</si>
  <si>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</si>
  <si>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</si>
  <si>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</si>
  <si>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</si>
  <si>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</si>
  <si>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</si>
  <si>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</si>
  <si>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</si>
  <si>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</si>
  <si>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</si>
  <si>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</si>
  <si>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</si>
  <si>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</si>
  <si>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</si>
  <si>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</si>
  <si>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</si>
  <si>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</si>
  <si>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</si>
  <si>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</si>
  <si>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</si>
  <si>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</si>
  <si>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</si>
  <si>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</si>
  <si>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</si>
  <si>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</si>
  <si>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</si>
  <si>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</si>
  <si>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</si>
  <si>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</si>
  <si>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</si>
  <si>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</si>
  <si>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</si>
  <si>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</si>
  <si>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</si>
  <si>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</si>
  <si>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</si>
  <si>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ventilation</t>
  </si>
  <si>
    <t>switch veg tent</t>
  </si>
  <si>
    <t>desk</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</si>
  <si>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</si>
  <si>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</si>
  <si>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</si>
  <si>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</si>
  <si>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</si>
  <si>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</si>
  <si>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</si>
  <si>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</si>
  <si>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</si>
  <si>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</si>
  <si>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</si>
  <si>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</si>
  <si>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</si>
  <si>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</si>
  <si>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</si>
  <si>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</si>
  <si>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</si>
  <si>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</si>
  <si>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</si>
  <si>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</si>
  <si>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</si>
  <si>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cut door wood left over for 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</si>
</sst>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0" borderId="0" xfId="0" applyAlignment="1">
      <alignment shrinkToFit="1"/>
    </xf>
    <xf numFmtId="0" fontId="0" fillId="0" borderId="0" xfId="0" applyAlignment="1">
      <alignment horizontal="left" vertic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8.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2.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16</xdr:col>
      <xdr:colOff>38100</xdr:colOff>
      <xdr:row>33</xdr:row>
      <xdr:rowOff>85724</xdr:rowOff>
    </xdr:from>
    <xdr:to>
      <xdr:col>24</xdr:col>
      <xdr:colOff>104774</xdr:colOff>
      <xdr:row>49</xdr:row>
      <xdr:rowOff>28575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4848225" y="7305674"/>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12</xdr:col>
      <xdr:colOff>85577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14</xdr:col>
      <xdr:colOff>285751</xdr:colOff>
      <xdr:row>17</xdr:row>
      <xdr:rowOff>227540</xdr:rowOff>
    </xdr:from>
    <xdr:to>
      <xdr:col>17</xdr:col>
      <xdr:colOff>66676</xdr:colOff>
      <xdr:row>23</xdr:row>
      <xdr:rowOff>94190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16200000">
          <a:off x="4419601" y="5247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238125</xdr:colOff>
      <xdr:row>19</xdr:row>
      <xdr:rowOff>9530</xdr:rowOff>
    </xdr:from>
    <xdr:to>
      <xdr:col>7</xdr:col>
      <xdr:colOff>247650</xdr:colOff>
      <xdr:row>21</xdr:row>
      <xdr:rowOff>31755</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2303463" y="525939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19053</xdr:colOff>
      <xdr:row>22</xdr:row>
      <xdr:rowOff>133354</xdr:rowOff>
    </xdr:from>
    <xdr:to>
      <xdr:col>81</xdr:col>
      <xdr:colOff>85728</xdr:colOff>
      <xdr:row>25</xdr:row>
      <xdr:rowOff>19054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5182853" y="57912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109537</xdr:colOff>
      <xdr:row>23</xdr:row>
      <xdr:rowOff>4763</xdr:rowOff>
    </xdr:from>
    <xdr:to>
      <xdr:col>81</xdr:col>
      <xdr:colOff>61913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273337"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85725</xdr:colOff>
      <xdr:row>43</xdr:row>
      <xdr:rowOff>57150</xdr:rowOff>
    </xdr:from>
    <xdr:to>
      <xdr:col>23</xdr:col>
      <xdr:colOff>238125</xdr:colOff>
      <xdr:row>65</xdr:row>
      <xdr:rowOff>38100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3571875" y="87058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44</xdr:row>
      <xdr:rowOff>57150</xdr:rowOff>
    </xdr:from>
    <xdr:to>
      <xdr:col>25</xdr:col>
      <xdr:colOff>57150</xdr:colOff>
      <xdr:row>66</xdr:row>
      <xdr:rowOff>38100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3962400" y="8848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A2A3B4F4-BE51-477A-A7D2-6029DC690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071F990-B758-4444-B81A-7C1F403CB5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63EC0E67-2D0F-469C-9247-02E9B1D50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C138603F-9243-45BE-A579-D7D5CF095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CB2F3D0B-11B0-4ED5-9B59-621353A60C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26F5D0EB-16EA-4EC5-B602-7C8C194DC3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B72FC013-747A-4C75-83ED-47E346EB3B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28643</xdr:colOff>
      <xdr:row>8</xdr:row>
      <xdr:rowOff>28507</xdr:rowOff>
    </xdr:from>
    <xdr:to>
      <xdr:col>9</xdr:col>
      <xdr:colOff>47405</xdr:colOff>
      <xdr:row>12</xdr:row>
      <xdr:rowOff>66459</xdr:rowOff>
    </xdr:to>
    <xdr:pic>
      <xdr:nvPicPr>
        <xdr:cNvPr id="9" name="Picture 8">
          <a:extLst>
            <a:ext uri="{FF2B5EF4-FFF2-40B4-BE49-F238E27FC236}">
              <a16:creationId xmlns:a16="http://schemas.microsoft.com/office/drawing/2014/main" id="{828BC658-CB10-4217-AC79-283E23BB5E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19198" y="1695452"/>
          <a:ext cx="1180952" cy="2304762"/>
        </a:xfrm>
        <a:prstGeom prst="rect">
          <a:avLst/>
        </a:prstGeom>
      </xdr:spPr>
    </xdr:pic>
    <xdr:clientData/>
  </xdr:twoCellAnchor>
  <xdr:twoCellAnchor>
    <xdr:from>
      <xdr:col>8</xdr:col>
      <xdr:colOff>239183</xdr:colOff>
      <xdr:row>2</xdr:row>
      <xdr:rowOff>26459</xdr:rowOff>
    </xdr:from>
    <xdr:to>
      <xdr:col>10</xdr:col>
      <xdr:colOff>220133</xdr:colOff>
      <xdr:row>4</xdr:row>
      <xdr:rowOff>26459</xdr:rowOff>
    </xdr:to>
    <xdr:sp macro="" textlink="Q5">
      <xdr:nvSpPr>
        <xdr:cNvPr id="10" name="Oval 9">
          <a:extLst>
            <a:ext uri="{FF2B5EF4-FFF2-40B4-BE49-F238E27FC236}">
              <a16:creationId xmlns:a16="http://schemas.microsoft.com/office/drawing/2014/main" id="{6D671B66-2133-4520-AE4F-F66F4B827643}"/>
            </a:ext>
          </a:extLst>
        </xdr:cNvPr>
        <xdr:cNvSpPr/>
      </xdr:nvSpPr>
      <xdr:spPr>
        <a:xfrm>
          <a:off x="286808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227542</xdr:colOff>
      <xdr:row>4</xdr:row>
      <xdr:rowOff>34925</xdr:rowOff>
    </xdr:from>
    <xdr:to>
      <xdr:col>13</xdr:col>
      <xdr:colOff>227542</xdr:colOff>
      <xdr:row>6</xdr:row>
      <xdr:rowOff>34925</xdr:rowOff>
    </xdr:to>
    <xdr:sp macro="" textlink="Q16">
      <xdr:nvSpPr>
        <xdr:cNvPr id="11" name="Oval 10">
          <a:extLst>
            <a:ext uri="{FF2B5EF4-FFF2-40B4-BE49-F238E27FC236}">
              <a16:creationId xmlns:a16="http://schemas.microsoft.com/office/drawing/2014/main" id="{7D66BBCA-4D62-4C23-AD2E-99EFF35CE4CB}"/>
            </a:ext>
          </a:extLst>
        </xdr:cNvPr>
        <xdr:cNvSpPr/>
      </xdr:nvSpPr>
      <xdr:spPr>
        <a:xfrm>
          <a:off x="3713692" y="1120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9526</xdr:colOff>
      <xdr:row>3</xdr:row>
      <xdr:rowOff>275165</xdr:rowOff>
    </xdr:from>
    <xdr:to>
      <xdr:col>27</xdr:col>
      <xdr:colOff>38101</xdr:colOff>
      <xdr:row>6</xdr:row>
      <xdr:rowOff>275165</xdr:rowOff>
    </xdr:to>
    <xdr:sp macro="" textlink="Q6">
      <xdr:nvSpPr>
        <xdr:cNvPr id="12" name="Rectangle 11">
          <a:extLst>
            <a:ext uri="{FF2B5EF4-FFF2-40B4-BE49-F238E27FC236}">
              <a16:creationId xmlns:a16="http://schemas.microsoft.com/office/drawing/2014/main" id="{F86612D6-7420-4460-AF97-C19563545955}"/>
            </a:ext>
          </a:extLst>
        </xdr:cNvPr>
        <xdr:cNvSpPr/>
      </xdr:nvSpPr>
      <xdr:spPr>
        <a:xfrm rot="16200000">
          <a:off x="6981826" y="1284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29</xdr:col>
      <xdr:colOff>127030</xdr:colOff>
      <xdr:row>4</xdr:row>
      <xdr:rowOff>183277</xdr:rowOff>
    </xdr:from>
    <xdr:to>
      <xdr:col>31</xdr:col>
      <xdr:colOff>136555</xdr:colOff>
      <xdr:row>5</xdr:row>
      <xdr:rowOff>176927</xdr:rowOff>
    </xdr:to>
    <xdr:sp macro="" textlink="Q14">
      <xdr:nvSpPr>
        <xdr:cNvPr id="13" name="Rectangle 12">
          <a:extLst>
            <a:ext uri="{FF2B5EF4-FFF2-40B4-BE49-F238E27FC236}">
              <a16:creationId xmlns:a16="http://schemas.microsoft.com/office/drawing/2014/main" id="{7422C23D-DBE0-4C47-A90C-7C68C6989FCF}"/>
            </a:ext>
          </a:extLst>
        </xdr:cNvPr>
        <xdr:cNvSpPr/>
      </xdr:nvSpPr>
      <xdr:spPr>
        <a:xfrm rot="5400000">
          <a:off x="8012143" y="12611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73A57AF5-0F89-468D-B2EE-78B8F285A2C8}"/>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9</xdr:col>
      <xdr:colOff>115930</xdr:colOff>
      <xdr:row>9</xdr:row>
      <xdr:rowOff>230219</xdr:rowOff>
    </xdr:from>
    <xdr:to>
      <xdr:col>10</xdr:col>
      <xdr:colOff>160321</xdr:colOff>
      <xdr:row>10</xdr:row>
      <xdr:rowOff>239744</xdr:rowOff>
    </xdr:to>
    <xdr:sp macro="" textlink="Q13">
      <xdr:nvSpPr>
        <xdr:cNvPr id="15" name="Rectangle 14">
          <a:extLst>
            <a:ext uri="{FF2B5EF4-FFF2-40B4-BE49-F238E27FC236}">
              <a16:creationId xmlns:a16="http://schemas.microsoft.com/office/drawing/2014/main" id="{095F2047-862F-4AAF-A4E3-7B1B34E83979}"/>
            </a:ext>
          </a:extLst>
        </xdr:cNvPr>
        <xdr:cNvSpPr/>
      </xdr:nvSpPr>
      <xdr:spPr>
        <a:xfrm rot="10800000" flipH="1">
          <a:off x="3030580" y="27448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B3736F7A-C80B-4627-8578-1F9CE5A1D8ED}"/>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238125</xdr:colOff>
      <xdr:row>11</xdr:row>
      <xdr:rowOff>276225</xdr:rowOff>
    </xdr:from>
    <xdr:to>
      <xdr:col>22</xdr:col>
      <xdr:colOff>28575</xdr:colOff>
      <xdr:row>13</xdr:row>
      <xdr:rowOff>142875</xdr:rowOff>
    </xdr:to>
    <xdr:sp macro="" textlink="Q12">
      <xdr:nvSpPr>
        <xdr:cNvPr id="17" name="Oval 16">
          <a:extLst>
            <a:ext uri="{FF2B5EF4-FFF2-40B4-BE49-F238E27FC236}">
              <a16:creationId xmlns:a16="http://schemas.microsoft.com/office/drawing/2014/main" id="{7983336F-D722-4D94-A8DE-B106AECB5EA5}"/>
            </a:ext>
          </a:extLst>
        </xdr:cNvPr>
        <xdr:cNvSpPr/>
      </xdr:nvSpPr>
      <xdr:spPr>
        <a:xfrm>
          <a:off x="5991225" y="33623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459D9836-F228-4508-A829-1860C6ABC8D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F3FB088E-EA2D-44C0-84FA-E63C32A5D971}"/>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46D9EA0F-157D-42BB-84D8-761DBA4709DC}"/>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9AC662D9-45D0-4F3A-BA9D-AA54CA4E6EB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BA2E3C8F-CAE6-4701-9E4B-6885B6EF017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D855D7A-2F57-468A-8B20-D2F999E1C695}"/>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18FEA521-0080-44C1-AD56-985FB88677D2}"/>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2ECDA34-078F-40A6-9509-BB7FB4B65291}"/>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B02FD35A-4735-4490-A597-BE81CB8EF41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3D292F23-9DA0-4387-87D1-ABB2107B131F}"/>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A66A3926-3D9A-41D8-87B2-A722533635C0}"/>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xdr:colOff>
      <xdr:row>2</xdr:row>
      <xdr:rowOff>45212</xdr:rowOff>
    </xdr:from>
    <xdr:to>
      <xdr:col>6</xdr:col>
      <xdr:colOff>3901</xdr:colOff>
      <xdr:row>7</xdr:row>
      <xdr:rowOff>7112</xdr:rowOff>
    </xdr:to>
    <xdr:sp macro="" textlink="Q3">
      <xdr:nvSpPr>
        <xdr:cNvPr id="29" name="Rectangle 28" descr="big tent 5x4">
          <a:extLst>
            <a:ext uri="{FF2B5EF4-FFF2-40B4-BE49-F238E27FC236}">
              <a16:creationId xmlns:a16="http://schemas.microsoft.com/office/drawing/2014/main" id="{CFC71FAD-CD99-48D0-95FC-1A6ABD8B6163}"/>
            </a:ext>
          </a:extLst>
        </xdr:cNvPr>
        <xdr:cNvSpPr/>
      </xdr:nvSpPr>
      <xdr:spPr>
        <a:xfrm rot="16200000">
          <a:off x="649653" y="5385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34CABC65-4F54-4043-A0B7-01FCF746FF87}"/>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271465</xdr:colOff>
      <xdr:row>6</xdr:row>
      <xdr:rowOff>138115</xdr:rowOff>
    </xdr:from>
    <xdr:to>
      <xdr:col>13</xdr:col>
      <xdr:colOff>271465</xdr:colOff>
      <xdr:row>9</xdr:row>
      <xdr:rowOff>128592</xdr:rowOff>
    </xdr:to>
    <xdr:sp macro="" textlink="Q7">
      <xdr:nvSpPr>
        <xdr:cNvPr id="31" name="Rectangle 30">
          <a:extLst>
            <a:ext uri="{FF2B5EF4-FFF2-40B4-BE49-F238E27FC236}">
              <a16:creationId xmlns:a16="http://schemas.microsoft.com/office/drawing/2014/main" id="{5931D74B-9DCC-43D2-980E-CD5BB92AF01B}"/>
            </a:ext>
          </a:extLst>
        </xdr:cNvPr>
        <xdr:cNvSpPr/>
      </xdr:nvSpPr>
      <xdr:spPr>
        <a:xfrm rot="5400000">
          <a:off x="3762376" y="2076454"/>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9</xdr:col>
      <xdr:colOff>161934</xdr:colOff>
      <xdr:row>8</xdr:row>
      <xdr:rowOff>66710</xdr:rowOff>
    </xdr:from>
    <xdr:to>
      <xdr:col>10</xdr:col>
      <xdr:colOff>171459</xdr:colOff>
      <xdr:row>9</xdr:row>
      <xdr:rowOff>60360</xdr:rowOff>
    </xdr:to>
    <xdr:sp macro="" textlink="Q14">
      <xdr:nvSpPr>
        <xdr:cNvPr id="32" name="Rectangle 31">
          <a:extLst>
            <a:ext uri="{FF2B5EF4-FFF2-40B4-BE49-F238E27FC236}">
              <a16:creationId xmlns:a16="http://schemas.microsoft.com/office/drawing/2014/main" id="{AD3BBFFD-92D5-4F9F-B35C-E0272E677B98}"/>
            </a:ext>
          </a:extLst>
        </xdr:cNvPr>
        <xdr:cNvSpPr/>
      </xdr:nvSpPr>
      <xdr:spPr>
        <a:xfrm rot="5400000">
          <a:off x="3084522" y="22876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C0C81462-02B6-46A5-8EC8-7DA51BFC2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791BAA53-5184-4882-A7CC-C5CC8BEA9F2B}"/>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7E763F05-FCF4-4631-8029-CBAF9CCF3499}"/>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14F2AB4-364F-4D5B-8B86-83D3520BEBA4}"/>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424CBDD-965C-466C-AE62-12F3C22B7613}"/>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1C232CF8-39A4-42EC-ABE9-4935A20DF2A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31821D4E-D91B-4137-9B8A-5C87D2BDB285}"/>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BB532FD4-21FA-4803-8BB7-2880BD962CFC}"/>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061DA32A-07AD-4E9D-930C-EB70A433B24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E6C7A085-48CF-481A-8728-BE5D8B380F54}"/>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F8128B7E-561C-47D0-93CF-6F8EBB4BF1A9}"/>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4CA8EBF6-1566-4A86-84AD-240D047A34F9}"/>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96030455-FE4F-42D6-89A6-341FC08D5F5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D97DFB4-C393-4964-B1D4-0FD920518AC3}"/>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8C6AC8D2-EE9D-4901-A4EA-943E9B2FAC6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A3466011-CBB2-4DA5-917D-6713947AF246}"/>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0EFD85BA-FCC3-474A-A80D-DDFD2A3AE677}"/>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DC92D4B7-084B-4E79-9DE8-68D76AD76D73}"/>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656F6CF1-9282-4EA4-957C-BA17DDAB5666}"/>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AF915520-958F-49F7-A753-E1991E194A99}"/>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921FC55-24CC-44FF-88E6-2C587F43F319}"/>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1652412-C57C-402B-9271-679F08EEFCC9}"/>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17520D7B-C7E2-4E7A-85BA-BC740642F60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E05FBC77-0C65-4B55-A000-F3DBBA35EFEE}"/>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46C206C4-A97A-4445-87C6-D52A692840E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026A6EE5-5042-40BB-AF89-61AC054DE60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6914B9D6-B5DD-44D5-B8BB-A19253E3B521}"/>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703D3C00-8322-40CF-B338-FEE8265279AE}"/>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94B8ABF0-ABEE-4A58-9490-FDC66205A72A}"/>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7C814ABF-09E2-4150-AF6E-39E046AFB9AD}"/>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AA47671E-DC1D-4AB8-A326-652EF2B8C24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CEEC6546-F88B-4CA5-9C24-0A97B1D72174}"/>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1528FD49-C75C-4574-B935-6D2F0891DE77}"/>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5187CFB-8FDA-4A06-88AF-BC6B10011C79}"/>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AA798A2F-0104-4818-91A3-665850FB5AE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BBD6A396-A909-423D-9DC6-2C81C5D3F8C8}"/>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15D96287-4463-4A03-A052-17DC69088237}"/>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0AC07CCB-BED4-409D-B950-686C6CF51D6B}"/>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48160B0C-8A98-467B-953B-153BD00DBFAC}"/>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B722FB4B-B1CC-444D-91BE-7426D8F4FBE9}"/>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F8EECBB7-13EC-44D0-B7CA-0AE08E6C8E87}"/>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AB786A2A-C52C-4D9F-9212-7C19E9F378C5}"/>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056C46E4-2AA2-4E18-A249-8AAE2E51C83E}"/>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D2F2A251-1242-4002-8102-93FE90EBD034}"/>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CFC5C107-3B6B-4B02-95A3-3EFC597F5B5D}"/>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81263589-ECBF-45A8-AABB-F37EB3E44038}"/>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32628E53-9613-4BC1-ABB3-1427D5F62E7D}"/>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C3B0A432-1662-4B1E-843E-54E9903E2DD2}"/>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E6BD1A49-EDBC-4631-A8AD-D1E564DE5EAA}"/>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EE9CBB3B-6721-4280-ADD9-57CD92C01C0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3B763E9C-4B9B-4DD5-A5A7-830403AACC9D}"/>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11E26F3-994B-441E-B09F-72EFDF849451}"/>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8BC2184-1B81-4F91-A073-F32EF25BCEA9}"/>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D332CA55-C513-47CC-AE6D-0AAE8F7E9577}"/>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5EC0467B-6380-469B-822E-4A5B3A902AD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445D1918-EECD-405A-B3A9-2F8F080AF002}"/>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42624205-25BB-42DB-823A-0CF04F83A132}"/>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7EC0F102-73A3-46E8-AB24-710BBD07A341}"/>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83BC4D2-0B38-4A64-9CE5-208BA6243E84}"/>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CE93574-6C82-407B-90F7-43E41AC87CD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1C4AFEF8-1F42-401F-ABEF-C74B1BB301CB}"/>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B4C04AD0-C33F-4A25-B7B6-F84152BD2BA3}"/>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C13670E0-C7B2-4448-A484-99C2BABB4F1D}"/>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36CB3DBA-34FD-4AE5-88B8-AA34F3A1E101}"/>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F320B670-98CD-4FED-8341-72AC2ADC5486}"/>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8BAABDB2-DA32-4078-B955-9B5AC4584331}"/>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CA2C70F6-9127-4CF9-B62A-D94407B73111}"/>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CE1CCECB-31BD-41E2-A33F-B5CC412B12F0}"/>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EA8F6446-9D9B-492A-A3AF-53E466EC47E9}"/>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4F0EB138-5D16-4FE2-8145-26103E6F904B}"/>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8758D6C0-6AFB-41B6-B780-9F0362EF8302}"/>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E46E866-B3C0-4A90-A1D3-661CE58C9394}"/>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4702D68A-6311-4F8B-86D5-F6D436FC1162}"/>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5736736C-3CA3-4124-8FBB-67B1D50C4A5A}"/>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4755B3E1-492B-4EA8-9CAD-21048EC52C0D}"/>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8CE14E82-3499-46A2-8E53-67B5626FC03A}"/>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6D9D5510-06CA-4429-AFF8-5FD10A85D24F}"/>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4F5DDEB6-E4BA-4715-97F6-6BC3121352BD}"/>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ECA7C900-C13F-4E99-B134-316DA20C3E22}"/>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1EB8B060-2482-4A23-9E32-EE84B62C1D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F53C1CCB-BA1D-44B3-9312-8619F1046B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26433550-2B20-473D-8BEA-4C5399AB1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6FE10765-7180-495E-871F-0C85FBE4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E3B6E651-FD05-4B28-B3B9-6CAA24C32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D7BCFE11-7DD6-4928-B854-1CCBD94C2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6871876B-358D-4958-BEA3-DE6AF6EC52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16FE895B-D27D-411D-B925-BAD94B9E8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8DD33756-29BA-4A1E-84D2-148B55AF3EF5}"/>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83E7DEE0-3547-4FBB-AAD7-E83C3572D813}"/>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9EFC9B46-0698-4439-9277-6DF4E6E1B5B1}"/>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7B08AA0C-9809-4A43-B994-91C3895B6DC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FC06BCFD-95FA-47CB-B73B-60D64F2452DF}"/>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757B0E8-E9A7-49AF-A0F8-D2AAA6DA4443}"/>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4EE16A5E-B559-4268-99E5-B1D279538DE8}"/>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88C0163F-BA19-4130-BA7F-8FA5E2CCE091}"/>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6C7DDC28-74D5-4485-85EE-F5A2B03FAA4B}"/>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74AD015E-DCB0-499C-AFE9-BEA5D5BDDDB1}"/>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253480D6-EAC8-45CE-B7DA-075539799FA2}"/>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24A199CC-0812-4651-9D27-DD361B40760F}"/>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17246AFA-64FD-46A9-8BD4-795BFBF2B291}"/>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0F3A165D-2858-4B42-8A78-C7E4CABD4B19}"/>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0448D154-452F-4B0B-9DD2-402D0896572C}"/>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A19930EF-C3A8-44C6-838A-639D44F04B1E}"/>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468FC8D8-A858-47EE-AAB9-1F4588A84F35}"/>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F6912432-66BD-40A1-881B-AD483660BC7D}"/>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C9450476-32B1-42A6-9018-7686EB6C4175}"/>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0B415F5-6332-47FB-8DC1-411946CF6159}"/>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238060DB-4597-423E-8EFB-5296D4D9CD51}"/>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4AF618BB-B712-4031-8AD0-AD0556AA6BC8}"/>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EFD2D6C1-9EF1-4248-9A49-94B2700559E6}"/>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1BFC700F-6667-4592-80E2-8788F4368FB6}"/>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A3E13ACF-4636-4612-A2ED-8DF10800FC60}"/>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90340B6E-2497-4EBD-B624-21FBD1E00DA1}"/>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E534C3FC-FD0F-4645-BF64-BEA71C0FB2D2}"/>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AAFD3F44-6A48-4553-A3E1-1136E567572C}"/>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6C56100D-6C3C-4C02-874B-E2C946F32E3F}"/>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A6F8C63E-A345-4B6F-807E-281B946CD96A}"/>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52EED74D-566D-4E01-B9FB-F54F7507D08E}"/>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CA4B6AEE-2649-4566-A95B-28D88DB22DF4}"/>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AC9CE1C4-4075-4F60-9A47-358102F91E28}"/>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16AE37AF-B222-4D24-A964-A73F4610051B}"/>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9C19A6ED-AC0D-48B5-9DE6-938D35CC720C}"/>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1D0D41C9-C366-4CAD-8611-A15BDB6D07F2}"/>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EB0FC48C-5C81-44C1-AD3D-0C423688A9A0}"/>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BED841DF-1A64-4B55-B001-386FD9A02C31}"/>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AA07DE4-B311-431F-A4EC-48FB7E843A0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7A586267-53AC-4C90-901E-EB027A08EBF4}"/>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07F0A2AC-A8D8-4E60-9612-A3FD6B745B6E}"/>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AD96402D-5118-4857-8FF1-8A709FFCA232}"/>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43EB2DBA-3A35-4E56-A7C4-0EE7D948460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15BFCA0E-2584-4F8A-ADEF-1D4A4A4492D3}"/>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57AA54BB-8D35-4B39-9D7A-40ECA16FDAE8}"/>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D3954E42-C41F-48B8-86B7-CBF41C83D91B}"/>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0C6E5B23-8CE3-4D38-945A-D775B7AE9E98}"/>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C99E9A51-B054-4DC5-A46B-DFB55AE58D35}"/>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801193F1-62F0-40B3-84DE-76F0AAF875F0}"/>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F53CD9B8-D934-47C8-9F18-CFBECCC62744}"/>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FBB8B99B-B60E-4118-AFC4-77FFDF3DC9CE}"/>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F29560FA-959B-4B73-916C-09FAED1C0EF0}"/>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95DFBBD7-0D85-4C1B-AC1C-9A93FA5FF36C}"/>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0434546E-9752-4037-91A9-37B59088562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824E3DE9-629E-4A20-9854-44920F6B99F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2</xdr:col>
      <xdr:colOff>28573</xdr:colOff>
      <xdr:row>5</xdr:row>
      <xdr:rowOff>247651</xdr:rowOff>
    </xdr:from>
    <xdr:to>
      <xdr:col>6</xdr:col>
      <xdr:colOff>66525</xdr:colOff>
      <xdr:row>13</xdr:row>
      <xdr:rowOff>266413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2973" y="1619251"/>
          <a:ext cx="1180952" cy="2304762"/>
        </a:xfrm>
        <a:prstGeom prst="rect">
          <a:avLst/>
        </a:prstGeom>
      </xdr:spPr>
    </xdr:pic>
    <xdr:clientData/>
  </xdr:twoCellAnchor>
  <xdr:twoCellAnchor>
    <xdr:from>
      <xdr:col>7</xdr:col>
      <xdr:colOff>86783</xdr:colOff>
      <xdr:row>2</xdr:row>
      <xdr:rowOff>35984</xdr:rowOff>
    </xdr:from>
    <xdr:to>
      <xdr:col>9</xdr:col>
      <xdr:colOff>67733</xdr:colOff>
      <xdr:row>4</xdr:row>
      <xdr:rowOff>35984</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24299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9</xdr:col>
      <xdr:colOff>151342</xdr:colOff>
      <xdr:row>2</xdr:row>
      <xdr:rowOff>44450</xdr:rowOff>
    </xdr:from>
    <xdr:to>
      <xdr:col>11</xdr:col>
      <xdr:colOff>151342</xdr:colOff>
      <xdr:row>4</xdr:row>
      <xdr:rowOff>44450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065992" y="5588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85726</xdr:colOff>
      <xdr:row>4</xdr:row>
      <xdr:rowOff>27515</xdr:rowOff>
    </xdr:from>
    <xdr:to>
      <xdr:col>30</xdr:col>
      <xdr:colOff>104776</xdr:colOff>
      <xdr:row>5</xdr:row>
      <xdr:rowOff>179915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a:off x="7267576" y="1113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22253</xdr:colOff>
      <xdr:row>22</xdr:row>
      <xdr:rowOff>21352</xdr:rowOff>
    </xdr:from>
    <xdr:to>
      <xdr:col>11</xdr:col>
      <xdr:colOff>31778</xdr:colOff>
      <xdr:row>24</xdr:row>
      <xdr:rowOff>15002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3230591" y="56712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247650</xdr:colOff>
      <xdr:row>2</xdr:row>
      <xdr:rowOff>38099</xdr:rowOff>
    </xdr:from>
    <xdr:to>
      <xdr:col>13</xdr:col>
      <xdr:colOff>247650</xdr:colOff>
      <xdr:row>4</xdr:row>
      <xdr:rowOff>19050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33800" y="5524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278179</xdr:colOff>
      <xdr:row>6</xdr:row>
      <xdr:rowOff>62313</xdr:rowOff>
    </xdr:from>
    <xdr:to>
      <xdr:col>13</xdr:col>
      <xdr:colOff>240079</xdr:colOff>
      <xdr:row>11</xdr:row>
      <xdr:rowOff>66210</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0800000">
          <a:off x="2907079" y="17196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47626</xdr:colOff>
      <xdr:row>2</xdr:row>
      <xdr:rowOff>28575</xdr:rowOff>
    </xdr:from>
    <xdr:to>
      <xdr:col>4</xdr:col>
      <xdr:colOff>38103</xdr:colOff>
      <xdr:row>3</xdr:row>
      <xdr:rowOff>28575</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676276" y="5429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276231</xdr:colOff>
      <xdr:row>4</xdr:row>
      <xdr:rowOff>190525</xdr:rowOff>
    </xdr:from>
    <xdr:to>
      <xdr:col>6</xdr:col>
      <xdr:colOff>6</xdr:colOff>
      <xdr:row>5</xdr:row>
      <xdr:rowOff>184175</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770069" y="126843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F89FD7D4-E51E-4D33-9CA3-A0DABAB45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B85F0A5-1D38-4EBB-983F-B770372C61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1B1DEC05-8A54-4828-B10D-5B40C01F1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D888A3C-E8B9-4AA2-8702-D5FBA72CA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677CB4A3-B432-40D9-BBB6-C032A9CE1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60B6BD91-B9C4-4FF3-8300-39BE984F88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2C9854B5-32E3-41D9-AE3B-38CA1A055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68</xdr:colOff>
      <xdr:row>3</xdr:row>
      <xdr:rowOff>180906</xdr:rowOff>
    </xdr:from>
    <xdr:to>
      <xdr:col>9</xdr:col>
      <xdr:colOff>18830</xdr:colOff>
      <xdr:row>7</xdr:row>
      <xdr:rowOff>218858</xdr:rowOff>
    </xdr:to>
    <xdr:pic>
      <xdr:nvPicPr>
        <xdr:cNvPr id="9" name="Picture 8">
          <a:extLst>
            <a:ext uri="{FF2B5EF4-FFF2-40B4-BE49-F238E27FC236}">
              <a16:creationId xmlns:a16="http://schemas.microsoft.com/office/drawing/2014/main" id="{34B8B73D-D34C-4CD3-9F16-EA57772E3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90623" y="419101"/>
          <a:ext cx="1180952" cy="2304762"/>
        </a:xfrm>
        <a:prstGeom prst="rect">
          <a:avLst/>
        </a:prstGeom>
      </xdr:spPr>
    </xdr:pic>
    <xdr:clientData/>
  </xdr:twoCellAnchor>
  <xdr:twoCellAnchor>
    <xdr:from>
      <xdr:col>11</xdr:col>
      <xdr:colOff>277283</xdr:colOff>
      <xdr:row>4</xdr:row>
      <xdr:rowOff>26459</xdr:rowOff>
    </xdr:from>
    <xdr:to>
      <xdr:col>13</xdr:col>
      <xdr:colOff>258233</xdr:colOff>
      <xdr:row>6</xdr:row>
      <xdr:rowOff>26459</xdr:rowOff>
    </xdr:to>
    <xdr:sp macro="" textlink="Q5">
      <xdr:nvSpPr>
        <xdr:cNvPr id="10" name="Oval 9">
          <a:extLst>
            <a:ext uri="{FF2B5EF4-FFF2-40B4-BE49-F238E27FC236}">
              <a16:creationId xmlns:a16="http://schemas.microsoft.com/office/drawing/2014/main" id="{1E1B7A47-31E3-45C6-AB0E-1F7C6B5E98A2}"/>
            </a:ext>
          </a:extLst>
        </xdr:cNvPr>
        <xdr:cNvSpPr/>
      </xdr:nvSpPr>
      <xdr:spPr>
        <a:xfrm>
          <a:off x="3763433" y="1112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246592</xdr:colOff>
      <xdr:row>6</xdr:row>
      <xdr:rowOff>73025</xdr:rowOff>
    </xdr:from>
    <xdr:to>
      <xdr:col>13</xdr:col>
      <xdr:colOff>246592</xdr:colOff>
      <xdr:row>8</xdr:row>
      <xdr:rowOff>73025</xdr:rowOff>
    </xdr:to>
    <xdr:sp macro="" textlink="Q16">
      <xdr:nvSpPr>
        <xdr:cNvPr id="11" name="Oval 10">
          <a:extLst>
            <a:ext uri="{FF2B5EF4-FFF2-40B4-BE49-F238E27FC236}">
              <a16:creationId xmlns:a16="http://schemas.microsoft.com/office/drawing/2014/main" id="{5B51B7F3-7851-4509-90F4-8F58A3685B1B}"/>
            </a:ext>
          </a:extLst>
        </xdr:cNvPr>
        <xdr:cNvSpPr/>
      </xdr:nvSpPr>
      <xdr:spPr>
        <a:xfrm>
          <a:off x="3732742" y="17303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57151</xdr:colOff>
      <xdr:row>8</xdr:row>
      <xdr:rowOff>132290</xdr:rowOff>
    </xdr:from>
    <xdr:to>
      <xdr:col>13</xdr:col>
      <xdr:colOff>209551</xdr:colOff>
      <xdr:row>11</xdr:row>
      <xdr:rowOff>132290</xdr:rowOff>
    </xdr:to>
    <xdr:sp macro="" textlink="Q6">
      <xdr:nvSpPr>
        <xdr:cNvPr id="12" name="Rectangle 11">
          <a:extLst>
            <a:ext uri="{FF2B5EF4-FFF2-40B4-BE49-F238E27FC236}">
              <a16:creationId xmlns:a16="http://schemas.microsoft.com/office/drawing/2014/main" id="{ADA9E8CE-6030-43AD-B45C-32568ED58DBB}"/>
            </a:ext>
          </a:extLst>
        </xdr:cNvPr>
        <xdr:cNvSpPr/>
      </xdr:nvSpPr>
      <xdr:spPr>
        <a:xfrm rot="16200000">
          <a:off x="3619501" y="25706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212752</xdr:colOff>
      <xdr:row>2</xdr:row>
      <xdr:rowOff>40404</xdr:rowOff>
    </xdr:from>
    <xdr:to>
      <xdr:col>11</xdr:col>
      <xdr:colOff>222277</xdr:colOff>
      <xdr:row>3</xdr:row>
      <xdr:rowOff>34054</xdr:rowOff>
    </xdr:to>
    <xdr:sp macro="" textlink="Q14">
      <xdr:nvSpPr>
        <xdr:cNvPr id="13" name="Rectangle 12">
          <a:extLst>
            <a:ext uri="{FF2B5EF4-FFF2-40B4-BE49-F238E27FC236}">
              <a16:creationId xmlns:a16="http://schemas.microsoft.com/office/drawing/2014/main" id="{1185AC89-DBBA-4613-A0F9-E695EC5C5F07}"/>
            </a:ext>
          </a:extLst>
        </xdr:cNvPr>
        <xdr:cNvSpPr/>
      </xdr:nvSpPr>
      <xdr:spPr>
        <a:xfrm rot="5400000">
          <a:off x="3421090" y="54681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158A5E91-F759-4DC8-A67E-5196571222CB}"/>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7239350D-A6AE-4226-989E-FB95B2F50D6B}"/>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00E6E5A0-690C-40D1-9A65-9D41242EB10B}"/>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28CB850-A6CC-4C0C-92F8-656B69A3E0E8}"/>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EF34F65E-ABCA-48D8-AD2B-729E824767C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A8E1359-19FE-489F-B65B-5D335F49C8D5}"/>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D2A03E6D-C8A9-4FAB-89A1-A14157C40516}"/>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B3BF215D-0835-4DDD-9BFE-06DBE75989D1}"/>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A12677C1-905F-4433-9FBC-D30E426CF23C}"/>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4717F15-0D55-4D11-A66B-B601EB43438E}"/>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F8ED3E9F-2C9A-45E9-82DD-9C188700D947}"/>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7DCA91B0-968E-4A4C-8FFD-4C343439A49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4DFB84DE-2FE0-45D3-A3CB-CD8B890E066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94A966D8-712F-49E8-9C11-A9CF3C36D36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8DC4A4ED-C460-4221-9E8A-43E713047C8F}"/>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38104</xdr:colOff>
      <xdr:row>9</xdr:row>
      <xdr:rowOff>283340</xdr:rowOff>
    </xdr:from>
    <xdr:to>
      <xdr:col>6</xdr:col>
      <xdr:colOff>42001</xdr:colOff>
      <xdr:row>14</xdr:row>
      <xdr:rowOff>245240</xdr:rowOff>
    </xdr:to>
    <xdr:sp macro="" textlink="Q3">
      <xdr:nvSpPr>
        <xdr:cNvPr id="29" name="Rectangle 28" descr="big tent 5x4">
          <a:extLst>
            <a:ext uri="{FF2B5EF4-FFF2-40B4-BE49-F238E27FC236}">
              <a16:creationId xmlns:a16="http://schemas.microsoft.com/office/drawing/2014/main" id="{010F8988-E71C-48FA-930F-6F4787709A40}"/>
            </a:ext>
          </a:extLst>
        </xdr:cNvPr>
        <xdr:cNvSpPr/>
      </xdr:nvSpPr>
      <xdr:spPr>
        <a:xfrm rot="16200000">
          <a:off x="687753" y="2776941"/>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F4CA0C00-61F8-460F-BAA3-FD2DE0CEDF70}"/>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114301</xdr:colOff>
      <xdr:row>7</xdr:row>
      <xdr:rowOff>142875</xdr:rowOff>
    </xdr:from>
    <xdr:to>
      <xdr:col>46</xdr:col>
      <xdr:colOff>104778</xdr:colOff>
      <xdr:row>8</xdr:row>
      <xdr:rowOff>142875</xdr:rowOff>
    </xdr:to>
    <xdr:sp macro="" textlink="Q7">
      <xdr:nvSpPr>
        <xdr:cNvPr id="31" name="Rectangle 30">
          <a:extLst>
            <a:ext uri="{FF2B5EF4-FFF2-40B4-BE49-F238E27FC236}">
              <a16:creationId xmlns:a16="http://schemas.microsoft.com/office/drawing/2014/main" id="{1F6B5935-4EA2-4FE8-BA07-A6DCFD923956}"/>
            </a:ext>
          </a:extLst>
        </xdr:cNvPr>
        <xdr:cNvSpPr/>
      </xdr:nvSpPr>
      <xdr:spPr>
        <a:xfrm>
          <a:off x="9563101" y="20859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95257</xdr:colOff>
      <xdr:row>10</xdr:row>
      <xdr:rowOff>57177</xdr:rowOff>
    </xdr:from>
    <xdr:to>
      <xdr:col>7</xdr:col>
      <xdr:colOff>104782</xdr:colOff>
      <xdr:row>11</xdr:row>
      <xdr:rowOff>50827</xdr:rowOff>
    </xdr:to>
    <xdr:sp macro="" textlink="Q14">
      <xdr:nvSpPr>
        <xdr:cNvPr id="32" name="Rectangle 31">
          <a:extLst>
            <a:ext uri="{FF2B5EF4-FFF2-40B4-BE49-F238E27FC236}">
              <a16:creationId xmlns:a16="http://schemas.microsoft.com/office/drawing/2014/main" id="{BA217ED8-401B-4779-84CC-5154EBE237C2}"/>
            </a:ext>
          </a:extLst>
        </xdr:cNvPr>
        <xdr:cNvSpPr/>
      </xdr:nvSpPr>
      <xdr:spPr>
        <a:xfrm rot="5400000">
          <a:off x="2160595" y="2849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F88981C3-A309-4FE7-913D-3151BA56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99587C7A-3B08-407C-AD84-78CCAF2CC9E5}"/>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3F035524-0168-48D3-98E2-88ACE69352AB}"/>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9601C26-7924-41DF-ABA9-8FD5530543E1}"/>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997C705-4F07-4F79-A994-FADBF07B3E0C}"/>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8B31CA6B-4E1D-4AA8-9023-95B77C0187FA}"/>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D348E3D0-D581-42AA-9ECD-D75B4AF17F8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34E4EC9-5681-4CB0-AE4E-E5578FA7D71D}"/>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EBBCEB4E-9826-4F05-8E35-AA3BBC3A8892}"/>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63A23436-D8FB-4793-BFCE-ADFB8E6DB70B}"/>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C290959C-41C5-47A1-AE41-EE94337AB0F7}"/>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5444E8F1-00CB-4F11-899B-ACFED0042B05}"/>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F5C4448F-6029-42F9-9651-54C8DDC56BB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E792700A-0AEC-4284-BE10-007B89B64A2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1AA369AD-3033-4946-B9CB-272167103B64}"/>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10928DDA-A94C-42D3-AAA3-AF4BDC5BAF43}"/>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14E38092-CCA3-47F4-9ACD-9CCE8DB2EAF5}"/>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5D2D4D8B-9635-4222-86BF-C58657D87B8B}"/>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ED67139B-7033-48D2-9C04-EF7B900E026F}"/>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0A292D09-E845-450D-8066-5A87168044DE}"/>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4014A55-D8C9-4828-90A4-C01FD156CBA6}"/>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8F78A5E-494D-4BD1-8272-DB4E21D0C703}"/>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B5E897D1-1AAA-41E4-97B7-84FA1920F3D8}"/>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B08124C9-557B-45FD-9467-54452DBAF8D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00D94A5C-A274-44A2-A65B-A933D994588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E4504C73-B167-4E71-BEF9-51B5E848BF4A}"/>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89BD10E2-9DAB-473D-92D7-A4429DC25C1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6118E0BB-9FD4-4FFB-B859-37A0D313BD64}"/>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D67BAC23-9CE7-47C0-8756-397C7107C547}"/>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0EF3BAB8-C19D-498E-ACAC-6FEB527AC9C5}"/>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F93B05B5-C7E3-407E-A266-408E38B5227A}"/>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CE74F1F0-6A54-4ADB-9714-043337BCA4D2}"/>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A3C8EEB8-DF0D-47BD-A139-3263C23B9C5B}"/>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95394C2B-5EF3-402B-9E38-D87E42A5A5D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DD8049AB-8607-463D-8BB8-F720D85A9102}"/>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8293B196-7CCE-494E-A989-7A127ED61B48}"/>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6B6C2E14-EE23-427D-AA55-0CAD51768FF6}"/>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042567D0-7981-440F-8750-CA74E37B1C34}"/>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F7FD67DB-759B-4C98-B1EB-55803BAC1B6D}"/>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5928C03D-DA8D-4385-9121-45FEBE04716F}"/>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B2A949F-9625-4B78-AD81-FDB807658570}"/>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6AE9C602-9B77-4410-A3C0-07452751F02D}"/>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F31D51B3-62C4-40D3-AE9C-B51BDBE29792}"/>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3F7BAF1C-8B61-4FDB-8EA8-F1039AB75F14}"/>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960EC487-BBE0-411D-9223-A6F7AA4B334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6880538-2323-49BD-9F84-1D0D18224E01}"/>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A79E4D19-CBCF-4219-9482-E72ADEE9859B}"/>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1263C301-9F09-4508-A889-11B0B2FDF50F}"/>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1E267397-1DE4-4742-9AD6-88BF3D467371}"/>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0D91793F-B0F8-48B8-9202-D671A31762B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09BA33E9-42D2-4EFF-890C-3E46B5E20D4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F5776A13-1414-447D-8590-221A6427427D}"/>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0F59AFDA-7459-40C4-9F8A-BF21D35E478C}"/>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B2884CC4-8C05-4D4B-8FB7-63154F1DD8CD}"/>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5A4C2168-F150-4B38-B2EF-D1AF256C735F}"/>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E5243114-AD67-4C61-B591-2BE4B606DD25}"/>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CE85570A-9D28-4648-A275-C69BDE07549C}"/>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362AB7E-738E-4318-A182-51C86819F1D5}"/>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071766B0-1E71-432B-A20E-13F85CED01F9}"/>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D707A2B-E247-47E2-9A1D-436739563D0E}"/>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32D23E3F-1625-4068-83F5-113B050C0149}"/>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BD5DD6C1-18F5-43BB-B6AF-116558FF0579}"/>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CB813B5A-E724-4719-927A-5597D09CD384}"/>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C39FB756-B564-4C53-9BCF-7EB0CDEB5FD1}"/>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EB25C99E-6794-46FE-B0BB-4301E275754A}"/>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4BA4B33C-308E-4D25-949C-D6966AAE4CC0}"/>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7A9DD212-6649-4229-B8B1-DAED78191664}"/>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57A7F85C-91C9-421D-8651-D1747EB33C94}"/>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B9866104-7C1E-4773-904D-4195C7DD2A50}"/>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590BFA39-6B5D-43A7-87D7-B8A793AEB2A9}"/>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D278318-0F3A-4F9A-B769-874BC6F24187}"/>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30B9BB9D-08BB-46EB-9899-A7BE176E72F5}"/>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E6C79FF3-4F09-47F9-82E7-A401C84B6C10}"/>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0BDB9F08-7D59-4AD1-9D55-D7FD9A038113}"/>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5D5DDC28-AB19-4D24-B79E-3CD24B7685C8}"/>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FC8B0FBE-79D3-40B3-9E16-7279E364BA96}"/>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C3405D76-941C-496A-9EE9-007B7D6A6BC3}"/>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7B9ED77F-D113-4B57-9375-DE23D0AF0E2F}"/>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A334049E-4D2C-4815-96CE-C50A777AA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E646A731-E9DC-46FB-B891-AEECC013D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A2890545-7273-4746-8645-12E1E33D57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38FF3ABC-4CD9-4C12-AAFA-9FE690E4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9C83EC54-4F5D-466B-BD18-3EE618F58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E5FE5E29-8A2F-400F-BC94-EE2A51CFF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D145800C-F69A-4DF5-8B7F-1FE34CF90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6965E35B-E6E0-49A9-A175-4DCF94FE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9CE25152-7216-405C-8E12-DE8897F08856}"/>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915C497A-25DA-46FC-B205-11D25C3734FA}"/>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D45E0942-0FFB-4B04-A58D-DC541DC6F8D0}"/>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68A338E9-E875-4483-A847-CD05B738FBD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B85E4105-0F03-46AB-B701-4FC7E2109494}"/>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A79764C-13CD-4A56-B1E2-DE4D6F4ED5C1}"/>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2A37C4EF-D717-44FA-8B07-D1B9E7236DAF}"/>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191F90D7-8D63-456B-8D67-8423616A7110}"/>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72B793A1-314B-4565-8FD8-BF721CE22CAA}"/>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CF37A8C6-D3D3-4028-9410-387660096D27}"/>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302E78C8-AB7F-4074-AF00-65BECE20E149}"/>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06541740-3AB9-4041-93EF-BCE30D15B09C}"/>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9AB165F9-F201-4BC6-A47A-36FC8DAE87EF}"/>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349AC8DA-120F-4965-B326-CEB08FF23777}"/>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B06E78D6-175E-47C8-ACFB-3674A6244888}"/>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F66FE422-1DE4-4E51-9785-049293B1B93A}"/>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9B5E234E-A568-45C4-BC11-CD5CFB228291}"/>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CD656227-6B8F-425F-97ED-C3DD1096C020}"/>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A8AFF410-8C10-4CC1-BE61-B90BB27F2E57}"/>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838D032-CF70-4007-989C-89406AE1DA20}"/>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0DCA6C29-F517-414A-84A1-AB61C171D490}"/>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763A31F0-367E-4AC1-8659-36FC2F1F86AA}"/>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FFA2486B-1177-4242-9443-8CBF856F8945}"/>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29DE89B6-0704-47CC-9DA1-986E2CB1BE95}"/>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E5706DE6-3109-4C76-89E1-9498CAB73D14}"/>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BE307ECE-5C0D-4B17-BC88-7DFF6AFFCC16}"/>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CA3A4E39-C13A-4201-8080-A5CCCF42B293}"/>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72CEA4AD-FE6A-4357-AF6B-F843C7CF2C97}"/>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41AE1A2A-10DA-4125-B512-129BB8141C16}"/>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EAE57694-3386-4E30-95E5-3BFC6A21542E}"/>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9DA483DF-01AF-4B06-8F78-BD365CEC8A5D}"/>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9D4BAF91-BB89-4946-B5A0-2A9E705244BF}"/>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08F2CC44-19D4-4C9F-9A16-0198DEFFC3A5}"/>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0FF5B065-45E1-4E38-8E21-EAEDE4EF7BE7}"/>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0EC079A5-69E6-4A9D-A140-C6A5991E57F0}"/>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DE4451DE-26D0-4D24-92E9-C822B626EEED}"/>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BB068B1A-3C77-4628-A169-5CDA8CE1A6DA}"/>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158A664D-5D32-4B4E-9457-1AC2AC00EAB8}"/>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27A4CC6-2133-4B58-812B-ADAAB95EA67D}"/>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DB08C532-79C0-41ED-9BFE-C00045141869}"/>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30263C7E-2F6F-4197-AD74-33AC588CE24C}"/>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2CBC6258-625A-4077-8DDE-D5CF00413D7D}"/>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D4D5E8A6-E48C-4C64-BEF9-318DA2768A6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2710A044-9D93-47C9-89A5-7F230F12A492}"/>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993A3618-BFC3-4DFB-8D7F-892DEDD3E704}"/>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031D1696-6163-4613-A664-E1E0EF6D6D68}"/>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34FA85D8-6A52-4219-BD6B-0D3DB394883D}"/>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B9E1FF80-6E2F-4E22-B4B3-003D64F62BE1}"/>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686B2B80-7CB6-4CA4-88E8-1428715B576F}"/>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3B86CFBC-08E0-442F-B3FE-1C1A55555D5A}"/>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E853A702-BE5C-48B0-B17B-EBA60BA368E0}"/>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8264F392-4255-40E8-9B80-63083951CF5E}"/>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A0F4D1B9-353A-4D63-B0A4-08C211BC3C84}"/>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657CFB91-8D28-454D-A580-76E325C17E9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5499675F-EB68-4A34-BCCD-CE9595FA87B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21" dataDxfId="419" headerRowBorderDxfId="420" tableBorderDxfId="418" totalsRowBorderDxfId="417">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16"/>
    <tableColumn id="2" xr3:uid="{3ED48CAF-AEA8-4BE8-B7F1-2299EB29B35F}" name="Type" dataDxfId="415"/>
    <tableColumn id="4" xr3:uid="{3AB0FC57-7649-4B3B-9F5D-93A93BB83C11}" name="NH4 " dataDxfId="414"/>
    <tableColumn id="5" xr3:uid="{C3901341-2F32-4EFA-87E8-3AC50F142DD8}" name="NO3" dataDxfId="413"/>
    <tableColumn id="3" xr3:uid="{E3B16605-8262-48F2-A869-BC7023A9D418}" name="NH2 Nitrites" dataDxfId="412"/>
    <tableColumn id="6" xr3:uid="{46B446D7-83BB-47D1-907E-55B2993BD1E5}" name="P2O5" dataDxfId="411"/>
    <tableColumn id="51" xr3:uid="{D8521187-B5A0-4186-952D-020137993F7A}" name="PO4" dataDxfId="410"/>
    <tableColumn id="7" xr3:uid="{1A63C63C-F860-4CD7-BE27-FA97441B156F}" name="K2O" dataDxfId="409"/>
    <tableColumn id="11" xr3:uid="{DE7DDDB2-CB7F-45F6-8DED-309FED6EBE25}" name="MgO" dataDxfId="408"/>
    <tableColumn id="41" xr3:uid="{6E467833-EC60-4C26-B978-EB8CAEE6C8F4}" name="MgCo3" dataDxfId="407"/>
    <tableColumn id="12" xr3:uid="{05105349-9E4D-4991-A805-1322542B8264}" name="CaO" dataDxfId="406"/>
    <tableColumn id="39" xr3:uid="{6125586C-89EA-4676-9C0A-413185EDEECC}" name="CaCO3" dataDxfId="405"/>
    <tableColumn id="13" xr3:uid="{11411BD2-F4AE-46F2-88A7-B879DE7199E8}" name="SO4" dataDxfId="404"/>
    <tableColumn id="38" xr3:uid="{CA872F2A-D9A0-4D13-B9E9-DBAB70EAA739}" name="SO3" dataDxfId="403"/>
    <tableColumn id="14" xr3:uid="{05551818-0C60-4B8C-88AF-4462799DA7FC}" name="SiO2" dataDxfId="402"/>
    <tableColumn id="40" xr3:uid="{CDDDAB8B-5613-4006-BF5B-3CEBD7DFDFCE}" name="Si(OH)4" dataDxfId="401"/>
    <tableColumn id="8" xr3:uid="{45E11359-8716-4F06-918A-B2AC31E045C7}" name="N" dataDxfId="400"/>
    <tableColumn id="9" xr3:uid="{700946A6-3DC7-4C41-A175-F468C41F1877}" name="P" dataDxfId="399"/>
    <tableColumn id="10" xr3:uid="{73CD75C1-5279-4D0C-8088-BC3E40341C3C}" name="K" dataDxfId="398"/>
    <tableColumn id="42" xr3:uid="{9E30B7DE-19C7-4E15-B2C6-5CE6F5CAE764}" name="MG" dataDxfId="397"/>
    <tableColumn id="43" xr3:uid="{4F9E4FA2-AE13-4242-9212-1E39897263DF}" name="CA" dataDxfId="396"/>
    <tableColumn id="44" xr3:uid="{E3C6EF7B-618C-4318-8012-F82F8BA3F913}" name="S" dataDxfId="395"/>
    <tableColumn id="45" xr3:uid="{F7837C2F-1C3E-4D1C-A14E-3DBEBF0537EE}" name="Si" dataDxfId="394"/>
    <tableColumn id="15" xr3:uid="{5A1880FB-706A-49B2-B887-3A2A8B7B8D1E}" name="Co" dataDxfId="393"/>
    <tableColumn id="16" xr3:uid="{534B4C92-600F-4EF9-8E96-B60A08A7164F}" name="Fe" dataDxfId="392"/>
    <tableColumn id="17" xr3:uid="{AB7515A6-9FD7-4D4E-9BEB-07E2608468DC}" name="Mn" dataDxfId="391"/>
    <tableColumn id="18" xr3:uid="{E8CB0445-B22C-4EB3-A3F2-4931D2669245}" name="Mo" dataDxfId="390"/>
    <tableColumn id="19" xr3:uid="{20697127-BED3-41B4-BD8F-F01759022AF6}" name="Zn" dataDxfId="389"/>
    <tableColumn id="20" xr3:uid="{1847FD76-38B8-4673-8419-F4B6580DB62C}" name="B" dataDxfId="388"/>
    <tableColumn id="21" xr3:uid="{4203A65A-A868-46FA-901A-3B162CB15550}" name="Cu" dataDxfId="387"/>
    <tableColumn id="22" xr3:uid="{95BA2F3C-67D9-4A09-B1E8-DF7F4C1D4E35}" name="Cl" dataDxfId="386"/>
    <tableColumn id="23" xr3:uid="{B67D0862-F99F-42F4-ABDA-AA89B6A90006}" name="Na" dataDxfId="385"/>
    <tableColumn id="24" xr3:uid="{833F344A-167A-4724-9068-CD076ABB7A69}" name="Humic" dataDxfId="384"/>
    <tableColumn id="25" xr3:uid="{DD89E0C7-1EE9-4AE6-A6D7-4A06D0B03B64}" name="Fulvic" dataDxfId="383"/>
    <tableColumn id="26" xr3:uid="{29E89942-FA08-4676-BC7A-D473F31E311F}" name=" B1" dataDxfId="382"/>
    <tableColumn id="27" xr3:uid="{238F7D2F-0133-47C9-97DE-B66998BD4F51}" name="EDTA" dataDxfId="381"/>
    <tableColumn id="37" xr3:uid="{55BEA87C-C295-4E17-97F1-38CC3B6121BF}" name="DTPA" dataDxfId="380"/>
    <tableColumn id="46" xr3:uid="{DF2EB6CF-2183-4994-9AA5-D041AA2DDEEA}" name="EDDHA" dataDxfId="379"/>
    <tableColumn id="50" xr3:uid="{4B525BB4-6386-4EB7-A67A-64AB83338351}" name="F" dataDxfId="378"/>
    <tableColumn id="49" xr3:uid="{AEB1CA3E-D132-43C2-8542-E62B4CA6B3B1}" name="Cd" dataDxfId="377"/>
    <tableColumn id="48" xr3:uid="{8B37C42A-0E47-4A37-B4AF-6E5AF0E6D415}" name="Cr" dataDxfId="376"/>
    <tableColumn id="47" xr3:uid="{9D0F6783-769E-42AC-B2C1-EEC3F174C9BA}" name="Al" dataDxfId="375"/>
    <tableColumn id="52" xr3:uid="{8896A6BA-E6D1-4846-A2A1-2938C446094C}" name="Pb" dataDxfId="374"/>
    <tableColumn id="53" xr3:uid="{707A2BEE-6B39-4E11-A23A-AF354965EFA6}" name="Se" dataDxfId="373"/>
    <tableColumn id="36" xr3:uid="{3FDF2176-F6B7-4738-91DB-0253A22DE3D5}" name="Other" dataDxfId="372"/>
    <tableColumn id="29" xr3:uid="{ECB20657-5440-4433-91A1-5B94D1F3DA8C}" name="Handicap" dataDxfId="371"/>
    <tableColumn id="30" xr3:uid="{94BE3AFC-1129-4D35-B074-0E07949F4F12}" name="Bottle Liters" dataDxfId="370"/>
    <tableColumn id="31" xr3:uid="{37AE9F4D-C4AF-4918-8122-B736F7DA6A8F}" name="Net Weight g/ml" dataDxfId="369"/>
    <tableColumn id="32" xr3:uid="{5DB60FE7-4450-418B-B926-601E5BE1D8D0}" name="Specific Gravity" dataDxfId="368">
      <calculatedColumnFormula>SUM(DP319/(DO319*1000))</calculatedColumnFormula>
    </tableColumn>
    <tableColumn id="33" xr3:uid="{834777A7-1EA2-4A61-A07A-F00B0040DAA6}" name="Price gal" dataDxfId="367"/>
    <tableColumn id="34" xr3:uid="{EC5BEF2C-2A9E-4EFD-AA66-68A8CD466B61}" name="Cost ML" dataDxfId="366">
      <calculatedColumnFormula>SUM($DR319/$DO319)/1000</calculatedColumnFormula>
    </tableColumn>
    <tableColumn id="28" xr3:uid="{79292CB4-168B-428B-B234-AF42AE1446BF}" name="Sort" dataDxfId="365"/>
    <tableColumn id="70" xr3:uid="{B714EF96-BF22-441F-B683-5BBB6D57EC2C}" name="User" dataDxfId="364"/>
    <tableColumn id="69" xr3:uid="{6ABEB920-5A3D-46E1-9A15-6D9BC799214A}" name="Start 1" dataDxfId="363"/>
    <tableColumn id="71" xr3:uid="{1547D662-5D50-48F3-B744-658078121664}" name="Notes" dataDxfId="362"/>
    <tableColumn id="54" xr3:uid="{C7E55DE6-8C2F-42A1-B4EC-7C48935826AB}" name="Week 1" dataDxfId="361"/>
    <tableColumn id="55" xr3:uid="{339D97C2-532D-4448-A56A-66D148FE2AAC}" name="Week 2" dataDxfId="360"/>
    <tableColumn id="56" xr3:uid="{93CC0D37-A242-4EB8-9C9F-E9036A94A1D2}" name="Week 3" dataDxfId="359"/>
    <tableColumn id="57" xr3:uid="{56519C13-6FB8-4534-8336-FAB7872EB261}" name="Week 4" dataDxfId="358"/>
    <tableColumn id="58" xr3:uid="{F814C3D0-381E-4AF1-A284-49F79F2FD96F}" name="Week 5" dataDxfId="357"/>
    <tableColumn id="59" xr3:uid="{F57BBD37-5FB9-4DAC-8B1C-873520BA79EC}" name="Week 6" dataDxfId="356"/>
    <tableColumn id="60" xr3:uid="{085DCA14-CF1A-474A-BFB2-B6FECBAD5A34}" name="Week 7" dataDxfId="355"/>
    <tableColumn id="61" xr3:uid="{F45FAF91-0487-42FB-A489-7985D099C000}" name="Week 8" dataDxfId="354"/>
    <tableColumn id="62" xr3:uid="{34555891-C23D-4387-9408-98D812F15F45}" name="Week 9" dataDxfId="353"/>
    <tableColumn id="63" xr3:uid="{84A1D5EE-84EA-4D12-AEE7-CA5E2156C6C2}" name="Week 10" dataDxfId="352"/>
    <tableColumn id="64" xr3:uid="{0ACC2140-4F39-4001-9723-C12A4A98DE23}" name="Week 11" dataDxfId="351"/>
    <tableColumn id="65" xr3:uid="{E3821173-265A-44EC-8878-56E315F8CDD7}" name="Week 12" dataDxfId="350"/>
    <tableColumn id="66" xr3:uid="{F26DCCB1-35C9-42DD-989B-C15DB17FCABB}" name="Week 13" dataDxfId="349"/>
    <tableColumn id="67" xr3:uid="{C956CC9F-6444-474D-8B08-56FE49A4C492}" name="Week 14" dataDxfId="348"/>
    <tableColumn id="35" xr3:uid="{5E23C66F-F0AB-4676-A559-3B754C4A125D}" name="Compounds" dataDxfId="3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46" dataDxfId="344" headerRowBorderDxfId="345" tableBorderDxfId="343" totalsRowBorderDxfId="342">
  <autoFilter ref="A1:BR16" xr:uid="{B62FB4A1-3EA6-4D2C-B52E-F58CD4005073}"/>
  <sortState xmlns:xlrd2="http://schemas.microsoft.com/office/spreadsheetml/2017/richdata2" ref="A2:BR16">
    <sortCondition sortBy="cellColor" ref="BA1:BA16" dxfId="341"/>
  </sortState>
  <tableColumns count="70">
    <tableColumn id="1" xr3:uid="{683EFFC0-4FAB-4FFF-93D5-0194CBF747F6}" name="User1 Brian" dataDxfId="340"/>
    <tableColumn id="2" xr3:uid="{45148E66-9896-4CF9-96A8-C2CA4E409914}" name="Type" dataDxfId="339"/>
    <tableColumn id="4" xr3:uid="{C5943609-AE8A-48E2-98CC-C7D7F2B43438}" name="NH4 " dataDxfId="338"/>
    <tableColumn id="5" xr3:uid="{CA6468DD-32F8-44CE-9B9F-FB60DA4ED071}" name="NO3" dataDxfId="337"/>
    <tableColumn id="3" xr3:uid="{1AD0B15F-9B3B-4248-9697-65E52F290D5A}" name="NH2 Nitrites" dataDxfId="336"/>
    <tableColumn id="6" xr3:uid="{06B7B3F4-9FB0-4078-BBE6-C00706ED4A32}" name="P2O5" dataDxfId="335"/>
    <tableColumn id="51" xr3:uid="{FC88F767-0678-4F51-A221-464C2EACE5E5}" name="PO4" dataDxfId="334"/>
    <tableColumn id="7" xr3:uid="{2E1C9481-62EC-4515-8C63-EFA94CEF42B0}" name="K2O" dataDxfId="333"/>
    <tableColumn id="11" xr3:uid="{A824C1EB-A002-4C40-A735-9972C71EB0A1}" name="MgO" dataDxfId="332"/>
    <tableColumn id="41" xr3:uid="{EF304307-314A-4C9D-B6CB-A382BA97F51C}" name="MgCo3" dataDxfId="331"/>
    <tableColumn id="12" xr3:uid="{85EF1FC2-86C0-4E67-BA57-5C8BEA7DFA17}" name="CaO" dataDxfId="330"/>
    <tableColumn id="39" xr3:uid="{9F065F12-5569-4827-8660-19E925257D1D}" name="CaCO3" dataDxfId="329"/>
    <tableColumn id="13" xr3:uid="{2B33DA31-CC22-463B-BF2D-D8782029542D}" name="SO4" dataDxfId="328"/>
    <tableColumn id="38" xr3:uid="{8BDE13DF-7CA4-42C4-B342-AB15088890A1}" name="SO3" dataDxfId="327"/>
    <tableColumn id="14" xr3:uid="{1BE28B14-6DCD-4A9F-AF77-E7E7420384C5}" name="SiO2" dataDxfId="326"/>
    <tableColumn id="40" xr3:uid="{12301702-88CE-46F6-8580-F11D75F0F5F2}" name="Si(OH)4" dataDxfId="325"/>
    <tableColumn id="8" xr3:uid="{CD17ACC9-B590-4ACE-9652-A3F9F1AE7FEE}" name="N" dataDxfId="324"/>
    <tableColumn id="9" xr3:uid="{AB592C0E-204D-4F9C-A734-8CF6FC12A35E}" name="P" dataDxfId="323"/>
    <tableColumn id="10" xr3:uid="{DAFD8625-6AA1-4D30-AA54-2526D10FC209}" name="K" dataDxfId="322"/>
    <tableColumn id="42" xr3:uid="{C9B1C727-31B4-406E-9ABE-00D735498436}" name="MG" dataDxfId="321"/>
    <tableColumn id="43" xr3:uid="{4D33F6BD-9BC1-4659-8428-8324971291C6}" name="CA" dataDxfId="320"/>
    <tableColumn id="44" xr3:uid="{F328784F-7FB0-4A4F-A427-08CED47C3FBA}" name="S" dataDxfId="319"/>
    <tableColumn id="45" xr3:uid="{C53341F4-7D44-4C51-899E-03E3B099B6D8}" name="Si" dataDxfId="318"/>
    <tableColumn id="15" xr3:uid="{305A4E67-E9C3-49C3-9002-43848E172D60}" name="Co" dataDxfId="317"/>
    <tableColumn id="16" xr3:uid="{3514BBFB-4579-4C29-8946-389FA095DB24}" name="Fe" dataDxfId="316"/>
    <tableColumn id="17" xr3:uid="{AED2AD5D-5219-434C-930E-F5C6D4ED3A8D}" name="Mn" dataDxfId="315"/>
    <tableColumn id="18" xr3:uid="{4B1EFBF1-9206-48EC-8E99-9F00CE47D30C}" name="Mo" dataDxfId="314"/>
    <tableColumn id="19" xr3:uid="{C193F47E-327B-429A-9EE0-5D4AD637264C}" name="Zn" dataDxfId="313"/>
    <tableColumn id="20" xr3:uid="{AAE62AA2-875E-4D6C-ADBE-8EEE07898576}" name="B" dataDxfId="312"/>
    <tableColumn id="21" xr3:uid="{AC5CB32A-05F4-4896-970D-A829E05C7BE0}" name="Cu" dataDxfId="311"/>
    <tableColumn id="22" xr3:uid="{C1C9807B-924A-433B-B460-F64AB087D1E1}" name="Cl" dataDxfId="310"/>
    <tableColumn id="23" xr3:uid="{02283008-16B9-41F4-9ABE-0B2091068FA2}" name="Na" dataDxfId="309"/>
    <tableColumn id="24" xr3:uid="{E6712C38-3052-4A9D-A320-76F82F8B10D6}" name="Humic" dataDxfId="308"/>
    <tableColumn id="25" xr3:uid="{541D4EEE-0A30-4B59-A584-013C86AA276C}" name="Fulvic" dataDxfId="307"/>
    <tableColumn id="26" xr3:uid="{E9942FCB-F280-490E-8989-0025C87447D5}" name=" B1" dataDxfId="306"/>
    <tableColumn id="27" xr3:uid="{2ACED6BE-7589-45A5-87DE-AEA6C6AE25D0}" name="EDTA" dataDxfId="305"/>
    <tableColumn id="37" xr3:uid="{72657209-5189-488D-A458-E8B962478209}" name="DTPA" dataDxfId="304"/>
    <tableColumn id="46" xr3:uid="{60E3760C-253F-44BB-8E9A-361EC36BC196}" name="EDDHA" dataDxfId="303"/>
    <tableColumn id="50" xr3:uid="{2E18A4E4-A5D2-4702-A552-67C3CE1151D4}" name="F" dataDxfId="302"/>
    <tableColumn id="49" xr3:uid="{6ECDBC51-3C1B-4993-B488-5280B0F418F8}" name="Cd" dataDxfId="301"/>
    <tableColumn id="48" xr3:uid="{0F391BFE-9D6D-4D12-823D-FA9BCB81D931}" name="Cr" dataDxfId="300"/>
    <tableColumn id="47" xr3:uid="{66036A7D-1F63-40E2-B968-5DA474DFD1C8}" name="Al" dataDxfId="299"/>
    <tableColumn id="52" xr3:uid="{A16AF5BB-90F8-4836-8D1C-65850CA6FF5B}" name="Pb" dataDxfId="298"/>
    <tableColumn id="53" xr3:uid="{DAC3C017-F6C9-43F1-9ABE-FE4042E46294}" name="Se" dataDxfId="297"/>
    <tableColumn id="36" xr3:uid="{BCA07031-86C6-46D4-A398-DB0006195105}" name="Other" dataDxfId="296"/>
    <tableColumn id="29" xr3:uid="{0BE9D625-F818-4ECF-AF5A-61D93BF8D86D}" name="Handicap" dataDxfId="295"/>
    <tableColumn id="30" xr3:uid="{64A74F74-3A80-4016-9BD1-7B42983B7F3E}" name="Bottle Liters" dataDxfId="294"/>
    <tableColumn id="31" xr3:uid="{23F9BD3F-3326-499F-B2DC-A5E640682804}" name="Net Weight g/ml" dataDxfId="293"/>
    <tableColumn id="32" xr3:uid="{EE7126C9-4B7D-434C-A894-921E9AEC4AEC}" name="Specific Gravity" dataDxfId="292">
      <calculatedColumnFormula>SUM(AV2/(AU2*1000))</calculatedColumnFormula>
    </tableColumn>
    <tableColumn id="33" xr3:uid="{A397FF86-1648-43B6-A3EC-D8ED873094BC}" name="Price gal" dataDxfId="291"/>
    <tableColumn id="34" xr3:uid="{23B1CF92-C8B3-4CF5-ADED-6993FE4A2DEC}" name="Cost ML" dataDxfId="290">
      <calculatedColumnFormula>SUM($AX2/$AU2)/1000</calculatedColumnFormula>
    </tableColumn>
    <tableColumn id="28" xr3:uid="{276216BC-57DB-42D1-A774-63EC25CD9A94}" name="Sort" dataDxfId="289"/>
    <tableColumn id="70" xr3:uid="{E290C89B-E945-4BDE-8E97-962115B76157}" name="User" dataDxfId="288"/>
    <tableColumn id="69" xr3:uid="{07A65CA2-D2B5-4648-B1C0-3DCBB1E4171A}" name="Start 1" dataDxfId="287"/>
    <tableColumn id="71" xr3:uid="{E8F91F71-2258-4034-865F-143E1CFBC5D8}" name="Notes" dataDxfId="286"/>
    <tableColumn id="54" xr3:uid="{FEF9E298-BA1F-443E-96EA-037CFAF95836}" name="Week 1" dataDxfId="285"/>
    <tableColumn id="55" xr3:uid="{F7333FB7-59C7-45F6-A22B-8E94448C38BC}" name="Week 2" dataDxfId="284"/>
    <tableColumn id="56" xr3:uid="{155201FE-FBFC-4348-AE5E-BB1E1837C54A}" name="Week 3" dataDxfId="283"/>
    <tableColumn id="57" xr3:uid="{DA2A4788-FCB0-406D-AD15-479E73B46676}" name="Week 4" dataDxfId="282"/>
    <tableColumn id="58" xr3:uid="{A7EC4625-2859-4B8B-8C2B-270579A75C63}" name="Week 5" dataDxfId="281"/>
    <tableColumn id="59" xr3:uid="{8CD59D27-7E20-405D-A83B-B65706F246CE}" name="Week 6" dataDxfId="280"/>
    <tableColumn id="60" xr3:uid="{67FCCEF9-8E69-4F5E-8DAF-0D75EC73E711}" name="Week 7" dataDxfId="279"/>
    <tableColumn id="61" xr3:uid="{55D58AFD-9F98-4546-B53B-2238D69B5045}" name="Week 8" dataDxfId="278"/>
    <tableColumn id="62" xr3:uid="{8809B421-9326-4D3D-8E51-C6D834DD9072}" name="Week 9" dataDxfId="277"/>
    <tableColumn id="63" xr3:uid="{824C7EFC-A6EA-4040-BB12-151E83BD247C}" name="Week 10" dataDxfId="276"/>
    <tableColumn id="64" xr3:uid="{081D8B91-5016-4A60-9B2A-325EF645CE7F}" name="Week 11" dataDxfId="275"/>
    <tableColumn id="65" xr3:uid="{4B9BCDA1-27FE-4DE6-B69F-B17FDA2F875D}" name="Week 12" dataDxfId="274"/>
    <tableColumn id="66" xr3:uid="{5854D568-75F0-490B-8D73-1CC36B88628F}" name="Week 13" dataDxfId="273"/>
    <tableColumn id="67" xr3:uid="{515F2FF8-BC2D-4333-979F-FC0BBA38C142}" name="Week 14" dataDxfId="272"/>
    <tableColumn id="35" xr3:uid="{85D2F6CD-21C2-4319-84D1-8F0BC1CC14EB}" name="Compounds" dataDxfId="27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70" dataDxfId="268" headerRowBorderDxfId="269" tableBorderDxfId="267" totalsRowBorderDxfId="266">
  <autoFilter ref="A1:BR16" xr:uid="{B62FB4A1-3EA6-4D2C-B52E-F58CD4005073}"/>
  <sortState xmlns:xlrd2="http://schemas.microsoft.com/office/spreadsheetml/2017/richdata2" ref="A2:BR16">
    <sortCondition sortBy="cellColor" ref="BA1:BA16" dxfId="265"/>
  </sortState>
  <tableColumns count="70">
    <tableColumn id="1" xr3:uid="{C61E9FF7-2387-4F91-8465-DB9760EE0FCB}" name="User2 Kyle" dataDxfId="264"/>
    <tableColumn id="2" xr3:uid="{2C78BFE2-15A2-4D32-B046-242F26F5B3B2}" name="Type" dataDxfId="263"/>
    <tableColumn id="4" xr3:uid="{4F0DB99B-8F69-46F5-9EC1-A017BBF76E20}" name="NH4 " dataDxfId="262"/>
    <tableColumn id="5" xr3:uid="{D0F15687-AB16-4913-926B-4CCC9A44FA3E}" name="NO3" dataDxfId="261"/>
    <tableColumn id="3" xr3:uid="{6403F67D-B920-45AF-9CD5-13DCB77003E8}" name="NH2 Nitrites" dataDxfId="260"/>
    <tableColumn id="6" xr3:uid="{95DD1857-9DDD-47B8-8D3C-F0CF60691A5E}" name="P2O5" dataDxfId="259"/>
    <tableColumn id="51" xr3:uid="{5203CEFF-9B41-47E3-85AB-4F742CD01CEC}" name="PO4" dataDxfId="258"/>
    <tableColumn id="7" xr3:uid="{52A55B4A-A472-407A-AD90-B7B43C5116D5}" name="K2O" dataDxfId="257"/>
    <tableColumn id="11" xr3:uid="{DE5AC144-AFA5-4ABD-BF3A-368EF9453517}" name="MgO" dataDxfId="256"/>
    <tableColumn id="41" xr3:uid="{49AA252B-522F-40B4-B8EE-3631A4DC605C}" name="MgCo3" dataDxfId="255"/>
    <tableColumn id="12" xr3:uid="{34395D31-26E5-44B6-AA0C-6DA0313FFE0C}" name="CaO" dataDxfId="254"/>
    <tableColumn id="39" xr3:uid="{0BF6D123-19D3-4FDA-A52A-60385BA3D3EB}" name="CaCO3" dataDxfId="253"/>
    <tableColumn id="13" xr3:uid="{218F44F0-A4FA-4F1A-A168-3186823AEC9C}" name="SO4" dataDxfId="252"/>
    <tableColumn id="38" xr3:uid="{C5A49DF6-AF71-48E3-9662-EE7CFD2410FD}" name="SO3" dataDxfId="251"/>
    <tableColumn id="14" xr3:uid="{CAB3ABC3-E502-4017-8420-D96E36F35ABC}" name="SiO2" dataDxfId="250"/>
    <tableColumn id="40" xr3:uid="{BBE63BCC-BA43-4716-9639-E36B0731E210}" name="Si(OH)4" dataDxfId="249"/>
    <tableColumn id="8" xr3:uid="{8FE2DCD9-CDEA-4AE7-BACE-12B23EDA735A}" name="N" dataDxfId="248"/>
    <tableColumn id="9" xr3:uid="{00C407FE-684A-491A-B871-01F188E5E59F}" name="P" dataDxfId="247"/>
    <tableColumn id="10" xr3:uid="{F752DCB8-5BEA-4963-899C-A11A9F3B5A46}" name="K" dataDxfId="246"/>
    <tableColumn id="42" xr3:uid="{3A25B067-C19A-46B8-8B14-7C469DBA9522}" name="MG" dataDxfId="245"/>
    <tableColumn id="43" xr3:uid="{0584C60A-EB80-437A-8DB9-65D7FB4FF6FB}" name="CA" dataDxfId="244"/>
    <tableColumn id="44" xr3:uid="{3FDEE476-054C-42C5-8BB1-A90B46E79A4B}" name="S" dataDxfId="243"/>
    <tableColumn id="45" xr3:uid="{4CFA8631-00E5-4836-BB58-62BA27251679}" name="Si" dataDxfId="242"/>
    <tableColumn id="15" xr3:uid="{26C398CC-860C-4FFB-A2C2-4A104336B198}" name="Co" dataDxfId="241"/>
    <tableColumn id="16" xr3:uid="{C53D5754-8BFC-4FB5-BB17-C129D56B59FE}" name="Fe" dataDxfId="240"/>
    <tableColumn id="17" xr3:uid="{31C2CFF8-0402-45F2-900E-A0F50934DA2C}" name="Mn" dataDxfId="239"/>
    <tableColumn id="18" xr3:uid="{AC67957B-E343-41C7-8B04-BA41E0C33E6E}" name="Mo" dataDxfId="238"/>
    <tableColumn id="19" xr3:uid="{D64B1D69-D154-413E-BCFF-4F0185748B46}" name="Zn" dataDxfId="237"/>
    <tableColumn id="20" xr3:uid="{6CD72998-6586-4282-89ED-73AC1D5182F7}" name="B" dataDxfId="236"/>
    <tableColumn id="21" xr3:uid="{7293BC7F-4A8A-415F-975F-1D476F024965}" name="Cu" dataDxfId="235"/>
    <tableColumn id="22" xr3:uid="{5906BE74-5348-4037-BEB3-3DC744DDEDF0}" name="Cl" dataDxfId="234"/>
    <tableColumn id="23" xr3:uid="{9484131E-761D-40A9-A37E-D2E5EBA69C4C}" name="Na" dataDxfId="233"/>
    <tableColumn id="24" xr3:uid="{9191271F-01C2-4B19-888E-8FF229A5B1A3}" name="Humic" dataDxfId="232"/>
    <tableColumn id="25" xr3:uid="{B376B213-5CC2-48F1-A4B7-1274057C602C}" name="Fulvic" dataDxfId="231"/>
    <tableColumn id="26" xr3:uid="{B1DAFBE2-97B6-4C10-BA18-91722E208ADA}" name=" B1" dataDxfId="230"/>
    <tableColumn id="27" xr3:uid="{D8A4B3B3-A108-4853-87AA-4F5C0EDF54F6}" name="EDTA" dataDxfId="229"/>
    <tableColumn id="37" xr3:uid="{C7D2EC70-E365-4343-9391-F1B5E4DE8F8B}" name="DTPA" dataDxfId="228"/>
    <tableColumn id="46" xr3:uid="{E77F3207-F147-4D3F-A4B1-B8C31B0EE1A5}" name="EDDHA" dataDxfId="227"/>
    <tableColumn id="50" xr3:uid="{43C4FC22-C9BC-4C37-8AAE-82A9F0645FC9}" name="F" dataDxfId="226"/>
    <tableColumn id="49" xr3:uid="{B8D52C78-7B32-408B-95AC-3A6C41973AC6}" name="Cd" dataDxfId="225"/>
    <tableColumn id="48" xr3:uid="{8D4154FD-0A4A-49EF-9B78-BDD421874A2C}" name="Cr" dataDxfId="224"/>
    <tableColumn id="47" xr3:uid="{085EC265-57C1-4C38-896D-4808192AF67C}" name="Al" dataDxfId="223"/>
    <tableColumn id="52" xr3:uid="{5FD41A30-3E3D-44BA-9C6E-F138FD6853BE}" name="Pb" dataDxfId="222"/>
    <tableColumn id="53" xr3:uid="{D6C01299-7997-4618-BDC3-FC31A669E9DA}" name="Se" dataDxfId="221"/>
    <tableColumn id="36" xr3:uid="{2B194106-6533-4682-B360-1A07CEF17289}" name="Other" dataDxfId="220"/>
    <tableColumn id="29" xr3:uid="{5CFFDDB9-1D9D-4569-A45D-D48E962513EF}" name="Handicap" dataDxfId="219"/>
    <tableColumn id="30" xr3:uid="{FAC934E3-2BD5-4980-B846-1ACF37EF0072}" name="Bottle Liters" dataDxfId="218"/>
    <tableColumn id="31" xr3:uid="{6A7FC161-B3B8-44A8-98D2-BA72852536BD}" name="Net Weight g/ml" dataDxfId="217"/>
    <tableColumn id="32" xr3:uid="{88B76223-C206-4C5F-9D48-1D590FDAFC20}" name="Specific Gravity" dataDxfId="216">
      <calculatedColumnFormula>SUM(AV2/(AU2*1000))</calculatedColumnFormula>
    </tableColumn>
    <tableColumn id="33" xr3:uid="{2896F753-56A7-4AB7-94B4-48A18C687871}" name="Price gal" dataDxfId="215"/>
    <tableColumn id="34" xr3:uid="{C1B7D5D8-9BD2-4E5C-A1EA-7C011E923499}" name="Cost ML" dataDxfId="214">
      <calculatedColumnFormula>SUM($AX2/$AU2)/1000</calculatedColumnFormula>
    </tableColumn>
    <tableColumn id="28" xr3:uid="{10128A42-2994-4D10-B063-C1ECB421E176}" name="Sort" dataDxfId="213"/>
    <tableColumn id="70" xr3:uid="{954975FC-64B2-4ABA-9FC5-8A19310278B5}" name="User" dataDxfId="212"/>
    <tableColumn id="69" xr3:uid="{CCBFCE76-F175-4966-9F80-7F9AF41B10A5}" name="Start 1" dataDxfId="211"/>
    <tableColumn id="71" xr3:uid="{AF8B928E-9EF2-49BD-B610-5EC8EBAED69B}" name="Notes" dataDxfId="210"/>
    <tableColumn id="54" xr3:uid="{F1A705A5-3951-451B-AD2C-663049557689}" name="Week 1" dataDxfId="209"/>
    <tableColumn id="55" xr3:uid="{F5AD3683-0CFC-4657-B85D-47095DA52A74}" name="Week 2" dataDxfId="208"/>
    <tableColumn id="56" xr3:uid="{0D2C990A-2C9B-426F-98F8-FC291B6C83DE}" name="Week 3" dataDxfId="207"/>
    <tableColumn id="57" xr3:uid="{1048A96A-048C-4678-B7F4-FBA44CC4C220}" name="Week 4" dataDxfId="206"/>
    <tableColumn id="58" xr3:uid="{E0057578-DCCA-4AC2-8268-F152AA0A85C8}" name="Week 5" dataDxfId="205"/>
    <tableColumn id="59" xr3:uid="{ED77FB66-67C2-4399-8FFA-FC9FCF6263E0}" name="Week 6" dataDxfId="204"/>
    <tableColumn id="60" xr3:uid="{E2E7771F-40B6-4EE8-AD04-581BB9A10452}" name="Week 7" dataDxfId="203"/>
    <tableColumn id="61" xr3:uid="{EC839527-4825-48C5-A947-2DF528ED8798}" name="Week 8" dataDxfId="202"/>
    <tableColumn id="62" xr3:uid="{7C7049EE-8383-4EFD-84FF-8CA345C38712}" name="Week 9" dataDxfId="201"/>
    <tableColumn id="63" xr3:uid="{4C8DC472-1292-43DE-AB2F-2EBD5B1029E9}" name="Week 10" dataDxfId="200"/>
    <tableColumn id="64" xr3:uid="{05517B3B-0A0F-4476-AA85-00D5213A6126}" name="Week 11" dataDxfId="199"/>
    <tableColumn id="65" xr3:uid="{042BA33D-2281-481A-A2D8-F1C499007C56}" name="Week 12" dataDxfId="198"/>
    <tableColumn id="66" xr3:uid="{D0860C51-7720-4FAE-8EC4-01A232AE53EB}" name="Week 13" dataDxfId="197"/>
    <tableColumn id="67" xr3:uid="{8A392FC8-9498-4A0D-A145-C7B44B6695D1}" name="Week 14" dataDxfId="196"/>
    <tableColumn id="35" xr3:uid="{BFC668F1-CC8B-4D9F-81F2-5620DA2CF8DC}" name="Compounds" dataDxfId="19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94" dataDxfId="192" headerRowBorderDxfId="193" tableBorderDxfId="191" totalsRowBorderDxfId="190">
  <autoFilter ref="A1:BR16" xr:uid="{B62FB4A1-3EA6-4D2C-B52E-F58CD4005073}"/>
  <sortState xmlns:xlrd2="http://schemas.microsoft.com/office/spreadsheetml/2017/richdata2" ref="A2:BR16">
    <sortCondition sortBy="cellColor" ref="BA1:BA16" dxfId="189"/>
  </sortState>
  <tableColumns count="70">
    <tableColumn id="1" xr3:uid="{78A87BC4-1EF5-4E54-96D6-332BA5EE5564}" name="User3 Andy" dataDxfId="188"/>
    <tableColumn id="2" xr3:uid="{286DE54E-AC3C-4D67-A6F5-98E5A9E240E6}" name="Type" dataDxfId="187"/>
    <tableColumn id="4" xr3:uid="{565DD00A-6FD9-47B5-853B-4C530448B21A}" name="NH4 " dataDxfId="186"/>
    <tableColumn id="5" xr3:uid="{8680476C-8451-42D8-9A07-4DA6582D33E8}" name="NO3" dataDxfId="185"/>
    <tableColumn id="3" xr3:uid="{EEB7A20E-F435-443D-A6CE-EBA62E749670}" name="NH2 Nitrites" dataDxfId="184"/>
    <tableColumn id="6" xr3:uid="{3364DF7E-ECFC-4966-9215-9C240ADCB4FD}" name="P2O5" dataDxfId="183"/>
    <tableColumn id="51" xr3:uid="{9E7D9C3D-3857-4C72-8763-A85E168C7826}" name="PO4" dataDxfId="182"/>
    <tableColumn id="7" xr3:uid="{6E86050E-2385-450B-AF81-8744006A8F91}" name="K2O" dataDxfId="181"/>
    <tableColumn id="11" xr3:uid="{2E128DDF-834D-467C-AB2C-58C3E62A3DAD}" name="MgO" dataDxfId="180"/>
    <tableColumn id="41" xr3:uid="{09ACB725-36EE-48E5-854F-E0FCCE68178A}" name="MgCo3" dataDxfId="179"/>
    <tableColumn id="12" xr3:uid="{51D4084A-6ABC-4BCF-8C5B-5B993848260B}" name="CaO" dataDxfId="178"/>
    <tableColumn id="39" xr3:uid="{4E0B398E-BEBD-4734-B2CF-55E4842602BB}" name="CaCO3" dataDxfId="177"/>
    <tableColumn id="13" xr3:uid="{6CEE86AD-CBA3-43D8-80F8-CF3629BEB982}" name="SO4" dataDxfId="176"/>
    <tableColumn id="38" xr3:uid="{103F237E-2772-478F-8EA9-64870C941C5A}" name="SO3" dataDxfId="175"/>
    <tableColumn id="14" xr3:uid="{571B7904-A68F-433F-A0FA-100C4AD40903}" name="SiO2" dataDxfId="174"/>
    <tableColumn id="40" xr3:uid="{1CCC6202-951D-48C1-9DE7-2C215770CCBE}" name="Si(OH)4" dataDxfId="173"/>
    <tableColumn id="8" xr3:uid="{DADE9559-EA79-47AC-84A7-B42231146FFA}" name="N" dataDxfId="172"/>
    <tableColumn id="9" xr3:uid="{E40FBDFD-9887-4EB5-A0A5-AB2619F82E35}" name="P" dataDxfId="171"/>
    <tableColumn id="10" xr3:uid="{974B786F-DA3C-4FDA-99F7-B64027573DB0}" name="K" dataDxfId="170"/>
    <tableColumn id="42" xr3:uid="{5A6D6FE3-58DC-424F-AD99-12BF82AD892D}" name="MG" dataDxfId="169"/>
    <tableColumn id="43" xr3:uid="{B0F99F5A-983D-43AA-8B60-8B1696F2AAFB}" name="CA" dataDxfId="168"/>
    <tableColumn id="44" xr3:uid="{C6E0E6AF-F82F-462F-8886-78F0C663FB24}" name="S" dataDxfId="167"/>
    <tableColumn id="45" xr3:uid="{195B2DDA-D248-4573-90BD-063012A3E5FA}" name="Si" dataDxfId="166"/>
    <tableColumn id="15" xr3:uid="{0D608B46-086E-4537-971E-4419ACD6EC56}" name="Co" dataDxfId="165"/>
    <tableColumn id="16" xr3:uid="{8CE484C3-17F1-44DE-B109-120840BC1487}" name="Fe" dataDxfId="164"/>
    <tableColumn id="17" xr3:uid="{B84B585D-D4EA-4307-A9C4-707709BB6578}" name="Mn" dataDxfId="163"/>
    <tableColumn id="18" xr3:uid="{6EC1E75E-0018-423A-8A5E-3801833A627B}" name="Mo" dataDxfId="162"/>
    <tableColumn id="19" xr3:uid="{A55CDBE7-125C-48D9-B40D-4FD5533394E2}" name="Zn" dataDxfId="161"/>
    <tableColumn id="20" xr3:uid="{BF8E0EA4-1156-4B36-82A1-E1F1DB3C5453}" name="B" dataDxfId="160"/>
    <tableColumn id="21" xr3:uid="{4024216B-57B7-4677-B51F-A385F3774955}" name="Cu" dataDxfId="159"/>
    <tableColumn id="22" xr3:uid="{3D28245F-7788-4E41-A752-4EF5C9E51493}" name="Cl" dataDxfId="158"/>
    <tableColumn id="23" xr3:uid="{6BDFFFEC-20DF-451B-8774-E6DD4737A792}" name="Na" dataDxfId="157"/>
    <tableColumn id="24" xr3:uid="{4474B721-4F88-429A-B7F4-8FF68BDB2521}" name="Humic" dataDxfId="156"/>
    <tableColumn id="25" xr3:uid="{249850D3-5D3C-466D-947E-B54E3DAB5EDB}" name="Fulvic" dataDxfId="155"/>
    <tableColumn id="26" xr3:uid="{144A735E-10CE-49EE-B1D6-7CEA5D7BCA9A}" name=" B1" dataDxfId="154"/>
    <tableColumn id="27" xr3:uid="{C7BB737F-1BB8-4376-8431-43211D276576}" name="EDTA" dataDxfId="153"/>
    <tableColumn id="37" xr3:uid="{DA3D0AF4-F876-46B7-A75B-64A6B4EA30B1}" name="DTPA" dataDxfId="152"/>
    <tableColumn id="46" xr3:uid="{8C0E2497-42A8-47B2-B9DB-4E9A28B04388}" name="EDDHA" dataDxfId="151"/>
    <tableColumn id="50" xr3:uid="{03FD53D0-C3DE-46DF-858A-7B6538C80C93}" name="F" dataDxfId="150"/>
    <tableColumn id="49" xr3:uid="{F4CB3E98-8618-4429-93BB-F4FCF6941A98}" name="Cd" dataDxfId="149"/>
    <tableColumn id="48" xr3:uid="{C5074A21-12AD-47CC-B711-FE015A68DA1A}" name="Cr" dataDxfId="148"/>
    <tableColumn id="47" xr3:uid="{E75B6AAE-DE11-42ED-B146-0099608C9BBB}" name="Al" dataDxfId="147"/>
    <tableColumn id="52" xr3:uid="{F01945BC-CDDE-434E-9F9B-9EC8D293BDAD}" name="Pb" dataDxfId="146"/>
    <tableColumn id="53" xr3:uid="{6B308C3C-CEAC-4B3C-8415-E74FF561FBFD}" name="Se" dataDxfId="145"/>
    <tableColumn id="36" xr3:uid="{5E63C99F-591B-422F-8F46-ACA7FD59E423}" name="Other" dataDxfId="144"/>
    <tableColumn id="29" xr3:uid="{B65988E8-129E-4647-A504-A32E9C5D4AA2}" name="Handicap" dataDxfId="143"/>
    <tableColumn id="30" xr3:uid="{74F3E8AF-8D07-405A-94C0-6391C5F44C71}" name="Bottle Liters" dataDxfId="142"/>
    <tableColumn id="31" xr3:uid="{6B6B04E0-E17A-4525-B882-74F247F5B9EF}" name="Net Weight g/ml" dataDxfId="141"/>
    <tableColumn id="32" xr3:uid="{2A7BDF50-2706-4564-ACFB-539CE5E4FC3A}" name="Specific Gravity" dataDxfId="140">
      <calculatedColumnFormula>SUM(AV2/(AU2*1000))</calculatedColumnFormula>
    </tableColumn>
    <tableColumn id="33" xr3:uid="{6DCB8AF2-AA94-4156-B1E0-F76F286FCDA9}" name="Price gal" dataDxfId="139"/>
    <tableColumn id="34" xr3:uid="{325BF64B-3A47-497F-B60E-9885C6BDF8A9}" name="Cost ML" dataDxfId="138">
      <calculatedColumnFormula>SUM($AX2/$AU2)/1000</calculatedColumnFormula>
    </tableColumn>
    <tableColumn id="28" xr3:uid="{FBEB2845-DC84-449D-AB5C-7D3BFC1CBD9A}" name="Sort" dataDxfId="137"/>
    <tableColumn id="70" xr3:uid="{F6CB6CAB-D664-45DC-9E5B-DB20EA3C0A74}" name="User" dataDxfId="136"/>
    <tableColumn id="69" xr3:uid="{5AF0FA38-F560-42F9-9430-A074D003DC4C}" name="Start 1" dataDxfId="135"/>
    <tableColumn id="71" xr3:uid="{0A09DC0C-2102-4AF0-97FA-1BBE2B2FE262}" name="Notes" dataDxfId="134"/>
    <tableColumn id="54" xr3:uid="{5E6B547C-96BF-4574-989F-0C1921B7CF01}" name="Week 1" dataDxfId="133"/>
    <tableColumn id="55" xr3:uid="{ABC91BB1-60A9-4CFF-BA40-2ED2E979DFF9}" name="Week 2" dataDxfId="132"/>
    <tableColumn id="56" xr3:uid="{1ADA4FC6-B45E-430D-80C9-3C0EB4550C3D}" name="Week 3" dataDxfId="131"/>
    <tableColumn id="57" xr3:uid="{EBAAD5C2-12AA-4E98-A55B-FA80B1BE294D}" name="Week 4" dataDxfId="130"/>
    <tableColumn id="58" xr3:uid="{D0F84BD2-7DA4-4785-AB09-D86002CB7009}" name="Week 5" dataDxfId="129"/>
    <tableColumn id="59" xr3:uid="{C3EF38DE-EE4D-4B8A-A2BE-792F4658F0E9}" name="Week 6" dataDxfId="128"/>
    <tableColumn id="60" xr3:uid="{F0250008-F167-4F9F-827B-DED1A977E932}" name="Week 7" dataDxfId="127"/>
    <tableColumn id="61" xr3:uid="{3A820C88-7FFE-4BED-BBFB-EE15EB914FBF}" name="Week 8" dataDxfId="126"/>
    <tableColumn id="62" xr3:uid="{C9946A81-239C-46D5-A632-17AF1DEA2A52}" name="Week 9" dataDxfId="125"/>
    <tableColumn id="63" xr3:uid="{F6C6A3C7-3417-4824-A49D-979CFCF9E71F}" name="Week 10" dataDxfId="124"/>
    <tableColumn id="64" xr3:uid="{6F16230A-4756-408D-9F16-841312D8E648}" name="Week 11" dataDxfId="123"/>
    <tableColumn id="65" xr3:uid="{84BBF129-F2F8-4E3E-9003-AECB017892F9}" name="Week 12" dataDxfId="122"/>
    <tableColumn id="66" xr3:uid="{33ACD69B-5FEB-4C97-B537-FEC69D9C83B4}" name="Week 13" dataDxfId="121"/>
    <tableColumn id="67" xr3:uid="{B5FDDCEA-F662-4AB9-B3DE-937443CEC232}" name="Week 14" dataDxfId="120"/>
    <tableColumn id="35" xr3:uid="{241C7E09-E1F6-41A0-8BD6-317469A91F52}" name="Compounds" dataDxfId="11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118" dataDxfId="116" headerRowBorderDxfId="117" tableBorderDxfId="115" totalsRowBorderDxfId="114">
  <autoFilter ref="B29:E40" xr:uid="{F3A871D7-A236-4285-964A-B1AC22FB267E}"/>
  <sortState xmlns:xlrd2="http://schemas.microsoft.com/office/spreadsheetml/2017/richdata2" ref="B30:E40">
    <sortCondition ref="B29:B40"/>
  </sortState>
  <tableColumns count="4">
    <tableColumn id="1" xr3:uid="{611087BE-981F-431E-A57B-7A0E8D06C8D8}" name="Store" dataDxfId="113"/>
    <tableColumn id="2" xr3:uid="{7C0D60A2-C119-4E1E-83A0-A7AF3F25C188}" name="www" dataDxfId="112"/>
    <tableColumn id="4" xr3:uid="{94AFD6D1-AB27-4ED9-AD8F-DA32FA5C1135}" name="DESCRIPTION" dataDxfId="111"/>
    <tableColumn id="5" xr3:uid="{20A46D31-21D7-4CAC-8289-B309D8F0E995}" name="Shipping" dataDxfId="11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109" dataDxfId="107" headerRowBorderDxfId="108" tableBorderDxfId="106" totalsRowBorderDxfId="105">
  <autoFilter ref="B55:E95" xr:uid="{B62FB4A1-3EA6-4D2C-B52E-F58CD4005073}"/>
  <sortState xmlns:xlrd2="http://schemas.microsoft.com/office/spreadsheetml/2017/richdata2" ref="B56:E95">
    <sortCondition ref="B55:B95"/>
  </sortState>
  <tableColumns count="4">
    <tableColumn id="1" xr3:uid="{49779CA9-FBEC-45BA-89CC-90BFE80F865D}" name="Store" dataDxfId="104"/>
    <tableColumn id="2" xr3:uid="{597D5054-B4C7-411F-9168-00908B5E5FF0}" name="www" dataDxfId="103"/>
    <tableColumn id="4" xr3:uid="{446B70D0-72AD-40FF-8DBF-9DB02044F6BB}" name="5" dataDxfId="102"/>
    <tableColumn id="5" xr3:uid="{7F899DFE-DF88-4C98-A172-8E5FE8545501}" name="COST" dataDxfId="10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100" dataDxfId="98" headerRowBorderDxfId="99" tableBorderDxfId="97" totalsRowBorderDxfId="96">
  <autoFilter ref="B2:F48" xr:uid="{B62FB4A1-3EA6-4D2C-B52E-F58CD4005073}"/>
  <sortState xmlns:xlrd2="http://schemas.microsoft.com/office/spreadsheetml/2017/richdata2" ref="B3:F48">
    <sortCondition ref="B2:B48"/>
  </sortState>
  <tableColumns count="5">
    <tableColumn id="1" xr3:uid="{74789B18-1788-451B-84F8-F4B591B284F2}" name="Breaker" dataDxfId="95"/>
    <tableColumn id="2" xr3:uid="{D08D09A9-9F25-42EA-AAFF-84863E7936B3}" name="What Power" dataDxfId="94"/>
    <tableColumn id="4" xr3:uid="{09734B21-3F5B-49F9-B7C8-0DF47C76B832}" name="Room" dataDxfId="93"/>
    <tableColumn id="5" xr3:uid="{14CCC002-14E1-415A-8EF8-2BAC27889365}" name="Floor" dataDxfId="92"/>
    <tableColumn id="3" xr3:uid="{4915763F-712F-4F53-A536-28159F347A90}" name="?" dataDxfId="9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90" dataDxfId="88" headerRowBorderDxfId="89" tableBorderDxfId="87" totalsRowBorderDxfId="86">
  <autoFilter ref="B15:AD43" xr:uid="{7B0EFC59-B079-4EDC-B298-5C4C7F07E17C}"/>
  <sortState xmlns:xlrd2="http://schemas.microsoft.com/office/spreadsheetml/2017/richdata2" ref="B16:AD43">
    <sortCondition ref="B15:B43"/>
  </sortState>
  <tableColumns count="29">
    <tableColumn id="1" xr3:uid="{D777757C-3524-4858-AB09-EA75BF8D56A5}" name="NAME" dataDxfId="85"/>
    <tableColumn id="53" xr3:uid="{2955E6D5-8124-4FBA-88A6-A7A5946163C9}" name="Driver" dataDxfId="84"/>
    <tableColumn id="55" xr3:uid="{1A3E4E45-7341-4D0B-8D40-8FCF78EE3368}" name="Red Ratio in watts" dataDxfId="83"/>
    <tableColumn id="54" xr3:uid="{C993EAC3-249C-4CA9-8D4F-8F57EC74862B}" name="Blue Ratio in watts" dataDxfId="82"/>
    <tableColumn id="2" xr3:uid="{72CD4491-609F-440F-9794-4E09CCA7EEFB}" name="TYPE" dataDxfId="81"/>
    <tableColumn id="8" xr3:uid="{8B604528-CDAC-4484-A362-1DB1BA457661}" name="www" dataDxfId="80"/>
    <tableColumn id="14" xr3:uid="{2622EB5D-08B9-4C49-899E-4249110C602D}" name="Price Each" dataDxfId="79"/>
    <tableColumn id="5" xr3:uid="{1E658AD5-315E-4CEA-80D0-7586FB395F51}" name="Forward Voltage" dataDxfId="78"/>
    <tableColumn id="9" xr3:uid="{75A7ADC7-4A99-4062-8DF6-BFDBAE9DB2D8}" name="Forward mA" dataDxfId="77"/>
    <tableColumn id="7" xr3:uid="{B0DDB8EC-41EC-4206-8538-4869E1454F95}" name="Volt Range Low" dataDxfId="76"/>
    <tableColumn id="3" xr3:uid="{65B1E88E-98FD-4919-AE30-A881489556C9}" name="Volt Range High" dataDxfId="75"/>
    <tableColumn id="11" xr3:uid="{14D95317-3E81-468C-BCE7-BA8A34BF5582}" name="Max mA" dataDxfId="74"/>
    <tableColumn id="27" xr3:uid="{97755502-18FA-44DA-B80F-FD20B10E3A46}" name="Sweet MA" dataDxfId="73"/>
    <tableColumn id="26" xr3:uid="{0993C98C-2555-46AD-B279-AE6008335AB6}" name="At this Voltage" dataDxfId="72"/>
    <tableColumn id="24" xr3:uid="{95259234-B5CF-45D4-A1B7-3003F67CE5E6}" name="watts" dataDxfId="71"/>
    <tableColumn id="22" xr3:uid="{81EA5F00-DF29-4BD3-847F-FD4C36D7906E}" name="Chip" dataDxfId="70"/>
    <tableColumn id="15" xr3:uid="{E0AA98D3-0002-4D35-8D70-8EBAA4382832}" name="# of Diodes" dataDxfId="69"/>
    <tableColumn id="23" xr3:uid="{17ABE709-17B1-4D8E-AF20-24D475FA0427}" name="Chip 2" dataDxfId="68"/>
    <tableColumn id="6" xr3:uid="{3F74B7F0-253E-460F-9DF8-D4E338CB59CB}" name="# of Diodes2" dataDxfId="67"/>
    <tableColumn id="21" xr3:uid="{B74818E7-D17C-450C-AD09-42BF6A350146}" name="Reced Driver" dataDxfId="66"/>
    <tableColumn id="10" xr3:uid="{4E57561E-A73C-4E10-AA5D-20B9FE132D1F}" name="Enter Ammount" dataDxfId="65"/>
    <tableColumn id="12" xr3:uid="{73A3DC53-8B0A-41B4-B811-B9351CB7CF8B}" name="Total V Needed" dataDxfId="64"/>
    <tableColumn id="13" xr3:uid="{E51BF9EE-48AB-40C7-9DAB-747FE76042C0}" name="Total Watts Needed" dataDxfId="63"/>
    <tableColumn id="17" xr3:uid="{D4E98E68-4898-4589-9F92-78B285971571}" name="Total Current Needed" dataDxfId="62"/>
    <tableColumn id="16" xr3:uid="{72907A7C-11F6-418E-9004-E9E599E9A1B1}" name="Total # of Diodes" dataDxfId="61"/>
    <tableColumn id="4" xr3:uid="{E499DFBB-53BA-4018-9952-A8480D32974F}" name="Total # of Diodes 2" dataDxfId="60"/>
    <tableColumn id="19" xr3:uid="{B1898854-19EA-4E95-A714-442CE6842B52}" name="Total Price" dataDxfId="59"/>
    <tableColumn id="20" xr3:uid="{8EE3931E-502F-4285-8A31-D9C61477DD4B}" name="Extra" dataDxfId="58"/>
    <tableColumn id="18" xr3:uid="{7A0DE986-4923-47E0-90AB-E5A4DAC05024}" name="Extra Test" dataDxfId="5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2.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3.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3.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4.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4.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2.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BC209" sqref="BB152:BC209"/>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21" t="s">
        <v>2691</v>
      </c>
      <c r="C1" s="1821"/>
      <c r="D1" s="1821"/>
      <c r="E1" s="1821"/>
      <c r="F1" s="1821"/>
      <c r="G1" s="1821"/>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21"/>
      <c r="C2" s="1821"/>
      <c r="D2" s="1821"/>
      <c r="E2" s="1821"/>
      <c r="F2" s="1821"/>
      <c r="G2" s="1821"/>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21"/>
      <c r="C3" s="1821"/>
      <c r="D3" s="1821"/>
      <c r="E3" s="1821"/>
      <c r="F3" s="1821"/>
      <c r="G3" s="1821"/>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21"/>
      <c r="C4" s="1821"/>
      <c r="D4" s="1821"/>
      <c r="E4" s="1821"/>
      <c r="F4" s="1821"/>
      <c r="G4" s="1821"/>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40" t="s">
        <v>634</v>
      </c>
      <c r="C5" s="1841"/>
      <c r="D5" s="604" t="s">
        <v>4</v>
      </c>
      <c r="E5" s="605" t="s">
        <v>0</v>
      </c>
      <c r="F5" s="753"/>
      <c r="G5" s="1840" t="s">
        <v>635</v>
      </c>
      <c r="H5" s="1841"/>
      <c r="I5" s="604" t="s">
        <v>4</v>
      </c>
      <c r="J5" s="605" t="s">
        <v>0</v>
      </c>
      <c r="K5" s="753"/>
      <c r="L5" s="1974" t="str">
        <f>BV14</f>
        <v>Defense (Slica)</v>
      </c>
      <c r="M5" s="1975"/>
      <c r="N5" s="1976"/>
      <c r="O5" s="1533"/>
      <c r="P5" s="1977" t="str">
        <f>BV15</f>
        <v>Vigor</v>
      </c>
      <c r="Q5" s="1978"/>
      <c r="R5" s="1979"/>
      <c r="S5" s="1533"/>
      <c r="T5" s="1980" t="str">
        <f>BV16</f>
        <v>Micro</v>
      </c>
      <c r="U5" s="1981"/>
      <c r="V5" s="1981"/>
      <c r="W5" s="1558"/>
      <c r="X5" s="1982" t="str">
        <f>BV17</f>
        <v>Grow</v>
      </c>
      <c r="Y5" s="1981"/>
      <c r="Z5" s="1981"/>
      <c r="AA5" s="1555"/>
      <c r="AB5" s="2074" t="str">
        <f>BV18</f>
        <v>Bloom</v>
      </c>
      <c r="AC5" s="2075"/>
      <c r="AD5" s="2076"/>
      <c r="AE5" s="1533"/>
      <c r="AF5" s="2077" t="str">
        <f>BV19</f>
        <v>Weight</v>
      </c>
      <c r="AG5" s="1981"/>
      <c r="AH5" s="2078"/>
      <c r="AI5" s="1533"/>
      <c r="AJ5" s="2079" t="str">
        <f>BV20</f>
        <v>Aroma</v>
      </c>
      <c r="AK5" s="2080"/>
      <c r="AL5" s="2081"/>
      <c r="AM5" s="1533"/>
      <c r="AN5" s="2063" t="str">
        <f>BV21</f>
        <v>Flavor</v>
      </c>
      <c r="AO5" s="2075"/>
      <c r="AP5" s="2076"/>
      <c r="AQ5" s="1533"/>
      <c r="AR5" s="2060">
        <f>BV22</f>
        <v>0</v>
      </c>
      <c r="AS5" s="2061"/>
      <c r="AT5" s="2062"/>
      <c r="AU5" s="1533"/>
      <c r="AV5" s="2063" t="str">
        <f>BV23</f>
        <v>Booster</v>
      </c>
      <c r="AW5" s="2064"/>
      <c r="AX5" s="2065"/>
      <c r="AY5" s="1533"/>
      <c r="AZ5" s="2066" t="str">
        <f>BV25</f>
        <v>Additives</v>
      </c>
      <c r="BA5" s="2067"/>
      <c r="BB5" s="2068"/>
      <c r="BC5" s="649"/>
      <c r="BD5" s="2069" t="s">
        <v>969</v>
      </c>
      <c r="BE5" s="2070"/>
      <c r="BF5" s="319"/>
      <c r="BG5" s="2029" t="s">
        <v>2398</v>
      </c>
      <c r="BH5" s="1849"/>
      <c r="BI5" s="2083" t="s">
        <v>972</v>
      </c>
      <c r="BJ5" s="2084"/>
      <c r="BK5" s="2084"/>
      <c r="BL5" s="2084"/>
      <c r="BM5" s="2085"/>
      <c r="BN5" s="1312" t="s">
        <v>1420</v>
      </c>
      <c r="BO5" s="2082" t="s">
        <v>1644</v>
      </c>
      <c r="BP5" s="1849"/>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30" t="s">
        <v>1924</v>
      </c>
      <c r="DA5" s="1831"/>
      <c r="DB5" s="1831"/>
      <c r="DC5" s="1831"/>
      <c r="DD5" s="1831"/>
      <c r="DE5" s="1832"/>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3">
        <f>D310</f>
        <v>44226</v>
      </c>
      <c r="C6" s="1984"/>
      <c r="D6" s="754">
        <f>SUM(C7,D30,D50,D70,D90,D110,D130,D150,D170,D190,D210,D230,D250,D270,D290)</f>
        <v>122</v>
      </c>
      <c r="E6" s="722">
        <f ca="1">D7/D6</f>
        <v>1.1065573770491803</v>
      </c>
      <c r="F6" s="755">
        <f ca="1">TODAY()</f>
        <v>44361</v>
      </c>
      <c r="G6" s="1983">
        <f>I310</f>
        <v>44289</v>
      </c>
      <c r="H6" s="1984"/>
      <c r="I6" s="754">
        <f>SUM(H7,I30,I50,I70,I90,I110,I130,I150,I170,I190,I210,I230,I250,I270,I290)</f>
        <v>141</v>
      </c>
      <c r="J6" s="722">
        <f ca="1">I7/I6</f>
        <v>0.51063829787234039</v>
      </c>
      <c r="K6" s="319"/>
      <c r="L6" s="1985" t="str">
        <f>BU14</f>
        <v>Grotek Gro-Silic</v>
      </c>
      <c r="M6" s="1986"/>
      <c r="N6" s="1987"/>
      <c r="O6" s="1093"/>
      <c r="P6" s="1985" t="str">
        <f>BU15</f>
        <v>GH CALiMAGic</v>
      </c>
      <c r="Q6" s="1988"/>
      <c r="R6" s="1989"/>
      <c r="S6" s="1093"/>
      <c r="T6" s="1985" t="str">
        <f>BU16</f>
        <v>GH FloraMicro</v>
      </c>
      <c r="U6" s="1986"/>
      <c r="V6" s="1987"/>
      <c r="W6" s="1093"/>
      <c r="X6" s="1985" t="str">
        <f>BU17</f>
        <v>GH Flora Gro</v>
      </c>
      <c r="Y6" s="1986"/>
      <c r="Z6" s="1987"/>
      <c r="AA6" s="1093"/>
      <c r="AB6" s="2009" t="str">
        <f>BU18</f>
        <v>GH Flora Bloom</v>
      </c>
      <c r="AC6" s="2010"/>
      <c r="AD6" s="2011"/>
      <c r="AE6" s="1093"/>
      <c r="AF6" s="2012" t="str">
        <f>BU19</f>
        <v>GH KoolBloom</v>
      </c>
      <c r="AG6" s="2013"/>
      <c r="AH6" s="2014"/>
      <c r="AI6" s="1093"/>
      <c r="AJ6" s="2015" t="str">
        <f>BU20</f>
        <v>GH Floralicious+</v>
      </c>
      <c r="AK6" s="2016"/>
      <c r="AL6" s="2017"/>
      <c r="AM6" s="1093"/>
      <c r="AN6" s="2018" t="str">
        <f>BU21</f>
        <v>GH Diamond Nectar</v>
      </c>
      <c r="AO6" s="2019"/>
      <c r="AP6" s="2020"/>
      <c r="AQ6" s="1093"/>
      <c r="AR6" s="2021">
        <f>BU22</f>
        <v>0</v>
      </c>
      <c r="AS6" s="2022"/>
      <c r="AT6" s="2023"/>
      <c r="AU6" s="1093"/>
      <c r="AV6" s="1998" t="str">
        <f>BU23</f>
        <v>GH Ripen</v>
      </c>
      <c r="AW6" s="1999"/>
      <c r="AX6" s="2000"/>
      <c r="AY6" s="1093"/>
      <c r="AZ6" s="2004" t="str">
        <f>BU25</f>
        <v>Epsom Salt</v>
      </c>
      <c r="BA6" s="2005"/>
      <c r="BB6" s="2006"/>
      <c r="BC6" s="757"/>
      <c r="BD6" s="2007" t="s">
        <v>828</v>
      </c>
      <c r="BE6" s="2008"/>
      <c r="BF6" s="756"/>
      <c r="BG6" s="1397">
        <f>BH6/500</f>
        <v>1.0876496697490091E-2</v>
      </c>
      <c r="BH6" s="758">
        <f>IF($BI$6="ON",BR28,IF($BI$6="OFF",BS28))</f>
        <v>5.4382483487450459</v>
      </c>
      <c r="BI6" s="1321" t="s">
        <v>1420</v>
      </c>
      <c r="BJ6" s="2001" t="s">
        <v>2457</v>
      </c>
      <c r="BK6" s="2002"/>
      <c r="BL6" s="2002"/>
      <c r="BM6" s="2003"/>
      <c r="BN6" s="737" t="s">
        <v>1857</v>
      </c>
      <c r="BO6" s="2029" t="s">
        <v>1932</v>
      </c>
      <c r="BP6" s="1849"/>
      <c r="BQ6" s="1481"/>
      <c r="BR6" s="1315"/>
      <c r="BS6" s="1316"/>
      <c r="BT6" s="936"/>
      <c r="BU6" s="1311"/>
      <c r="BV6" s="1311"/>
      <c r="BW6" s="1277"/>
      <c r="BX6" s="1277"/>
      <c r="BY6" s="1277"/>
      <c r="BZ6" s="1277"/>
      <c r="CA6" s="1277"/>
      <c r="CB6" s="1277"/>
      <c r="CC6" s="1277"/>
      <c r="CD6" s="1330"/>
      <c r="CE6" s="1277"/>
      <c r="CF6" s="1277"/>
      <c r="CG6" s="1277"/>
      <c r="CH6" s="1330"/>
      <c r="CI6" s="1277"/>
      <c r="CJ6" s="1277"/>
      <c r="CK6" s="2071"/>
      <c r="CL6" s="2072"/>
      <c r="CM6" s="2072"/>
      <c r="CN6" s="1278"/>
      <c r="CO6" s="1278"/>
      <c r="CP6" s="1278"/>
      <c r="CQ6" s="1278"/>
      <c r="CR6" s="1278"/>
      <c r="CS6" s="1282">
        <v>10</v>
      </c>
      <c r="CT6" s="1282">
        <v>5</v>
      </c>
      <c r="CU6" s="1282">
        <v>0.05</v>
      </c>
      <c r="CV6" s="1282">
        <v>1</v>
      </c>
      <c r="CW6" s="1282">
        <v>5</v>
      </c>
      <c r="CX6" s="1282">
        <v>0.5</v>
      </c>
      <c r="CY6" s="1282">
        <v>5</v>
      </c>
      <c r="CZ6" s="1833" t="s">
        <v>1925</v>
      </c>
      <c r="DA6" s="1834"/>
      <c r="DB6" s="1834"/>
      <c r="DC6" s="1834"/>
      <c r="DD6" s="1834"/>
      <c r="DE6" s="1835"/>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135</v>
      </c>
      <c r="E7" s="724">
        <f ca="1">D6-D7</f>
        <v>-13</v>
      </c>
      <c r="F7" s="319"/>
      <c r="G7" s="1392" t="s">
        <v>852</v>
      </c>
      <c r="H7" s="776">
        <v>14</v>
      </c>
      <c r="I7" s="723">
        <f ca="1">$F6-G6</f>
        <v>72</v>
      </c>
      <c r="J7" s="724">
        <f ca="1">I6-I7</f>
        <v>69</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30" t="str">
        <f>BU24</f>
        <v>KoolBloom (Dry)</v>
      </c>
      <c r="AW7" s="2005"/>
      <c r="AX7" s="2006"/>
      <c r="AY7" s="1035"/>
      <c r="AZ7" s="2031" t="str">
        <f>BU26</f>
        <v>Z9 (2 Part)</v>
      </c>
      <c r="BA7" s="2032"/>
      <c r="BB7" s="2033"/>
      <c r="BC7" s="725"/>
      <c r="BD7" s="2007" t="s">
        <v>830</v>
      </c>
      <c r="BE7" s="2008"/>
      <c r="BF7" s="726"/>
      <c r="BG7" s="1390" t="s">
        <v>2397</v>
      </c>
      <c r="BH7" s="1396" t="s">
        <v>2394</v>
      </c>
      <c r="BI7" s="609" t="s">
        <v>2396</v>
      </c>
      <c r="BJ7" s="609" t="s">
        <v>971</v>
      </c>
      <c r="BK7" s="609" t="s">
        <v>968</v>
      </c>
      <c r="BL7" s="2029" t="s">
        <v>1329</v>
      </c>
      <c r="BM7" s="2025"/>
      <c r="BN7" s="2025"/>
      <c r="BO7" s="1854"/>
      <c r="BP7" s="1849"/>
      <c r="BQ7" s="1482"/>
      <c r="BR7" s="1315"/>
      <c r="BS7" s="1317"/>
      <c r="BT7" s="1318"/>
      <c r="BU7" s="1311"/>
      <c r="BV7" s="1311"/>
      <c r="BW7" s="2042" t="s">
        <v>1386</v>
      </c>
      <c r="BX7" s="2043"/>
      <c r="BY7" s="2043"/>
      <c r="BZ7" s="2043"/>
      <c r="CA7" s="2043"/>
      <c r="CB7" s="2044"/>
      <c r="CC7" s="2050" t="s">
        <v>1387</v>
      </c>
      <c r="CD7" s="2051"/>
      <c r="CE7" s="2051"/>
      <c r="CF7" s="2051"/>
      <c r="CG7" s="2051"/>
      <c r="CH7" s="2051"/>
      <c r="CI7" s="2073"/>
      <c r="CJ7" s="1187"/>
      <c r="CK7" s="2048" t="s">
        <v>1865</v>
      </c>
      <c r="CL7" s="2049"/>
      <c r="CM7" s="2049"/>
      <c r="CN7" s="1927"/>
      <c r="CO7" s="1927"/>
      <c r="CP7" s="1927"/>
      <c r="CQ7" s="2035"/>
      <c r="CR7" s="2045" t="s">
        <v>1385</v>
      </c>
      <c r="CS7" s="2046"/>
      <c r="CT7" s="2046"/>
      <c r="CU7" s="2046"/>
      <c r="CV7" s="2046"/>
      <c r="CW7" s="2046"/>
      <c r="CX7" s="2046"/>
      <c r="CY7" s="2047"/>
      <c r="CZ7" s="2059" t="s">
        <v>1250</v>
      </c>
      <c r="DA7" s="1927"/>
      <c r="DB7" s="1927"/>
      <c r="DC7" s="1927"/>
      <c r="DD7" s="1927"/>
      <c r="DE7" s="1927"/>
      <c r="DF7" s="2035"/>
      <c r="DG7" s="1995" t="s">
        <v>1871</v>
      </c>
      <c r="DH7" s="1996"/>
      <c r="DI7" s="1996"/>
      <c r="DJ7" s="1996"/>
      <c r="DK7" s="1996"/>
      <c r="DL7" s="1996"/>
      <c r="DM7" s="1997"/>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90" t="s">
        <v>200</v>
      </c>
      <c r="C8" s="1991"/>
      <c r="D8" s="1404" t="s">
        <v>191</v>
      </c>
      <c r="E8" s="610" t="s">
        <v>1</v>
      </c>
      <c r="F8" s="319"/>
      <c r="G8" s="1990" t="s">
        <v>200</v>
      </c>
      <c r="H8" s="1991"/>
      <c r="I8" s="604" t="s">
        <v>191</v>
      </c>
      <c r="J8" s="611" t="s">
        <v>848</v>
      </c>
      <c r="K8" s="319"/>
      <c r="L8" s="1018" t="s">
        <v>956</v>
      </c>
      <c r="M8" s="1018" t="s">
        <v>4</v>
      </c>
      <c r="N8" s="612" t="s">
        <v>6</v>
      </c>
      <c r="O8" s="1534"/>
      <c r="P8" s="1992" t="s">
        <v>1319</v>
      </c>
      <c r="Q8" s="1993"/>
      <c r="R8" s="1994"/>
      <c r="S8" s="1534"/>
      <c r="T8" s="1992" t="s">
        <v>982</v>
      </c>
      <c r="U8" s="1993"/>
      <c r="V8" s="1994"/>
      <c r="W8" s="1534"/>
      <c r="X8" s="1992" t="s">
        <v>983</v>
      </c>
      <c r="Y8" s="1993"/>
      <c r="Z8" s="1994"/>
      <c r="AA8" s="1534"/>
      <c r="AB8" s="2026" t="s">
        <v>849</v>
      </c>
      <c r="AC8" s="2027"/>
      <c r="AD8" s="2028"/>
      <c r="AE8" s="1534"/>
      <c r="AF8" s="2024" t="s">
        <v>1353</v>
      </c>
      <c r="AG8" s="2025"/>
      <c r="AH8" s="1852"/>
      <c r="AI8" s="1534"/>
      <c r="AJ8" s="2026" t="s">
        <v>974</v>
      </c>
      <c r="AK8" s="2027"/>
      <c r="AL8" s="2028"/>
      <c r="AM8" s="1534"/>
      <c r="AN8" s="2026" t="s">
        <v>643</v>
      </c>
      <c r="AO8" s="2027"/>
      <c r="AP8" s="2028"/>
      <c r="AQ8" s="1534"/>
      <c r="AR8" s="2026" t="s">
        <v>1669</v>
      </c>
      <c r="AS8" s="2027"/>
      <c r="AT8" s="2028"/>
      <c r="AU8" s="1534"/>
      <c r="AV8" s="1992" t="s">
        <v>850</v>
      </c>
      <c r="AW8" s="1993"/>
      <c r="AX8" s="1994"/>
      <c r="AY8" s="1534"/>
      <c r="AZ8" s="2031" t="str">
        <f>BU27</f>
        <v>AG F Fungacide</v>
      </c>
      <c r="BA8" s="2032"/>
      <c r="BB8" s="2033"/>
      <c r="BC8" s="649"/>
      <c r="BD8" s="2024" t="s">
        <v>973</v>
      </c>
      <c r="BE8" s="2034"/>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2" t="s">
        <v>1873</v>
      </c>
      <c r="FP10" s="1843"/>
      <c r="FQ10" s="1843"/>
      <c r="FR10" s="1843"/>
      <c r="FS10" s="1843"/>
      <c r="FT10" s="1843"/>
      <c r="FU10" s="1843"/>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2" t="s">
        <v>962</v>
      </c>
      <c r="C11" s="1913"/>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4" t="s">
        <v>963</v>
      </c>
      <c r="C12" s="1915"/>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6" t="s">
        <v>964</v>
      </c>
      <c r="C13" s="1917"/>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8" t="s">
        <v>961</v>
      </c>
      <c r="C14" s="1919"/>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0" t="s">
        <v>960</v>
      </c>
      <c r="C15" s="1921"/>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2" t="s">
        <v>957</v>
      </c>
      <c r="C16" s="1923"/>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3" t="s">
        <v>958</v>
      </c>
      <c r="C17" s="1904"/>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5" t="s">
        <v>959</v>
      </c>
      <c r="C18" s="1906"/>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5" t="s">
        <v>1254</v>
      </c>
      <c r="C19" s="1906"/>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7" t="s">
        <v>2</v>
      </c>
      <c r="C30" s="1908"/>
      <c r="D30" s="776">
        <v>7</v>
      </c>
      <c r="E30" s="645">
        <v>20</v>
      </c>
      <c r="F30" s="319"/>
      <c r="G30" s="1907" t="s">
        <v>1342</v>
      </c>
      <c r="H30" s="1908"/>
      <c r="I30" s="776">
        <v>10</v>
      </c>
      <c r="J30" s="646">
        <v>1</v>
      </c>
      <c r="K30" s="319"/>
      <c r="L30" s="1941" t="s">
        <v>1318</v>
      </c>
      <c r="M30" s="1942"/>
      <c r="N30" s="1943"/>
      <c r="O30" s="1536">
        <f>SUM($BH$6,$N31)</f>
        <v>18.996702774108325</v>
      </c>
      <c r="P30" s="647">
        <v>10000</v>
      </c>
      <c r="Q30" s="623" t="s">
        <v>825</v>
      </c>
      <c r="R30" s="777">
        <f>(P30/69.5388)</f>
        <v>143.80460980057177</v>
      </c>
      <c r="S30" s="1536">
        <f>SUM($O30,$R31)</f>
        <v>60.245531408308878</v>
      </c>
      <c r="T30" s="1850" t="str">
        <f>IF($BN$5="ON","82F                28c",IF($BN$5="OFF","80F                27c"))</f>
        <v>82F                28c</v>
      </c>
      <c r="U30" s="1851"/>
      <c r="V30" s="1852"/>
      <c r="W30" s="1536">
        <f>SUM($S30,$V31)</f>
        <v>149.00178059467862</v>
      </c>
      <c r="X30" s="1850" t="str">
        <f>IF($BN$5="ON","70F                21c",IF($BN$5="OFF","70F                21c"))</f>
        <v>70F                21c</v>
      </c>
      <c r="Y30" s="1851"/>
      <c r="Z30" s="1852"/>
      <c r="AA30" s="1536">
        <f>SUM($W30,$Z31)</f>
        <v>192.25004871834693</v>
      </c>
      <c r="AB30" s="1850" t="str">
        <f>IF($BN$5="ON","75%                60%",IF($BN$5="OFF","75%                60%"))</f>
        <v>75%                60%</v>
      </c>
      <c r="AC30" s="1851"/>
      <c r="AD30" s="1852"/>
      <c r="AE30" s="1536">
        <f>SUM($AA30,$AD31)</f>
        <v>262.79529725381246</v>
      </c>
      <c r="AF30" s="1968" t="s">
        <v>1355</v>
      </c>
      <c r="AG30" s="1969"/>
      <c r="AH30" s="1852"/>
      <c r="AI30" s="1536">
        <f>SUM($AE30,$AH31)</f>
        <v>262.79529725381246</v>
      </c>
      <c r="AJ30" s="1968" t="s">
        <v>3</v>
      </c>
      <c r="AK30" s="1969"/>
      <c r="AL30" s="1852"/>
      <c r="AM30" s="1536">
        <f>SUM($AI30,$AL31)</f>
        <v>262.79529725381246</v>
      </c>
      <c r="AN30" s="1968" t="s">
        <v>976</v>
      </c>
      <c r="AO30" s="1969"/>
      <c r="AP30" s="1852"/>
      <c r="AQ30" s="1536">
        <f>SUM($AM30,$AP31)</f>
        <v>269.82701705438797</v>
      </c>
      <c r="AR30" s="1850" t="str">
        <f>IF($BN$5="ON","68F                20c",IF($BN$5="OFF","68F                20c"))</f>
        <v>68F                20c</v>
      </c>
      <c r="AS30" s="1851"/>
      <c r="AT30" s="1852"/>
      <c r="AU30" s="1536">
        <f>SUM($AQ30,$AT31)</f>
        <v>269.82701705438797</v>
      </c>
      <c r="AV30" s="1850" t="str">
        <f>IF($BN$5="ON","1000 PPM co2",IF($BN$5="OFF","1000 PPM co2"))</f>
        <v>1000 PPM co2</v>
      </c>
      <c r="AW30" s="1851"/>
      <c r="AX30" s="1852"/>
      <c r="AY30" s="1536">
        <f>SUM($AU30,$AX31,$AX32)</f>
        <v>269.82701705438797</v>
      </c>
      <c r="AZ30" s="745">
        <f>DX$331</f>
        <v>0.5</v>
      </c>
      <c r="BA30" s="728">
        <f>(E30*AZ30)*(J30)</f>
        <v>10</v>
      </c>
      <c r="BB30" s="729">
        <f>IF($BI$6="ON",$BR45,IF($BI$6="OFF",$BS45))</f>
        <v>29.98678996036988</v>
      </c>
      <c r="BC30" s="894">
        <f>SUM($AY30,$BB30,$BB31,$BB32)</f>
        <v>299.81380701475786</v>
      </c>
      <c r="BD30" s="1970">
        <v>6.3</v>
      </c>
      <c r="BE30" s="1971"/>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2" t="s">
        <v>1873</v>
      </c>
      <c r="FP30" s="1843"/>
      <c r="FQ30" s="1843"/>
      <c r="FR30" s="1843"/>
      <c r="FS30" s="1843"/>
      <c r="FT30" s="1843"/>
      <c r="FU30" s="1843"/>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8" t="s">
        <v>5</v>
      </c>
      <c r="C31" s="1889"/>
      <c r="D31" s="1890">
        <f>SUM(B6+C7)</f>
        <v>44240</v>
      </c>
      <c r="E31" s="1891"/>
      <c r="F31" s="319"/>
      <c r="G31" s="1888" t="s">
        <v>5</v>
      </c>
      <c r="H31" s="1889"/>
      <c r="I31" s="1890">
        <f>SUM(G6+H7)</f>
        <v>44303</v>
      </c>
      <c r="J31" s="1891"/>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9" t="s">
        <v>636</v>
      </c>
      <c r="C32" s="1960"/>
      <c r="D32" s="601">
        <f>SUM(C7)</f>
        <v>14</v>
      </c>
      <c r="E32" s="602">
        <f>(D32/7)</f>
        <v>2</v>
      </c>
      <c r="F32" s="753"/>
      <c r="G32" s="1959" t="s">
        <v>636</v>
      </c>
      <c r="H32" s="1960"/>
      <c r="I32" s="601">
        <f>SUM(H7)</f>
        <v>14</v>
      </c>
      <c r="J32" s="707">
        <f>(I32/7)</f>
        <v>2</v>
      </c>
      <c r="K32" s="753"/>
      <c r="L32" s="1844" t="s">
        <v>1681</v>
      </c>
      <c r="M32" s="1845"/>
      <c r="N32" s="1845"/>
      <c r="O32" s="1845"/>
      <c r="P32" s="1845"/>
      <c r="Q32" s="1845"/>
      <c r="R32" s="1845"/>
      <c r="S32" s="1845"/>
      <c r="T32" s="1845"/>
      <c r="U32" s="1845"/>
      <c r="V32" s="1845"/>
      <c r="W32" s="1845"/>
      <c r="X32" s="1845"/>
      <c r="Y32" s="1845"/>
      <c r="Z32" s="1845"/>
      <c r="AA32" s="1845"/>
      <c r="AB32" s="1845"/>
      <c r="AC32" s="1845"/>
      <c r="AD32" s="1845"/>
      <c r="AE32" s="1845"/>
      <c r="AF32" s="1845"/>
      <c r="AG32" s="1845"/>
      <c r="AH32" s="1845"/>
      <c r="AI32" s="1845"/>
      <c r="AJ32" s="1845"/>
      <c r="AK32" s="1845"/>
      <c r="AL32" s="1845"/>
      <c r="AM32" s="1845"/>
      <c r="AN32" s="1845"/>
      <c r="AO32" s="1845"/>
      <c r="AP32" s="1845"/>
      <c r="AQ32" s="1845"/>
      <c r="AR32" s="1845"/>
      <c r="AS32" s="1845"/>
      <c r="AT32" s="1845"/>
      <c r="AU32" s="1846"/>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6" t="s">
        <v>1345</v>
      </c>
      <c r="C33" s="1937"/>
      <c r="D33" s="652">
        <v>1</v>
      </c>
      <c r="E33" s="781"/>
      <c r="F33" s="753"/>
      <c r="G33" s="1924"/>
      <c r="H33" s="1925"/>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49" t="s">
        <v>1373</v>
      </c>
      <c r="BM33" s="1950"/>
      <c r="BN33" s="1951"/>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9" t="s">
        <v>1346</v>
      </c>
      <c r="C34" s="1925"/>
      <c r="D34" s="653">
        <v>1</v>
      </c>
      <c r="E34" s="788"/>
      <c r="F34" s="319"/>
      <c r="G34" s="1929"/>
      <c r="H34" s="1925"/>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44" t="s">
        <v>1381</v>
      </c>
      <c r="BM34" s="1831"/>
      <c r="BN34" s="1945"/>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4" t="s">
        <v>1347</v>
      </c>
      <c r="C35" s="1925"/>
      <c r="D35" s="653">
        <v>1</v>
      </c>
      <c r="E35" s="794"/>
      <c r="F35" s="319"/>
      <c r="G35" s="1924"/>
      <c r="H35" s="1925"/>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44" t="s">
        <v>1365</v>
      </c>
      <c r="BM35" s="1831"/>
      <c r="BN35" s="1945"/>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9" t="s">
        <v>1382</v>
      </c>
      <c r="C36" s="1925"/>
      <c r="D36" s="653">
        <v>1</v>
      </c>
      <c r="E36" s="788"/>
      <c r="F36" s="319"/>
      <c r="G36" s="1929"/>
      <c r="H36" s="1925"/>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1946" t="s">
        <v>1373</v>
      </c>
      <c r="BM36" s="1947"/>
      <c r="BN36" s="1948"/>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4" t="s">
        <v>1383</v>
      </c>
      <c r="C37" s="1925"/>
      <c r="D37" s="653">
        <v>1</v>
      </c>
      <c r="E37" s="794"/>
      <c r="F37" s="319"/>
      <c r="G37" s="1924"/>
      <c r="H37" s="1925"/>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49" t="s">
        <v>1373</v>
      </c>
      <c r="BM37" s="1950"/>
      <c r="BN37" s="1951"/>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2" t="s">
        <v>2690</v>
      </c>
      <c r="C38" s="1973"/>
      <c r="D38" s="654">
        <v>1</v>
      </c>
      <c r="E38" s="796"/>
      <c r="F38" s="319"/>
      <c r="G38" s="1972"/>
      <c r="H38" s="1973"/>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44" t="s">
        <v>1381</v>
      </c>
      <c r="BM38" s="1831"/>
      <c r="BN38" s="1945"/>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1946"/>
      <c r="BM39" s="1947"/>
      <c r="BN39" s="1948"/>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2" t="s">
        <v>962</v>
      </c>
      <c r="C40" s="1913"/>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4" t="s">
        <v>963</v>
      </c>
      <c r="C41" s="1915"/>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6" t="s">
        <v>964</v>
      </c>
      <c r="C42" s="1917"/>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8" t="s">
        <v>961</v>
      </c>
      <c r="C43" s="1919"/>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0" t="s">
        <v>960</v>
      </c>
      <c r="C44" s="1921"/>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2" t="s">
        <v>957</v>
      </c>
      <c r="C45" s="1923"/>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3" t="s">
        <v>958</v>
      </c>
      <c r="C46" s="1904"/>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5" t="s">
        <v>959</v>
      </c>
      <c r="C47" s="1906"/>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5" t="s">
        <v>1254</v>
      </c>
      <c r="C48" s="1906"/>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7" t="s">
        <v>1343</v>
      </c>
      <c r="C50" s="1908"/>
      <c r="D50" s="776">
        <v>10</v>
      </c>
      <c r="E50" s="661">
        <v>20</v>
      </c>
      <c r="F50" s="319"/>
      <c r="G50" s="1907" t="s">
        <v>1343</v>
      </c>
      <c r="H50" s="1908"/>
      <c r="I50" s="776">
        <v>10</v>
      </c>
      <c r="J50" s="646">
        <v>1</v>
      </c>
      <c r="K50" s="319"/>
      <c r="L50" s="1941" t="s">
        <v>1317</v>
      </c>
      <c r="M50" s="1942"/>
      <c r="N50" s="1943"/>
      <c r="O50" s="1536">
        <f>SUM($BH$6,$N51)</f>
        <v>18.996702774108325</v>
      </c>
      <c r="P50" s="647">
        <v>15000</v>
      </c>
      <c r="Q50" s="623" t="s">
        <v>825</v>
      </c>
      <c r="R50" s="777">
        <f>(P50/69.5388)</f>
        <v>215.70691470085768</v>
      </c>
      <c r="S50" s="1536">
        <f>SUM($O50,$R51)</f>
        <v>101.49436004250944</v>
      </c>
      <c r="T50" s="1850" t="str">
        <f>IF($BN$5="ON","82F                28c",IF($BN$5="OFF","80F                27c"))</f>
        <v>82F                28c</v>
      </c>
      <c r="U50" s="1851"/>
      <c r="V50" s="1852"/>
      <c r="W50" s="1536">
        <f>SUM($S50,$V51)</f>
        <v>247.68112340829489</v>
      </c>
      <c r="X50" s="1850" t="str">
        <f>IF($BN$5="ON","70F                21c",IF($BN$5="OFF","70F                21c"))</f>
        <v>70F                21c</v>
      </c>
      <c r="Y50" s="1851"/>
      <c r="Z50" s="1852"/>
      <c r="AA50" s="1536">
        <f>SUM($W50,$Z51)</f>
        <v>347.4848190782987</v>
      </c>
      <c r="AB50" s="1850" t="str">
        <f>IF($BN$5="ON","70%                55%",IF($BN$5="OFF","70%                55%"))</f>
        <v>70%                55%</v>
      </c>
      <c r="AC50" s="1851"/>
      <c r="AD50" s="1852"/>
      <c r="AE50" s="1536">
        <f>SUM($AA50,$AD51)</f>
        <v>426.32950861793665</v>
      </c>
      <c r="AF50" s="1968" t="s">
        <v>1354</v>
      </c>
      <c r="AG50" s="1969"/>
      <c r="AH50" s="1852"/>
      <c r="AI50" s="1536">
        <f>SUM($AE50,$AH51)</f>
        <v>426.32950861793665</v>
      </c>
      <c r="AJ50" s="1968" t="s">
        <v>3</v>
      </c>
      <c r="AK50" s="1969"/>
      <c r="AL50" s="1852"/>
      <c r="AM50" s="1536">
        <f>SUM($AI50,$AL51)</f>
        <v>426.32950861793665</v>
      </c>
      <c r="AN50" s="1968" t="s">
        <v>977</v>
      </c>
      <c r="AO50" s="1969"/>
      <c r="AP50" s="1852"/>
      <c r="AQ50" s="1536">
        <f>SUM($AM50,$AP51)</f>
        <v>436.87708831879991</v>
      </c>
      <c r="AR50" s="1850" t="str">
        <f>IF($BN$5="ON","68F                20c",IF($BN$5="OFF","68F                20c"))</f>
        <v>68F                20c</v>
      </c>
      <c r="AS50" s="1851"/>
      <c r="AT50" s="1852"/>
      <c r="AU50" s="1536">
        <f>SUM($AQ50,$AT51)</f>
        <v>436.87708831879991</v>
      </c>
      <c r="AV50" s="1850" t="str">
        <f>IF($BN$5="ON","1500 PPM co2",IF($BN$5="OFF","1500 PPM co2"))</f>
        <v>1500 PPM co2</v>
      </c>
      <c r="AW50" s="1851"/>
      <c r="AX50" s="1852"/>
      <c r="AY50" s="1536">
        <f>SUM($AU50,$AX51,$AX52)</f>
        <v>436.87708831879991</v>
      </c>
      <c r="AZ50" s="745">
        <f>DY$331</f>
        <v>0.5</v>
      </c>
      <c r="BA50" s="728">
        <f>(E50*AZ50)*(J50)</f>
        <v>10</v>
      </c>
      <c r="BB50" s="729">
        <f>IF($BI$6="ON",$BR65,IF($BI$6="OFF",$BS65))</f>
        <v>29.98678996036988</v>
      </c>
      <c r="BC50" s="894">
        <f>SUM($AY50,$BB50,$BB51,$BB52)</f>
        <v>466.8638782791698</v>
      </c>
      <c r="BD50" s="1970">
        <v>6.2</v>
      </c>
      <c r="BE50" s="1971"/>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2" t="s">
        <v>1873</v>
      </c>
      <c r="FP50" s="1843"/>
      <c r="FQ50" s="1843"/>
      <c r="FR50" s="1843"/>
      <c r="FS50" s="1843"/>
      <c r="FT50" s="1843"/>
      <c r="FU50" s="1843"/>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8" t="s">
        <v>7</v>
      </c>
      <c r="C51" s="1889"/>
      <c r="D51" s="1890">
        <f>SUM(D31,D30)</f>
        <v>44247</v>
      </c>
      <c r="E51" s="1891"/>
      <c r="F51" s="319"/>
      <c r="G51" s="1888" t="s">
        <v>7</v>
      </c>
      <c r="H51" s="1889"/>
      <c r="I51" s="1890">
        <f>SUM(I31,I30)</f>
        <v>44313</v>
      </c>
      <c r="J51" s="1891"/>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9" t="s">
        <v>636</v>
      </c>
      <c r="C52" s="1960"/>
      <c r="D52" s="601">
        <f>SUM(C7,D30)</f>
        <v>21</v>
      </c>
      <c r="E52" s="706">
        <f>(D52/7)</f>
        <v>3</v>
      </c>
      <c r="F52" s="753"/>
      <c r="G52" s="1959" t="s">
        <v>636</v>
      </c>
      <c r="H52" s="1960"/>
      <c r="I52" s="601">
        <f>SUM(H7,I30)</f>
        <v>24</v>
      </c>
      <c r="J52" s="706">
        <f>(I52/7)</f>
        <v>3.4285714285714284</v>
      </c>
      <c r="K52" s="753"/>
      <c r="L52" s="1844" t="s">
        <v>664</v>
      </c>
      <c r="M52" s="1845"/>
      <c r="N52" s="1845"/>
      <c r="O52" s="1845"/>
      <c r="P52" s="1845"/>
      <c r="Q52" s="1845"/>
      <c r="R52" s="1845"/>
      <c r="S52" s="1845"/>
      <c r="T52" s="1845"/>
      <c r="U52" s="1845"/>
      <c r="V52" s="1845"/>
      <c r="W52" s="1845"/>
      <c r="X52" s="1845"/>
      <c r="Y52" s="1845"/>
      <c r="Z52" s="1845"/>
      <c r="AA52" s="1845"/>
      <c r="AB52" s="1845"/>
      <c r="AC52" s="1845"/>
      <c r="AD52" s="1845"/>
      <c r="AE52" s="1845"/>
      <c r="AF52" s="1845"/>
      <c r="AG52" s="1845"/>
      <c r="AH52" s="1845"/>
      <c r="AI52" s="1845"/>
      <c r="AJ52" s="1845"/>
      <c r="AK52" s="1845"/>
      <c r="AL52" s="1845"/>
      <c r="AM52" s="1845"/>
      <c r="AN52" s="1845"/>
      <c r="AO52" s="1845"/>
      <c r="AP52" s="1845"/>
      <c r="AQ52" s="1845"/>
      <c r="AR52" s="1845"/>
      <c r="AS52" s="1845"/>
      <c r="AT52" s="1845"/>
      <c r="AU52" s="1846"/>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6" t="str">
        <f>$B$33</f>
        <v>Expert Light</v>
      </c>
      <c r="C53" s="1937"/>
      <c r="D53" s="652">
        <v>1</v>
      </c>
      <c r="E53" s="831"/>
      <c r="F53" s="753"/>
      <c r="G53" s="1924"/>
      <c r="H53" s="1925"/>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9" t="s">
        <v>1374</v>
      </c>
      <c r="BM53" s="1950"/>
      <c r="BN53" s="1951"/>
      <c r="BO53" s="1579"/>
      <c r="BP53" s="1579"/>
      <c r="BQ53" s="1484"/>
      <c r="BR53" s="873" t="s">
        <v>1350</v>
      </c>
      <c r="BS53" s="691" t="s">
        <v>6</v>
      </c>
      <c r="BT53" s="691" t="s">
        <v>928</v>
      </c>
      <c r="BU53" s="1961" t="s">
        <v>1328</v>
      </c>
      <c r="BV53" s="1962"/>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9" t="str">
        <f>$B$34</f>
        <v>Expert Medium</v>
      </c>
      <c r="C54" s="1925"/>
      <c r="D54" s="653">
        <v>1</v>
      </c>
      <c r="E54" s="836"/>
      <c r="F54" s="319"/>
      <c r="G54" s="1929"/>
      <c r="H54" s="1925"/>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4" t="s">
        <v>1380</v>
      </c>
      <c r="BM54" s="1831"/>
      <c r="BN54" s="1945"/>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4" t="str">
        <f>$B$35</f>
        <v>Expert Heavy</v>
      </c>
      <c r="C55" s="1925"/>
      <c r="D55" s="653">
        <v>1</v>
      </c>
      <c r="E55" s="841"/>
      <c r="F55" s="319"/>
      <c r="G55" s="1924"/>
      <c r="H55" s="1925"/>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4" t="s">
        <v>1372</v>
      </c>
      <c r="BM55" s="1831"/>
      <c r="BN55" s="1945"/>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9" t="str">
        <f>$B$36</f>
        <v>Full Light</v>
      </c>
      <c r="C56" s="1925"/>
      <c r="D56" s="653">
        <v>1</v>
      </c>
      <c r="E56" s="836"/>
      <c r="F56" s="319"/>
      <c r="G56" s="1929"/>
      <c r="H56" s="1925"/>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4" t="s">
        <v>1374</v>
      </c>
      <c r="BM56" s="1831"/>
      <c r="BN56" s="1945"/>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4" t="str">
        <f>$B$37</f>
        <v>Full Medium</v>
      </c>
      <c r="C57" s="1925"/>
      <c r="D57" s="653">
        <v>1</v>
      </c>
      <c r="E57" s="841"/>
      <c r="F57" s="319"/>
      <c r="G57" s="1924"/>
      <c r="H57" s="1925"/>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4" t="s">
        <v>1380</v>
      </c>
      <c r="BM57" s="1831"/>
      <c r="BN57" s="1945"/>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9" t="str">
        <f>$B$38</f>
        <v>Testing</v>
      </c>
      <c r="C58" s="1925"/>
      <c r="D58" s="653">
        <v>1</v>
      </c>
      <c r="E58" s="836"/>
      <c r="F58" s="319"/>
      <c r="G58" s="1929"/>
      <c r="H58" s="1925"/>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6"/>
      <c r="BM58" s="1947"/>
      <c r="BN58" s="1948"/>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2" t="s">
        <v>962</v>
      </c>
      <c r="C60" s="1913"/>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4" t="s">
        <v>963</v>
      </c>
      <c r="C61" s="1915"/>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6" t="s">
        <v>964</v>
      </c>
      <c r="C62" s="1917"/>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8" t="s">
        <v>961</v>
      </c>
      <c r="C63" s="1919"/>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0" t="s">
        <v>960</v>
      </c>
      <c r="C64" s="1921"/>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2" t="s">
        <v>957</v>
      </c>
      <c r="C65" s="1923"/>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3" t="s">
        <v>958</v>
      </c>
      <c r="C66" s="1904"/>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5" t="s">
        <v>959</v>
      </c>
      <c r="C67" s="1906"/>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5" t="s">
        <v>1254</v>
      </c>
      <c r="C68" s="1906"/>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6" t="s">
        <v>1343</v>
      </c>
      <c r="C70" s="1967"/>
      <c r="D70" s="776">
        <v>7</v>
      </c>
      <c r="E70" s="661">
        <v>20</v>
      </c>
      <c r="F70" s="319"/>
      <c r="G70" s="1952" t="s">
        <v>1344</v>
      </c>
      <c r="H70" s="1953"/>
      <c r="I70" s="776">
        <v>10</v>
      </c>
      <c r="J70" s="646">
        <v>1</v>
      </c>
      <c r="K70" s="319"/>
      <c r="L70" s="1941" t="s">
        <v>1317</v>
      </c>
      <c r="M70" s="1942"/>
      <c r="N70" s="1943"/>
      <c r="O70" s="1536">
        <f>SUM($BH$6,$N71)</f>
        <v>18.996702774108325</v>
      </c>
      <c r="P70" s="647">
        <v>20000</v>
      </c>
      <c r="Q70" s="623" t="s">
        <v>825</v>
      </c>
      <c r="R70" s="777">
        <f>(P70/69.5388)</f>
        <v>287.60921960114354</v>
      </c>
      <c r="S70" s="1536">
        <f>SUM($O70,$R71)</f>
        <v>101.49436004250944</v>
      </c>
      <c r="T70" s="1850" t="str">
        <f>IF($BN$5="ON","82F                28c",IF($BN$5="OFF","80F                27c"))</f>
        <v>82F                28c</v>
      </c>
      <c r="U70" s="1851"/>
      <c r="V70" s="1852"/>
      <c r="W70" s="1536">
        <f>SUM($S70,$V71)</f>
        <v>320.77450509118762</v>
      </c>
      <c r="X70" s="1850" t="str">
        <f>IF($BN$5="ON","70F                21c",IF($BN$5="OFF","70F                21c"))</f>
        <v>70F                21c</v>
      </c>
      <c r="Y70" s="1851"/>
      <c r="Z70" s="1852"/>
      <c r="AA70" s="1536">
        <f>SUM($W70,$Z71)</f>
        <v>487.11399787452729</v>
      </c>
      <c r="AB70" s="1850" t="str">
        <f>IF($BN$5="ON","70%                55%",IF($BN$5="OFF","70%                55%"))</f>
        <v>70%                55%</v>
      </c>
      <c r="AC70" s="1851"/>
      <c r="AD70" s="1852"/>
      <c r="AE70" s="1536">
        <f>SUM($AA70,$AD71)</f>
        <v>603.30617193294108</v>
      </c>
      <c r="AF70" s="1940" t="s">
        <v>1356</v>
      </c>
      <c r="AG70" s="1851"/>
      <c r="AH70" s="1852"/>
      <c r="AI70" s="1536">
        <f>SUM($AE70,$AH71)</f>
        <v>603.30617193294108</v>
      </c>
      <c r="AJ70" s="1940" t="s">
        <v>3</v>
      </c>
      <c r="AK70" s="1851"/>
      <c r="AL70" s="1852"/>
      <c r="AM70" s="1536">
        <f>SUM($AI70,$AL71)</f>
        <v>614.74078502841178</v>
      </c>
      <c r="AN70" s="1940" t="s">
        <v>853</v>
      </c>
      <c r="AO70" s="1851"/>
      <c r="AP70" s="1852"/>
      <c r="AQ70" s="1536">
        <f>SUM($AM70,$AP71)</f>
        <v>628.80422462956278</v>
      </c>
      <c r="AR70" s="1850" t="str">
        <f>IF($BN$5="ON","68F                20c",IF($BN$5="OFF","68F                20c"))</f>
        <v>68F                20c</v>
      </c>
      <c r="AS70" s="1851"/>
      <c r="AT70" s="1852"/>
      <c r="AU70" s="1536">
        <f>SUM($AQ70,$AT71)</f>
        <v>628.80422462956278</v>
      </c>
      <c r="AV70" s="1850" t="str">
        <f>IF($BN$5="ON","1500 PPM co2",IF($BN$5="OFF","1500 PPM co2"))</f>
        <v>1500 PPM co2</v>
      </c>
      <c r="AW70" s="1851"/>
      <c r="AX70" s="1852"/>
      <c r="AY70" s="1536">
        <f>SUM($AU70,$AX71,$AX72)</f>
        <v>628.80422462956278</v>
      </c>
      <c r="AZ70" s="745">
        <f>DZ$331</f>
        <v>0.5</v>
      </c>
      <c r="BA70" s="728">
        <f>(E70*AZ70)*(J70)</f>
        <v>10</v>
      </c>
      <c r="BB70" s="729">
        <f>IF($BI$6="ON",$BR85,IF($BI$6="OFF",$BS85))</f>
        <v>29.98678996036988</v>
      </c>
      <c r="BC70" s="894">
        <f>SUM($AY70,$BB70,$BB71,$BB72)</f>
        <v>658.79101458993262</v>
      </c>
      <c r="BD70" s="1938">
        <v>6.2</v>
      </c>
      <c r="BE70" s="1939"/>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2" t="s">
        <v>1873</v>
      </c>
      <c r="FP70" s="1843"/>
      <c r="FQ70" s="1843"/>
      <c r="FR70" s="1843"/>
      <c r="FS70" s="1843"/>
      <c r="FT70" s="1843"/>
      <c r="FU70" s="1843"/>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8" t="s">
        <v>7</v>
      </c>
      <c r="C71" s="1889"/>
      <c r="D71" s="1890">
        <f>SUM(D51,D50)</f>
        <v>44257</v>
      </c>
      <c r="E71" s="1891"/>
      <c r="F71" s="319"/>
      <c r="G71" s="1888" t="s">
        <v>7</v>
      </c>
      <c r="H71" s="1889"/>
      <c r="I71" s="1890">
        <f>SUM(I51,I50)</f>
        <v>44323</v>
      </c>
      <c r="J71" s="1891"/>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9" t="s">
        <v>636</v>
      </c>
      <c r="C72" s="1960"/>
      <c r="D72" s="601">
        <f>SUM(C7,D30,D50)</f>
        <v>31</v>
      </c>
      <c r="E72" s="706">
        <f>(D72/7)</f>
        <v>4.4285714285714288</v>
      </c>
      <c r="F72" s="753"/>
      <c r="G72" s="1959" t="s">
        <v>636</v>
      </c>
      <c r="H72" s="1960"/>
      <c r="I72" s="601">
        <f>SUM(H7,I30,I50)</f>
        <v>34</v>
      </c>
      <c r="J72" s="706">
        <f>(I72/7)</f>
        <v>4.8571428571428568</v>
      </c>
      <c r="K72" s="753"/>
      <c r="L72" s="1963" t="s">
        <v>663</v>
      </c>
      <c r="M72" s="1964"/>
      <c r="N72" s="1964"/>
      <c r="O72" s="1964"/>
      <c r="P72" s="1964"/>
      <c r="Q72" s="1964"/>
      <c r="R72" s="1964"/>
      <c r="S72" s="1964"/>
      <c r="T72" s="1964"/>
      <c r="U72" s="1964"/>
      <c r="V72" s="1964"/>
      <c r="W72" s="1964"/>
      <c r="X72" s="1964"/>
      <c r="Y72" s="1964"/>
      <c r="Z72" s="1964"/>
      <c r="AA72" s="1964"/>
      <c r="AB72" s="1964"/>
      <c r="AC72" s="1964"/>
      <c r="AD72" s="1964"/>
      <c r="AE72" s="1964"/>
      <c r="AF72" s="1964"/>
      <c r="AG72" s="1964"/>
      <c r="AH72" s="1964"/>
      <c r="AI72" s="1964"/>
      <c r="AJ72" s="1964"/>
      <c r="AK72" s="1964"/>
      <c r="AL72" s="1964"/>
      <c r="AM72" s="1964"/>
      <c r="AN72" s="1964"/>
      <c r="AO72" s="1964"/>
      <c r="AP72" s="1964"/>
      <c r="AQ72" s="1964"/>
      <c r="AR72" s="1964"/>
      <c r="AS72" s="1964"/>
      <c r="AT72" s="1964"/>
      <c r="AU72" s="1965"/>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6" t="str">
        <f>$B$33</f>
        <v>Expert Light</v>
      </c>
      <c r="C73" s="1937"/>
      <c r="D73" s="652">
        <v>1</v>
      </c>
      <c r="E73" s="831"/>
      <c r="F73" s="753"/>
      <c r="G73" s="1924"/>
      <c r="H73" s="1925"/>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9" t="s">
        <v>1361</v>
      </c>
      <c r="BM73" s="1950"/>
      <c r="BN73" s="1951"/>
      <c r="BO73" s="1579"/>
      <c r="BP73" s="1579"/>
      <c r="BQ73" s="1484"/>
      <c r="BR73" s="873" t="s">
        <v>1350</v>
      </c>
      <c r="BS73" s="691" t="s">
        <v>6</v>
      </c>
      <c r="BT73" s="691" t="s">
        <v>928</v>
      </c>
      <c r="BU73" s="1961" t="s">
        <v>1328</v>
      </c>
      <c r="BV73" s="1962"/>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9" t="str">
        <f>$B$34</f>
        <v>Expert Medium</v>
      </c>
      <c r="C74" s="1925"/>
      <c r="D74" s="653">
        <v>1</v>
      </c>
      <c r="E74" s="836"/>
      <c r="F74" s="319"/>
      <c r="G74" s="1929"/>
      <c r="H74" s="1925"/>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4" t="s">
        <v>1379</v>
      </c>
      <c r="BM74" s="1831"/>
      <c r="BN74" s="1945"/>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4" t="str">
        <f>$B$35</f>
        <v>Expert Heavy</v>
      </c>
      <c r="C75" s="1925"/>
      <c r="D75" s="653">
        <v>1</v>
      </c>
      <c r="E75" s="841"/>
      <c r="F75" s="319"/>
      <c r="G75" s="1924"/>
      <c r="H75" s="1925"/>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4" t="s">
        <v>1371</v>
      </c>
      <c r="BM75" s="1831"/>
      <c r="BN75" s="1945"/>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9" t="str">
        <f>$B$36</f>
        <v>Full Light</v>
      </c>
      <c r="C76" s="1925"/>
      <c r="D76" s="653">
        <v>1</v>
      </c>
      <c r="E76" s="836"/>
      <c r="F76" s="319"/>
      <c r="G76" s="1929"/>
      <c r="H76" s="1925"/>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4" t="s">
        <v>1361</v>
      </c>
      <c r="BM76" s="1831"/>
      <c r="BN76" s="1945"/>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4" t="str">
        <f>$B$37</f>
        <v>Full Medium</v>
      </c>
      <c r="C77" s="1925"/>
      <c r="D77" s="653">
        <v>1</v>
      </c>
      <c r="E77" s="841"/>
      <c r="F77" s="319"/>
      <c r="G77" s="1924"/>
      <c r="H77" s="1925"/>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4" t="s">
        <v>1379</v>
      </c>
      <c r="BM77" s="1831"/>
      <c r="BN77" s="1945"/>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9" t="str">
        <f>$B$38</f>
        <v>Testing</v>
      </c>
      <c r="C78" s="1925"/>
      <c r="D78" s="653">
        <v>1</v>
      </c>
      <c r="E78" s="836"/>
      <c r="F78" s="319"/>
      <c r="G78" s="1929"/>
      <c r="H78" s="1925"/>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6"/>
      <c r="BM78" s="1947"/>
      <c r="BN78" s="1948"/>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2" t="s">
        <v>962</v>
      </c>
      <c r="C80" s="1913"/>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4" t="s">
        <v>963</v>
      </c>
      <c r="C81" s="1915"/>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6" t="s">
        <v>964</v>
      </c>
      <c r="C82" s="1917"/>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8" t="s">
        <v>961</v>
      </c>
      <c r="C83" s="1919"/>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0" t="s">
        <v>960</v>
      </c>
      <c r="C84" s="1921"/>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2" t="s">
        <v>957</v>
      </c>
      <c r="C85" s="1923"/>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3" t="s">
        <v>958</v>
      </c>
      <c r="C86" s="1904"/>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5" t="s">
        <v>959</v>
      </c>
      <c r="C87" s="1906"/>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5" t="s">
        <v>1254</v>
      </c>
      <c r="C88" s="1906"/>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7" t="s">
        <v>8</v>
      </c>
      <c r="C90" s="1908"/>
      <c r="D90" s="776">
        <v>8</v>
      </c>
      <c r="E90" s="661">
        <v>20</v>
      </c>
      <c r="F90" s="319"/>
      <c r="G90" s="1907" t="s">
        <v>8</v>
      </c>
      <c r="H90" s="1908"/>
      <c r="I90" s="776">
        <v>14</v>
      </c>
      <c r="J90" s="646">
        <v>1</v>
      </c>
      <c r="K90" s="319"/>
      <c r="L90" s="1941" t="s">
        <v>1317</v>
      </c>
      <c r="M90" s="1942"/>
      <c r="N90" s="1943"/>
      <c r="O90" s="1536">
        <f>SUM($BH$6,$N91)</f>
        <v>18.996702774108325</v>
      </c>
      <c r="P90" s="647">
        <v>20000</v>
      </c>
      <c r="Q90" s="623" t="s">
        <v>825</v>
      </c>
      <c r="R90" s="777">
        <f>(P90/69.5388)</f>
        <v>287.60921960114354</v>
      </c>
      <c r="S90" s="1536">
        <f>SUM($O90,$R91)</f>
        <v>101.49436004250944</v>
      </c>
      <c r="T90" s="1850" t="str">
        <f>IF($BN$5="ON","80F                27c",IF($BN$5="OFF","80F                27c"))</f>
        <v>80F                27c</v>
      </c>
      <c r="U90" s="1851"/>
      <c r="V90" s="1852"/>
      <c r="W90" s="1536">
        <f>SUM($S90,$V91)</f>
        <v>346.87928426364931</v>
      </c>
      <c r="X90" s="1850" t="str">
        <f>IF($BN$5="ON","70F                21c",IF($BN$5="OFF","70F                21c"))</f>
        <v>70F                21c</v>
      </c>
      <c r="Y90" s="1851"/>
      <c r="Z90" s="1852"/>
      <c r="AA90" s="1536">
        <f>SUM($W90,$Z91)</f>
        <v>536.5063060366565</v>
      </c>
      <c r="AB90" s="1850" t="str">
        <f>IF($BN$5="ON","60%                45%",IF($BN$5="OFF","60%                45%"))</f>
        <v>60%                45%</v>
      </c>
      <c r="AC90" s="1851"/>
      <c r="AD90" s="1852"/>
      <c r="AE90" s="1536">
        <f>SUM($AA90,$AD91)</f>
        <v>694.19568511593241</v>
      </c>
      <c r="AF90" s="1940" t="s">
        <v>1357</v>
      </c>
      <c r="AG90" s="1851"/>
      <c r="AH90" s="1852"/>
      <c r="AI90" s="1536">
        <f>SUM($AE90,$AH91)</f>
        <v>694.19568511593241</v>
      </c>
      <c r="AJ90" s="1940" t="s">
        <v>3</v>
      </c>
      <c r="AK90" s="1851"/>
      <c r="AL90" s="1852"/>
      <c r="AM90" s="1536">
        <f>SUM($AI90,$AL91)</f>
        <v>711.34760475913845</v>
      </c>
      <c r="AN90" s="1940" t="s">
        <v>853</v>
      </c>
      <c r="AO90" s="1851"/>
      <c r="AP90" s="1852"/>
      <c r="AQ90" s="1536">
        <f>SUM($AM90,$AP91)</f>
        <v>725.41104436028945</v>
      </c>
      <c r="AR90" s="1850" t="str">
        <f>IF($BN$5="ON","68F                20c",IF($BN$5="OFF","68F                20c"))</f>
        <v>68F                20c</v>
      </c>
      <c r="AS90" s="1851"/>
      <c r="AT90" s="1852"/>
      <c r="AU90" s="1536">
        <f>SUM($AQ90,$AT91)</f>
        <v>725.41104436028945</v>
      </c>
      <c r="AV90" s="1850" t="str">
        <f>IF($BN$5="ON","1500 PPM co2",IF($BN$5="OFF","1500 PPM co2"))</f>
        <v>1500 PPM co2</v>
      </c>
      <c r="AW90" s="1851"/>
      <c r="AX90" s="1852"/>
      <c r="AY90" s="1536">
        <f>SUM($AU90,$AX91,$AX92)</f>
        <v>725.41104436028945</v>
      </c>
      <c r="AZ90" s="745">
        <f>EA$331</f>
        <v>0.5</v>
      </c>
      <c r="BA90" s="728">
        <f>(E90*AZ90)*(J90)</f>
        <v>10</v>
      </c>
      <c r="BB90" s="729">
        <f>IF($BI$6="ON",$BR105,IF($BI$6="OFF",$BS105))</f>
        <v>29.98678996036988</v>
      </c>
      <c r="BC90" s="894">
        <f>SUM($AY90,$BB90,$BB91,$BB92)</f>
        <v>755.39783432065929</v>
      </c>
      <c r="BD90" s="1938">
        <v>6.1</v>
      </c>
      <c r="BE90" s="1939"/>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2" t="s">
        <v>1873</v>
      </c>
      <c r="FP90" s="1843"/>
      <c r="FQ90" s="1843"/>
      <c r="FR90" s="1843"/>
      <c r="FS90" s="1843"/>
      <c r="FT90" s="1843"/>
      <c r="FU90" s="1843"/>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8" t="s">
        <v>9</v>
      </c>
      <c r="C91" s="1889"/>
      <c r="D91" s="1890">
        <f>SUM(D71,D70)</f>
        <v>44264</v>
      </c>
      <c r="E91" s="1891"/>
      <c r="F91" s="319"/>
      <c r="G91" s="1888" t="s">
        <v>9</v>
      </c>
      <c r="H91" s="1889"/>
      <c r="I91" s="1890">
        <f>SUM(I71,I70)</f>
        <v>44333</v>
      </c>
      <c r="J91" s="1891"/>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9" t="s">
        <v>636</v>
      </c>
      <c r="C92" s="1960"/>
      <c r="D92" s="601">
        <f>SUM(C7,D30,D50,D70)</f>
        <v>38</v>
      </c>
      <c r="E92" s="706">
        <f>(D92/7)</f>
        <v>5.4285714285714288</v>
      </c>
      <c r="F92" s="753"/>
      <c r="G92" s="1959" t="s">
        <v>636</v>
      </c>
      <c r="H92" s="1960"/>
      <c r="I92" s="601">
        <f>SUM(H7,I30,I50,I70)</f>
        <v>44</v>
      </c>
      <c r="J92" s="706">
        <f>(I92/7)</f>
        <v>6.2857142857142856</v>
      </c>
      <c r="K92" s="753"/>
      <c r="L92" s="1844"/>
      <c r="M92" s="1845"/>
      <c r="N92" s="1845"/>
      <c r="O92" s="1845"/>
      <c r="P92" s="1845"/>
      <c r="Q92" s="1845"/>
      <c r="R92" s="1845"/>
      <c r="S92" s="1845"/>
      <c r="T92" s="1845"/>
      <c r="U92" s="1845"/>
      <c r="V92" s="1845"/>
      <c r="W92" s="1845"/>
      <c r="X92" s="1845"/>
      <c r="Y92" s="1845"/>
      <c r="Z92" s="1845"/>
      <c r="AA92" s="1845"/>
      <c r="AB92" s="1845"/>
      <c r="AC92" s="1845"/>
      <c r="AD92" s="1845"/>
      <c r="AE92" s="1845"/>
      <c r="AF92" s="1845"/>
      <c r="AG92" s="1845"/>
      <c r="AH92" s="1845"/>
      <c r="AI92" s="1845"/>
      <c r="AJ92" s="1845"/>
      <c r="AK92" s="1845"/>
      <c r="AL92" s="1845"/>
      <c r="AM92" s="1845"/>
      <c r="AN92" s="1845"/>
      <c r="AO92" s="1845"/>
      <c r="AP92" s="1845"/>
      <c r="AQ92" s="1845"/>
      <c r="AR92" s="1845"/>
      <c r="AS92" s="1845"/>
      <c r="AT92" s="1845"/>
      <c r="AU92" s="1846"/>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6" t="str">
        <f>$B$33</f>
        <v>Expert Light</v>
      </c>
      <c r="C93" s="1937"/>
      <c r="D93" s="652">
        <v>1</v>
      </c>
      <c r="E93" s="831"/>
      <c r="F93" s="753"/>
      <c r="G93" s="1924"/>
      <c r="H93" s="1925"/>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9" t="s">
        <v>1362</v>
      </c>
      <c r="BM93" s="1950"/>
      <c r="BN93" s="1951"/>
      <c r="BO93" s="1579"/>
      <c r="BP93" s="1579"/>
      <c r="BQ93" s="1484"/>
      <c r="BR93" s="873" t="s">
        <v>1350</v>
      </c>
      <c r="BS93" s="691" t="s">
        <v>6</v>
      </c>
      <c r="BT93" s="691" t="s">
        <v>928</v>
      </c>
      <c r="BU93" s="1961" t="s">
        <v>1328</v>
      </c>
      <c r="BV93" s="1962"/>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9" t="str">
        <f>$B$34</f>
        <v>Expert Medium</v>
      </c>
      <c r="C94" s="1925"/>
      <c r="D94" s="653">
        <v>1</v>
      </c>
      <c r="E94" s="836"/>
      <c r="F94" s="319"/>
      <c r="G94" s="1929"/>
      <c r="H94" s="1925"/>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4" t="s">
        <v>1378</v>
      </c>
      <c r="BM94" s="1831"/>
      <c r="BN94" s="1945"/>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4" t="str">
        <f>$B$35</f>
        <v>Expert Heavy</v>
      </c>
      <c r="C95" s="1925"/>
      <c r="D95" s="653">
        <v>1</v>
      </c>
      <c r="E95" s="841"/>
      <c r="F95" s="319"/>
      <c r="G95" s="1924"/>
      <c r="H95" s="1925"/>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4" t="s">
        <v>1370</v>
      </c>
      <c r="BM95" s="1831"/>
      <c r="BN95" s="1945"/>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9" t="str">
        <f>$B$36</f>
        <v>Full Light</v>
      </c>
      <c r="C96" s="1925"/>
      <c r="D96" s="653">
        <v>1</v>
      </c>
      <c r="E96" s="836"/>
      <c r="F96" s="319"/>
      <c r="G96" s="1929"/>
      <c r="H96" s="1925"/>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9" t="s">
        <v>1362</v>
      </c>
      <c r="BM96" s="1950"/>
      <c r="BN96" s="1951"/>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4" t="str">
        <f>$B$37</f>
        <v>Full Medium</v>
      </c>
      <c r="C97" s="1925"/>
      <c r="D97" s="653">
        <v>1</v>
      </c>
      <c r="E97" s="841"/>
      <c r="F97" s="319"/>
      <c r="G97" s="1924"/>
      <c r="H97" s="1925"/>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4" t="s">
        <v>1378</v>
      </c>
      <c r="BM97" s="1831"/>
      <c r="BN97" s="1945"/>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9" t="str">
        <f>$B$38</f>
        <v>Testing</v>
      </c>
      <c r="C98" s="1925"/>
      <c r="D98" s="653">
        <v>1</v>
      </c>
      <c r="E98" s="836"/>
      <c r="F98" s="319"/>
      <c r="G98" s="1929"/>
      <c r="H98" s="1925"/>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6"/>
      <c r="BM98" s="1947"/>
      <c r="BN98" s="1948"/>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2" t="s">
        <v>962</v>
      </c>
      <c r="C100" s="1913"/>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4" t="s">
        <v>963</v>
      </c>
      <c r="C101" s="1915"/>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6" t="s">
        <v>964</v>
      </c>
      <c r="C102" s="1917"/>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8" t="s">
        <v>961</v>
      </c>
      <c r="C103" s="1919"/>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0" t="s">
        <v>960</v>
      </c>
      <c r="C104" s="1921"/>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2" t="s">
        <v>957</v>
      </c>
      <c r="C105" s="1923"/>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3" t="s">
        <v>958</v>
      </c>
      <c r="C106" s="1904"/>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5" t="s">
        <v>959</v>
      </c>
      <c r="C107" s="1906"/>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5" t="s">
        <v>1254</v>
      </c>
      <c r="C108" s="1906"/>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2" t="s">
        <v>1348</v>
      </c>
      <c r="C110" s="1953"/>
      <c r="D110" s="776">
        <v>6</v>
      </c>
      <c r="E110" s="661">
        <v>25</v>
      </c>
      <c r="F110" s="319"/>
      <c r="G110" s="1952" t="s">
        <v>1348</v>
      </c>
      <c r="H110" s="1953"/>
      <c r="I110" s="776">
        <v>14</v>
      </c>
      <c r="J110" s="646">
        <v>1</v>
      </c>
      <c r="K110" s="319"/>
      <c r="L110" s="1941" t="s">
        <v>1317</v>
      </c>
      <c r="M110" s="1942"/>
      <c r="N110" s="1943"/>
      <c r="O110" s="1536">
        <f>SUM($BH$6,$N111)</f>
        <v>18.996702774108325</v>
      </c>
      <c r="P110" s="647">
        <v>20000</v>
      </c>
      <c r="Q110" s="623" t="s">
        <v>825</v>
      </c>
      <c r="R110" s="777">
        <f>(P110/69.5388)</f>
        <v>287.60921960114354</v>
      </c>
      <c r="S110" s="1536">
        <f>SUM($O110,$R111)</f>
        <v>101.49436004250944</v>
      </c>
      <c r="T110" s="1850" t="str">
        <f>IF($BN$5="ON","80F                27c",IF($BN$5="OFF","80F                27c"))</f>
        <v>80F                27c</v>
      </c>
      <c r="U110" s="1851"/>
      <c r="V110" s="1852"/>
      <c r="W110" s="1536">
        <f>SUM($S110,$V111)</f>
        <v>346.87928426364931</v>
      </c>
      <c r="X110" s="1850" t="str">
        <f>IF($BN$5="ON","70F                21c",IF($BN$5="OFF","70F                21c"))</f>
        <v>70F                21c</v>
      </c>
      <c r="Y110" s="1851"/>
      <c r="Z110" s="1852"/>
      <c r="AA110" s="1536">
        <f>SUM($W110,$Z111)</f>
        <v>536.5063060366565</v>
      </c>
      <c r="AB110" s="1850" t="str">
        <f>IF($BN$5="ON","60%                45%",IF($BN$5="OFF","60%                45%"))</f>
        <v>60%                45%</v>
      </c>
      <c r="AC110" s="1851"/>
      <c r="AD110" s="1852"/>
      <c r="AE110" s="1536">
        <f>SUM($AA110,$AD111)</f>
        <v>694.19568511593241</v>
      </c>
      <c r="AF110" s="1940" t="s">
        <v>1357</v>
      </c>
      <c r="AG110" s="1851"/>
      <c r="AH110" s="1852"/>
      <c r="AI110" s="1536">
        <f>SUM($AE110,$AH111)</f>
        <v>694.19568511593241</v>
      </c>
      <c r="AJ110" s="1940" t="s">
        <v>3</v>
      </c>
      <c r="AK110" s="1851"/>
      <c r="AL110" s="1852"/>
      <c r="AM110" s="1536">
        <f>SUM($AI110,$AL111)</f>
        <v>711.34760475913845</v>
      </c>
      <c r="AN110" s="1940" t="s">
        <v>854</v>
      </c>
      <c r="AO110" s="1851"/>
      <c r="AP110" s="1852"/>
      <c r="AQ110" s="1536">
        <f>SUM($AM110,$AP111)</f>
        <v>725.41104436028945</v>
      </c>
      <c r="AR110" s="1850" t="str">
        <f>IF($BN$5="ON","68F                20c",IF($BN$5="OFF","68F                20c"))</f>
        <v>68F                20c</v>
      </c>
      <c r="AS110" s="1851"/>
      <c r="AT110" s="1852"/>
      <c r="AU110" s="1536">
        <f>SUM($AQ110,$AT111)</f>
        <v>725.41104436028945</v>
      </c>
      <c r="AV110" s="1850" t="str">
        <f>IF($BN$5="ON","1500 PPM co2",IF($BN$5="OFF","1500 PPM co2"))</f>
        <v>1500 PPM co2</v>
      </c>
      <c r="AW110" s="1851"/>
      <c r="AX110" s="1852"/>
      <c r="AY110" s="1536">
        <f>SUM($AU110,$AX111,$AX112)</f>
        <v>725.41104436028945</v>
      </c>
      <c r="AZ110" s="745">
        <f>EB$331</f>
        <v>0.5</v>
      </c>
      <c r="BA110" s="728">
        <f>(E110*AZ110)*(J110)</f>
        <v>12.5</v>
      </c>
      <c r="BB110" s="729">
        <f>IF($BI$6="ON",$BR125,IF($BI$6="OFF",$BS125))</f>
        <v>29.98678996036988</v>
      </c>
      <c r="BC110" s="894">
        <f>SUM($AY110,$BB110,$BB111,$BB112)</f>
        <v>755.39783432065929</v>
      </c>
      <c r="BD110" s="1938">
        <v>6.1</v>
      </c>
      <c r="BE110" s="1939"/>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2" t="s">
        <v>1873</v>
      </c>
      <c r="FP110" s="1843"/>
      <c r="FQ110" s="1843"/>
      <c r="FR110" s="1843"/>
      <c r="FS110" s="1843"/>
      <c r="FT110" s="1843"/>
      <c r="FU110" s="1843"/>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8" t="s">
        <v>9</v>
      </c>
      <c r="C111" s="1889"/>
      <c r="D111" s="1890">
        <f>SUM(D91,D90)</f>
        <v>44272</v>
      </c>
      <c r="E111" s="1891"/>
      <c r="F111" s="319"/>
      <c r="G111" s="1888" t="s">
        <v>9</v>
      </c>
      <c r="H111" s="1889"/>
      <c r="I111" s="1890">
        <f>SUM(I91,I90)</f>
        <v>44347</v>
      </c>
      <c r="J111" s="1891"/>
      <c r="K111" s="753"/>
      <c r="L111" s="603">
        <f>EB$320</f>
        <v>0.5</v>
      </c>
      <c r="M111" s="731">
        <f>(E110*L111)*(J110)</f>
        <v>12.5</v>
      </c>
      <c r="N111" s="729">
        <f>IF($BI$6="ON",$BR114,IF($BI$6="OFF",$BS114))</f>
        <v>13.558454425363278</v>
      </c>
      <c r="O111" s="1536">
        <f>$BS114</f>
        <v>27.116908850726553</v>
      </c>
      <c r="P111" s="671">
        <f>EB$321</f>
        <v>1</v>
      </c>
      <c r="Q111" s="731">
        <f>(E110*P111)*(J110)</f>
        <v>25</v>
      </c>
      <c r="R111" s="729">
        <f>IF($BI$6="ON",$BR115,IF($BI$6="OFF",$BS115))</f>
        <v>82.497657268401113</v>
      </c>
      <c r="S111" s="1536">
        <f>$BS115</f>
        <v>24.880245842851135</v>
      </c>
      <c r="T111" s="672">
        <f>EB$322</f>
        <v>4.7</v>
      </c>
      <c r="U111" s="731">
        <f>(E110*T111)*(J110)</f>
        <v>117.5</v>
      </c>
      <c r="V111" s="729">
        <f>IF($BI$6="ON",$BR116,IF($BI$6="OFF",$BS116))</f>
        <v>245.38492422113987</v>
      </c>
      <c r="W111" s="1536">
        <f>$BS116</f>
        <v>168.78065477821266</v>
      </c>
      <c r="X111" s="673">
        <f>EB$323</f>
        <v>5.7</v>
      </c>
      <c r="Y111" s="731">
        <f>(E110*X111)*(J110)</f>
        <v>142.5</v>
      </c>
      <c r="Z111" s="729">
        <f>IF($BI$6="ON",$BR117,IF($BI$6="OFF",$BS117))</f>
        <v>189.62702177300719</v>
      </c>
      <c r="AA111" s="1536">
        <f>$BS117</f>
        <v>135.44787269500515</v>
      </c>
      <c r="AB111" s="674">
        <f>EB$324</f>
        <v>3.8</v>
      </c>
      <c r="AC111" s="731">
        <f>(E110*AB111)*(J110)</f>
        <v>95</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37.5</v>
      </c>
      <c r="AL111" s="729">
        <f>IF($BI$6="ON",$BR120,IF($BI$6="OFF",$BS120))</f>
        <v>17.151919643206096</v>
      </c>
      <c r="AM111" s="1536">
        <f>$BS120</f>
        <v>17.151919643206096</v>
      </c>
      <c r="AN111" s="676">
        <f>EB$327</f>
        <v>4</v>
      </c>
      <c r="AO111" s="728">
        <f>(E110*AN111)*(J110)</f>
        <v>100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12.5</v>
      </c>
      <c r="BB111" s="749">
        <f>IF($BI$6="ON",$BR126,IF($BI$6="OFF",$BS126))</f>
        <v>0</v>
      </c>
      <c r="BC111" s="894"/>
      <c r="BD111" s="650">
        <v>2</v>
      </c>
      <c r="BE111" s="670">
        <f>(E110*BD111)*(J110)</f>
        <v>50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9" t="s">
        <v>636</v>
      </c>
      <c r="C112" s="1960"/>
      <c r="D112" s="601">
        <f>SUM(C7,D30,D50,D70,D90)</f>
        <v>46</v>
      </c>
      <c r="E112" s="706">
        <f>(D112/7)</f>
        <v>6.5714285714285712</v>
      </c>
      <c r="F112" s="753"/>
      <c r="G112" s="1959" t="s">
        <v>636</v>
      </c>
      <c r="H112" s="1960"/>
      <c r="I112" s="601">
        <f>SUM(H7,I30,I50,I70,I90)</f>
        <v>58</v>
      </c>
      <c r="J112" s="706">
        <f>(I112/7)</f>
        <v>8.2857142857142865</v>
      </c>
      <c r="K112" s="753"/>
      <c r="L112" s="1844" t="s">
        <v>662</v>
      </c>
      <c r="M112" s="1845"/>
      <c r="N112" s="1845"/>
      <c r="O112" s="1845"/>
      <c r="P112" s="1845"/>
      <c r="Q112" s="1845"/>
      <c r="R112" s="1845"/>
      <c r="S112" s="1845"/>
      <c r="T112" s="1845"/>
      <c r="U112" s="1845"/>
      <c r="V112" s="1845"/>
      <c r="W112" s="1845"/>
      <c r="X112" s="1845"/>
      <c r="Y112" s="1845"/>
      <c r="Z112" s="1845"/>
      <c r="AA112" s="1845"/>
      <c r="AB112" s="1845"/>
      <c r="AC112" s="1845"/>
      <c r="AD112" s="1845"/>
      <c r="AE112" s="1845"/>
      <c r="AF112" s="1845"/>
      <c r="AG112" s="1845"/>
      <c r="AH112" s="1845"/>
      <c r="AI112" s="1845"/>
      <c r="AJ112" s="1845"/>
      <c r="AK112" s="1845"/>
      <c r="AL112" s="1845"/>
      <c r="AM112" s="1845"/>
      <c r="AN112" s="1845"/>
      <c r="AO112" s="1845"/>
      <c r="AP112" s="1845"/>
      <c r="AQ112" s="1845"/>
      <c r="AR112" s="1845"/>
      <c r="AS112" s="1845"/>
      <c r="AT112" s="1845"/>
      <c r="AU112" s="1846"/>
      <c r="AV112" s="1518">
        <f>EB$330</f>
        <v>0</v>
      </c>
      <c r="AW112" s="748">
        <f>(E110*AV112)*(J110)</f>
        <v>0</v>
      </c>
      <c r="AX112" s="749">
        <f>IF($BI$6="ON",$BR124,IF($BI$6="OFF",$BS124))</f>
        <v>0</v>
      </c>
      <c r="AY112" s="1536">
        <f>$BS124</f>
        <v>0</v>
      </c>
      <c r="AZ112" s="1514">
        <f>EB$333</f>
        <v>0.5</v>
      </c>
      <c r="BA112" s="748">
        <f>(E110*AZ112)*(J110)</f>
        <v>12.5</v>
      </c>
      <c r="BB112" s="749">
        <f>IF($BI$6="ON",$BR127,IF($BI$6="OFF",$BS127))</f>
        <v>0</v>
      </c>
      <c r="BC112" s="1502"/>
      <c r="BD112" s="778">
        <v>2</v>
      </c>
      <c r="BE112" s="779">
        <f>(E110*BD112)*(J110)</f>
        <v>50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6" t="str">
        <f>$B$33</f>
        <v>Expert Light</v>
      </c>
      <c r="C113" s="1937"/>
      <c r="D113" s="652">
        <v>1</v>
      </c>
      <c r="E113" s="831"/>
      <c r="F113" s="753"/>
      <c r="G113" s="1924"/>
      <c r="H113" s="1925"/>
      <c r="I113" s="781"/>
      <c r="J113" s="831"/>
      <c r="K113" s="319"/>
      <c r="L113" s="782"/>
      <c r="M113" s="832">
        <f>((E110*L113)/1)*(D113)</f>
        <v>0</v>
      </c>
      <c r="N113" s="784">
        <f t="shared" ref="N113:N118" si="1224">IF($BI$6="ON",$BR$14*$L113,IF($BI$6="OFF",$BS$14*$L113))</f>
        <v>0</v>
      </c>
      <c r="O113" s="1534"/>
      <c r="P113" s="782">
        <v>1.9</v>
      </c>
      <c r="Q113" s="832">
        <f>((E110*P113)/1)*(D113)</f>
        <v>47.5</v>
      </c>
      <c r="R113" s="784">
        <f t="shared" ref="R113:R118" si="1225">IF($BI$6="ON",$BR$15*$P113,IF($BI$6="OFF",$BS$15*$P113))</f>
        <v>156.74554880996212</v>
      </c>
      <c r="S113" s="1534"/>
      <c r="T113" s="782">
        <v>4.7</v>
      </c>
      <c r="U113" s="832">
        <f>((E110*T113)/1)*(D113)</f>
        <v>117.5</v>
      </c>
      <c r="V113" s="784">
        <f t="shared" ref="V113:V118" si="1226">IF($BI$6="ON",$BR$16*$T113,IF($BI$6="OFF",$BS$16*$T113))</f>
        <v>245.38492422113987</v>
      </c>
      <c r="W113" s="1534"/>
      <c r="X113" s="782">
        <v>5.7</v>
      </c>
      <c r="Y113" s="832">
        <f>((E110*X113)/1)*(D113)</f>
        <v>142.5</v>
      </c>
      <c r="Z113" s="784">
        <f t="shared" ref="Z113:Z118" si="1227">IF($BI$6="ON",$BR$17*$X113,IF($BI$6="OFF",$BS$17*$X113))</f>
        <v>189.62702177300721</v>
      </c>
      <c r="AA113" s="1534"/>
      <c r="AB113" s="782">
        <v>3.8</v>
      </c>
      <c r="AC113" s="832">
        <f>((E110*AB113)/1)*(D113)</f>
        <v>95</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25</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9" t="s">
        <v>1362</v>
      </c>
      <c r="BM113" s="1950"/>
      <c r="BN113" s="1951"/>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9" t="str">
        <f>$B$34</f>
        <v>Expert Medium</v>
      </c>
      <c r="C114" s="1925"/>
      <c r="D114" s="653">
        <v>1</v>
      </c>
      <c r="E114" s="836"/>
      <c r="F114" s="319"/>
      <c r="G114" s="1929"/>
      <c r="H114" s="1925"/>
      <c r="I114" s="788"/>
      <c r="J114" s="836"/>
      <c r="K114" s="319"/>
      <c r="L114" s="782"/>
      <c r="M114" s="837">
        <f>((E110*L114)/1)*(D114)</f>
        <v>0</v>
      </c>
      <c r="N114" s="784">
        <f t="shared" si="1224"/>
        <v>0</v>
      </c>
      <c r="O114" s="1534"/>
      <c r="P114" s="789">
        <v>1.9</v>
      </c>
      <c r="Q114" s="837">
        <f>((E110*P114)/1)*(D114)</f>
        <v>47.5</v>
      </c>
      <c r="R114" s="784">
        <f t="shared" si="1225"/>
        <v>156.74554880996212</v>
      </c>
      <c r="S114" s="1534"/>
      <c r="T114" s="789">
        <v>5.7</v>
      </c>
      <c r="U114" s="837">
        <f>((E110*T114)/1)*(D114)</f>
        <v>142.5</v>
      </c>
      <c r="V114" s="784">
        <f t="shared" si="1226"/>
        <v>297.59448256606322</v>
      </c>
      <c r="W114" s="1534"/>
      <c r="X114" s="789">
        <v>6.6</v>
      </c>
      <c r="Y114" s="837">
        <f>((E110*X114)/1)*(D114)</f>
        <v>165</v>
      </c>
      <c r="Z114" s="784">
        <f t="shared" si="1227"/>
        <v>219.56813047400831</v>
      </c>
      <c r="AA114" s="1534"/>
      <c r="AB114" s="789">
        <v>4.2</v>
      </c>
      <c r="AC114" s="837">
        <f>((E110*AB114)/1)*(D114)</f>
        <v>105</v>
      </c>
      <c r="AD114" s="784">
        <f t="shared" si="1228"/>
        <v>174.28826108762075</v>
      </c>
      <c r="AE114" s="1534"/>
      <c r="AF114" s="789"/>
      <c r="AG114" s="837">
        <f>((E110*AF114)/1)*(D114)</f>
        <v>0</v>
      </c>
      <c r="AH114" s="784">
        <f t="shared" si="1229"/>
        <v>0</v>
      </c>
      <c r="AI114" s="1534"/>
      <c r="AJ114" s="789">
        <v>1.5</v>
      </c>
      <c r="AK114" s="837">
        <f>((E110*AJ114)/1)*(D114)</f>
        <v>37.5</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4" t="s">
        <v>1378</v>
      </c>
      <c r="BM114" s="1831"/>
      <c r="BN114" s="1945"/>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4" t="str">
        <f>$B$35</f>
        <v>Expert Heavy</v>
      </c>
      <c r="C115" s="1925"/>
      <c r="D115" s="653">
        <v>1</v>
      </c>
      <c r="E115" s="841"/>
      <c r="F115" s="319"/>
      <c r="G115" s="1924"/>
      <c r="H115" s="1925"/>
      <c r="I115" s="781"/>
      <c r="J115" s="841"/>
      <c r="K115" s="319"/>
      <c r="L115" s="782"/>
      <c r="M115" s="842">
        <f>((E110*L115)/1)*(D115)</f>
        <v>0</v>
      </c>
      <c r="N115" s="784">
        <f t="shared" si="1224"/>
        <v>0</v>
      </c>
      <c r="O115" s="1534"/>
      <c r="P115" s="789">
        <v>2</v>
      </c>
      <c r="Q115" s="842">
        <f>((E110*P115)/1)*(D115)</f>
        <v>50</v>
      </c>
      <c r="R115" s="784">
        <f t="shared" si="1225"/>
        <v>164.99531453680223</v>
      </c>
      <c r="S115" s="1534"/>
      <c r="T115" s="789">
        <v>7.6</v>
      </c>
      <c r="U115" s="842">
        <f>((E110*T115)/1)*(D115)</f>
        <v>190</v>
      </c>
      <c r="V115" s="784">
        <f t="shared" si="1226"/>
        <v>396.79264342141761</v>
      </c>
      <c r="W115" s="1534"/>
      <c r="X115" s="789">
        <v>8.5</v>
      </c>
      <c r="Y115" s="842">
        <f>((E110*X115)/1)*(D115)</f>
        <v>212.5</v>
      </c>
      <c r="Z115" s="784">
        <f t="shared" si="1227"/>
        <v>282.77713773167739</v>
      </c>
      <c r="AA115" s="1534"/>
      <c r="AB115" s="789">
        <v>4.7</v>
      </c>
      <c r="AC115" s="842">
        <f>((E110*AB115)/1)*(D115)</f>
        <v>117.5</v>
      </c>
      <c r="AD115" s="784">
        <f t="shared" si="1228"/>
        <v>195.03686359805181</v>
      </c>
      <c r="AE115" s="1534"/>
      <c r="AF115" s="789"/>
      <c r="AG115" s="842">
        <f>((E110*AF115)/1)*(D115)</f>
        <v>0</v>
      </c>
      <c r="AH115" s="784">
        <f t="shared" si="1229"/>
        <v>0</v>
      </c>
      <c r="AI115" s="1534"/>
      <c r="AJ115" s="789">
        <v>2</v>
      </c>
      <c r="AK115" s="842">
        <f>((E110*AJ115)/1)*(D115)</f>
        <v>50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4" t="s">
        <v>1370</v>
      </c>
      <c r="BM115" s="1831"/>
      <c r="BN115" s="1945"/>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9" t="str">
        <f>$B$36</f>
        <v>Full Light</v>
      </c>
      <c r="C116" s="1925"/>
      <c r="D116" s="653">
        <v>1</v>
      </c>
      <c r="E116" s="836"/>
      <c r="F116" s="319"/>
      <c r="G116" s="1929"/>
      <c r="H116" s="1925"/>
      <c r="I116" s="788"/>
      <c r="J116" s="836"/>
      <c r="K116" s="319"/>
      <c r="L116" s="782"/>
      <c r="M116" s="837">
        <f>((E110*L116)/1)*(D116)</f>
        <v>0</v>
      </c>
      <c r="N116" s="784">
        <f t="shared" si="1224"/>
        <v>0</v>
      </c>
      <c r="O116" s="1534"/>
      <c r="P116" s="789">
        <v>1.8</v>
      </c>
      <c r="Q116" s="837">
        <f>((E110*P116)/1)*(D116)</f>
        <v>45</v>
      </c>
      <c r="R116" s="784">
        <f t="shared" si="1225"/>
        <v>148.49578308312201</v>
      </c>
      <c r="S116" s="1534"/>
      <c r="T116" s="789">
        <v>4.7</v>
      </c>
      <c r="U116" s="837">
        <f>((E110*T116)/1)*(D116)</f>
        <v>117.5</v>
      </c>
      <c r="V116" s="784">
        <f t="shared" si="1226"/>
        <v>245.38492422113987</v>
      </c>
      <c r="W116" s="1534"/>
      <c r="X116" s="789">
        <v>5.7</v>
      </c>
      <c r="Y116" s="837">
        <f>((E110*X116)/1)*(D116)</f>
        <v>142.5</v>
      </c>
      <c r="Z116" s="784">
        <f t="shared" si="1227"/>
        <v>189.62702177300721</v>
      </c>
      <c r="AA116" s="1534"/>
      <c r="AB116" s="789">
        <v>3.8</v>
      </c>
      <c r="AC116" s="837">
        <f>((E110*AB116)/1)*(D116)</f>
        <v>95</v>
      </c>
      <c r="AD116" s="784">
        <f t="shared" si="1228"/>
        <v>157.68937907927591</v>
      </c>
      <c r="AE116" s="1534"/>
      <c r="AF116" s="789"/>
      <c r="AG116" s="837">
        <f>((E110*AF116)/1)*(D116)</f>
        <v>0</v>
      </c>
      <c r="AH116" s="784">
        <f t="shared" si="1229"/>
        <v>0</v>
      </c>
      <c r="AI116" s="1534"/>
      <c r="AJ116" s="789">
        <v>1</v>
      </c>
      <c r="AK116" s="837">
        <f>((E110*AJ116)/1)*(D116)</f>
        <v>25</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9" t="s">
        <v>1362</v>
      </c>
      <c r="BM116" s="1950"/>
      <c r="BN116" s="1951"/>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4" t="str">
        <f>$B$37</f>
        <v>Full Medium</v>
      </c>
      <c r="C117" s="1925"/>
      <c r="D117" s="653">
        <v>1</v>
      </c>
      <c r="E117" s="841"/>
      <c r="F117" s="319"/>
      <c r="G117" s="1924"/>
      <c r="H117" s="1925"/>
      <c r="I117" s="781"/>
      <c r="J117" s="841"/>
      <c r="K117" s="319"/>
      <c r="L117" s="782"/>
      <c r="M117" s="842">
        <f>((E110*L117)/1)*(D117)</f>
        <v>0</v>
      </c>
      <c r="N117" s="784">
        <f t="shared" si="1224"/>
        <v>0</v>
      </c>
      <c r="O117" s="1534"/>
      <c r="P117" s="789">
        <v>1.9</v>
      </c>
      <c r="Q117" s="842">
        <f>((E110*P117)/1)*(D117)</f>
        <v>47.5</v>
      </c>
      <c r="R117" s="784">
        <f t="shared" si="1225"/>
        <v>156.74554880996212</v>
      </c>
      <c r="S117" s="1534"/>
      <c r="T117" s="789">
        <v>5.7</v>
      </c>
      <c r="U117" s="842">
        <f>((E110*T117)/1)*(D117)</f>
        <v>142.5</v>
      </c>
      <c r="V117" s="784">
        <f t="shared" si="1226"/>
        <v>297.59448256606322</v>
      </c>
      <c r="W117" s="1534"/>
      <c r="X117" s="789">
        <v>6.6</v>
      </c>
      <c r="Y117" s="842">
        <f>((E110*X117)/1)*(D117)</f>
        <v>165</v>
      </c>
      <c r="Z117" s="784">
        <f t="shared" si="1227"/>
        <v>219.56813047400831</v>
      </c>
      <c r="AA117" s="1534"/>
      <c r="AB117" s="789">
        <v>3.8</v>
      </c>
      <c r="AC117" s="842">
        <f>((E110*AB117)/1)*(D117)</f>
        <v>95</v>
      </c>
      <c r="AD117" s="784">
        <f t="shared" si="1228"/>
        <v>157.68937907927591</v>
      </c>
      <c r="AE117" s="1534"/>
      <c r="AF117" s="789"/>
      <c r="AG117" s="842">
        <f>((E110*AF117)/1)*(D117)</f>
        <v>0</v>
      </c>
      <c r="AH117" s="784">
        <f t="shared" si="1229"/>
        <v>0</v>
      </c>
      <c r="AI117" s="1534"/>
      <c r="AJ117" s="789">
        <v>1.5</v>
      </c>
      <c r="AK117" s="842">
        <f>((E110*AJ117)/1)*(D117)</f>
        <v>37.5</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4" t="s">
        <v>1378</v>
      </c>
      <c r="BM117" s="1831"/>
      <c r="BN117" s="1945"/>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9" t="str">
        <f>$B$38</f>
        <v>Testing</v>
      </c>
      <c r="C118" s="1925"/>
      <c r="D118" s="653">
        <v>1</v>
      </c>
      <c r="E118" s="836"/>
      <c r="F118" s="319"/>
      <c r="G118" s="1929"/>
      <c r="H118" s="1925"/>
      <c r="I118" s="788"/>
      <c r="J118" s="836"/>
      <c r="K118" s="319"/>
      <c r="L118" s="797"/>
      <c r="M118" s="837">
        <f>((E110*L118)/1)*(D118)</f>
        <v>0</v>
      </c>
      <c r="N118" s="784">
        <f t="shared" si="1224"/>
        <v>0</v>
      </c>
      <c r="O118" s="1534"/>
      <c r="P118" s="797">
        <v>0.5</v>
      </c>
      <c r="Q118" s="837">
        <f>((E110*P118)/1)*(D118)</f>
        <v>12.5</v>
      </c>
      <c r="R118" s="784">
        <f t="shared" si="1225"/>
        <v>41.248828634200557</v>
      </c>
      <c r="S118" s="1534"/>
      <c r="T118" s="797">
        <v>5</v>
      </c>
      <c r="U118" s="837">
        <f>((E110*T118)/1)*(D118)</f>
        <v>125</v>
      </c>
      <c r="V118" s="784">
        <f t="shared" si="1226"/>
        <v>261.04779172461684</v>
      </c>
      <c r="W118" s="1534"/>
      <c r="X118" s="797">
        <v>5</v>
      </c>
      <c r="Y118" s="837">
        <f>((E110*X118)/1)*(D118)</f>
        <v>125</v>
      </c>
      <c r="Z118" s="784">
        <f t="shared" si="1227"/>
        <v>166.33949278333967</v>
      </c>
      <c r="AA118" s="1534"/>
      <c r="AB118" s="797">
        <v>3</v>
      </c>
      <c r="AC118" s="837">
        <f>((E110*AB118)/1)*(D118)</f>
        <v>75</v>
      </c>
      <c r="AD118" s="784">
        <f t="shared" si="1228"/>
        <v>124.49161506258625</v>
      </c>
      <c r="AE118" s="1534"/>
      <c r="AF118" s="797"/>
      <c r="AG118" s="837">
        <f>((E110*AF118)/1)*(D118)</f>
        <v>0</v>
      </c>
      <c r="AH118" s="784">
        <f t="shared" si="1229"/>
        <v>0</v>
      </c>
      <c r="AI118" s="1534"/>
      <c r="AJ118" s="797">
        <v>1</v>
      </c>
      <c r="AK118" s="837">
        <f>((E110*AJ118)/1)*(D118)</f>
        <v>25</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6"/>
      <c r="BM118" s="1947"/>
      <c r="BN118" s="1948"/>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2" t="s">
        <v>962</v>
      </c>
      <c r="C120" s="1913"/>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4" t="s">
        <v>963</v>
      </c>
      <c r="C121" s="1915"/>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6" t="s">
        <v>964</v>
      </c>
      <c r="C122" s="1917"/>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8" t="s">
        <v>961</v>
      </c>
      <c r="C123" s="1919"/>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0" t="s">
        <v>960</v>
      </c>
      <c r="C124" s="1921"/>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2" t="s">
        <v>957</v>
      </c>
      <c r="C125" s="1923"/>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3" t="s">
        <v>958</v>
      </c>
      <c r="C126" s="1904"/>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5" t="s">
        <v>959</v>
      </c>
      <c r="C127" s="1906"/>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5" t="s">
        <v>1254</v>
      </c>
      <c r="C128" s="1906"/>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7" t="s">
        <v>10</v>
      </c>
      <c r="C130" s="1908"/>
      <c r="D130" s="776">
        <v>7</v>
      </c>
      <c r="E130" s="661">
        <v>30</v>
      </c>
      <c r="F130" s="848"/>
      <c r="G130" s="1907" t="s">
        <v>10</v>
      </c>
      <c r="H130" s="1908"/>
      <c r="I130" s="776">
        <v>7</v>
      </c>
      <c r="J130" s="646">
        <v>1</v>
      </c>
      <c r="K130" s="319"/>
      <c r="L130" s="1941" t="s">
        <v>1316</v>
      </c>
      <c r="M130" s="1942"/>
      <c r="N130" s="1943"/>
      <c r="O130" s="1536">
        <f>SUM($BH$6,$N131)</f>
        <v>18.996702774108325</v>
      </c>
      <c r="P130" s="647">
        <v>40000</v>
      </c>
      <c r="Q130" s="623" t="s">
        <v>825</v>
      </c>
      <c r="R130" s="777">
        <f>(P130/64.55337)</f>
        <v>619.64232076497319</v>
      </c>
      <c r="S130" s="1536">
        <f>SUM($O130,$R131)</f>
        <v>142.74318867671002</v>
      </c>
      <c r="T130" s="1850" t="str">
        <f>IF($BN$5="ON","80F                27c",IF($BN$5="OFF","80F                27c"))</f>
        <v>80F                27c</v>
      </c>
      <c r="U130" s="1851"/>
      <c r="V130" s="1852"/>
      <c r="W130" s="1536">
        <f>SUM($S130,$V131)</f>
        <v>341.13951038741885</v>
      </c>
      <c r="X130" s="1850" t="str">
        <f>IF($BN$5="ON","68F                20c",IF($BN$5="OFF","68F                20c"))</f>
        <v>68F                20c</v>
      </c>
      <c r="Y130" s="1851"/>
      <c r="Z130" s="1852"/>
      <c r="AA130" s="1536">
        <f>SUM($W130,$Z131)</f>
        <v>497.49863360375809</v>
      </c>
      <c r="AB130" s="1850" t="str">
        <f>IF($BN$5="ON","60%                45%",IF($BN$5="OFF","60%                45%"))</f>
        <v>60%                45%</v>
      </c>
      <c r="AC130" s="1851"/>
      <c r="AD130" s="1852"/>
      <c r="AE130" s="1536">
        <f>SUM($AA130,$AD131)</f>
        <v>692.5354972018099</v>
      </c>
      <c r="AF130" s="1940" t="s">
        <v>1358</v>
      </c>
      <c r="AG130" s="1851"/>
      <c r="AH130" s="1852"/>
      <c r="AI130" s="1536">
        <f>SUM($AE130,$AH131)</f>
        <v>692.5354972018099</v>
      </c>
      <c r="AJ130" s="1940" t="s">
        <v>11</v>
      </c>
      <c r="AK130" s="1851"/>
      <c r="AL130" s="1852"/>
      <c r="AM130" s="1536">
        <f>SUM($AI130,$AL131)</f>
        <v>709.68741684501595</v>
      </c>
      <c r="AN130" s="1940" t="s">
        <v>978</v>
      </c>
      <c r="AO130" s="1851"/>
      <c r="AP130" s="1852"/>
      <c r="AQ130" s="1536">
        <f>SUM($AM130,$AP131)</f>
        <v>720.2349965458792</v>
      </c>
      <c r="AR130" s="1850" t="str">
        <f>IF($BN$5="ON","68F                20c",IF($BN$5="OFF","68F                20c"))</f>
        <v>68F                20c</v>
      </c>
      <c r="AS130" s="1851"/>
      <c r="AT130" s="1852"/>
      <c r="AU130" s="1536">
        <f>SUM($AQ130,$AT131)</f>
        <v>720.2349965458792</v>
      </c>
      <c r="AV130" s="1850" t="str">
        <f>IF($BN$5="ON","1400 PPM co2",IF($BN$5="OFF","1400 PPM co2"))</f>
        <v>1400 PPM co2</v>
      </c>
      <c r="AW130" s="1851"/>
      <c r="AX130" s="1852"/>
      <c r="AY130" s="1536">
        <f>SUM($AU130,$AX131,$AX132)</f>
        <v>720.2349965458792</v>
      </c>
      <c r="AZ130" s="745">
        <f>EC$331</f>
        <v>0.5</v>
      </c>
      <c r="BA130" s="728">
        <f>(E130*AZ130)*(J130)</f>
        <v>15</v>
      </c>
      <c r="BB130" s="729">
        <f>IF($BI$6="ON",$BR145,IF($BI$6="OFF",$BS145))</f>
        <v>29.98678996036988</v>
      </c>
      <c r="BC130" s="894">
        <f>SUM($AY130,$BB130,$BB131,$BB132)</f>
        <v>750.22178650624903</v>
      </c>
      <c r="BD130" s="1938">
        <v>6</v>
      </c>
      <c r="BE130" s="1939"/>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2" t="s">
        <v>1873</v>
      </c>
      <c r="FP130" s="1843"/>
      <c r="FQ130" s="1843"/>
      <c r="FR130" s="1843"/>
      <c r="FS130" s="1843"/>
      <c r="FT130" s="1843"/>
      <c r="FU130" s="1843"/>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8" t="s">
        <v>12</v>
      </c>
      <c r="C131" s="1925"/>
      <c r="D131" s="1890">
        <f>SUM(D111,D110)</f>
        <v>44278</v>
      </c>
      <c r="E131" s="1891"/>
      <c r="F131" s="319"/>
      <c r="G131" s="1958" t="s">
        <v>12</v>
      </c>
      <c r="H131" s="1925"/>
      <c r="I131" s="1890">
        <f>SUM(I111,I110)</f>
        <v>44361</v>
      </c>
      <c r="J131" s="1891"/>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6" t="s">
        <v>216</v>
      </c>
      <c r="C132" s="1957"/>
      <c r="D132" s="601">
        <f>SUM(C7,D30,D50,D70,D90,D110)</f>
        <v>52</v>
      </c>
      <c r="E132" s="706">
        <f>(D132/7)</f>
        <v>7.4285714285714288</v>
      </c>
      <c r="F132" s="753"/>
      <c r="G132" s="1956" t="s">
        <v>216</v>
      </c>
      <c r="H132" s="1957"/>
      <c r="I132" s="601">
        <f>SUM(H7,I30,I50,I70,I90,I110)</f>
        <v>72</v>
      </c>
      <c r="J132" s="706">
        <f>(I132/7)</f>
        <v>10.285714285714286</v>
      </c>
      <c r="K132" s="848"/>
      <c r="L132" s="1847" t="s">
        <v>1671</v>
      </c>
      <c r="M132" s="1845"/>
      <c r="N132" s="1845"/>
      <c r="O132" s="1845"/>
      <c r="P132" s="1845"/>
      <c r="Q132" s="1845"/>
      <c r="R132" s="1845"/>
      <c r="S132" s="1845"/>
      <c r="T132" s="1845"/>
      <c r="U132" s="1845"/>
      <c r="V132" s="1845"/>
      <c r="W132" s="1845"/>
      <c r="X132" s="1845"/>
      <c r="Y132" s="1845"/>
      <c r="Z132" s="1845"/>
      <c r="AA132" s="1845"/>
      <c r="AB132" s="1845"/>
      <c r="AC132" s="1845"/>
      <c r="AD132" s="1845"/>
      <c r="AE132" s="1845"/>
      <c r="AF132" s="1845"/>
      <c r="AG132" s="1845"/>
      <c r="AH132" s="1845"/>
      <c r="AI132" s="1845"/>
      <c r="AJ132" s="1845"/>
      <c r="AK132" s="1845"/>
      <c r="AL132" s="1845"/>
      <c r="AM132" s="1845"/>
      <c r="AN132" s="1845"/>
      <c r="AO132" s="1845"/>
      <c r="AP132" s="1845"/>
      <c r="AQ132" s="1845"/>
      <c r="AR132" s="1845"/>
      <c r="AS132" s="1845"/>
      <c r="AT132" s="1845"/>
      <c r="AU132" s="1846"/>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6" t="str">
        <f>$B$33</f>
        <v>Expert Light</v>
      </c>
      <c r="C133" s="1937"/>
      <c r="D133" s="652">
        <v>1</v>
      </c>
      <c r="E133" s="831"/>
      <c r="F133" s="848"/>
      <c r="G133" s="1924"/>
      <c r="H133" s="1925"/>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9" t="s">
        <v>1362</v>
      </c>
      <c r="BM133" s="1950"/>
      <c r="BN133" s="1951"/>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9" t="str">
        <f>$B$34</f>
        <v>Expert Medium</v>
      </c>
      <c r="C134" s="1925"/>
      <c r="D134" s="653">
        <v>1</v>
      </c>
      <c r="E134" s="836"/>
      <c r="F134" s="319"/>
      <c r="G134" s="1929"/>
      <c r="H134" s="1925"/>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4" t="s">
        <v>1377</v>
      </c>
      <c r="BM134" s="1831"/>
      <c r="BN134" s="1945"/>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4" t="str">
        <f>$B$35</f>
        <v>Expert Heavy</v>
      </c>
      <c r="C135" s="1925"/>
      <c r="D135" s="653">
        <v>1</v>
      </c>
      <c r="E135" s="841"/>
      <c r="F135" s="319"/>
      <c r="G135" s="1924"/>
      <c r="H135" s="1925"/>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4" t="s">
        <v>1369</v>
      </c>
      <c r="BM135" s="1831"/>
      <c r="BN135" s="1945"/>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9" t="str">
        <f>$B$36</f>
        <v>Full Light</v>
      </c>
      <c r="C136" s="1925"/>
      <c r="D136" s="653">
        <v>1</v>
      </c>
      <c r="E136" s="836"/>
      <c r="F136" s="319"/>
      <c r="G136" s="1929"/>
      <c r="H136" s="1925"/>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9" t="s">
        <v>1362</v>
      </c>
      <c r="BM136" s="1950"/>
      <c r="BN136" s="1951"/>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4" t="str">
        <f>$B$37</f>
        <v>Full Medium</v>
      </c>
      <c r="C137" s="1925"/>
      <c r="D137" s="653">
        <v>1</v>
      </c>
      <c r="E137" s="841"/>
      <c r="F137" s="319"/>
      <c r="G137" s="1924"/>
      <c r="H137" s="1925"/>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4" t="s">
        <v>1377</v>
      </c>
      <c r="BM137" s="1831"/>
      <c r="BN137" s="1945"/>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9" t="str">
        <f>$B$38</f>
        <v>Testing</v>
      </c>
      <c r="C138" s="1925"/>
      <c r="D138" s="653">
        <v>1</v>
      </c>
      <c r="E138" s="836"/>
      <c r="F138" s="319"/>
      <c r="G138" s="1929"/>
      <c r="H138" s="1925"/>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6"/>
      <c r="BM138" s="1947"/>
      <c r="BN138" s="1948"/>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2" t="s">
        <v>962</v>
      </c>
      <c r="C140" s="1913"/>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4" t="s">
        <v>963</v>
      </c>
      <c r="C141" s="1915"/>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6" t="s">
        <v>964</v>
      </c>
      <c r="C142" s="1917"/>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8" t="s">
        <v>961</v>
      </c>
      <c r="C143" s="1919"/>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0" t="s">
        <v>960</v>
      </c>
      <c r="C144" s="1921"/>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2" t="s">
        <v>957</v>
      </c>
      <c r="C145" s="1923"/>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3" t="s">
        <v>958</v>
      </c>
      <c r="C146" s="1904"/>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5" t="s">
        <v>959</v>
      </c>
      <c r="C147" s="1906"/>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5" t="s">
        <v>1254</v>
      </c>
      <c r="C148" s="1906"/>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4" t="s">
        <v>14</v>
      </c>
      <c r="C150" s="1955"/>
      <c r="D150" s="776">
        <v>8</v>
      </c>
      <c r="E150" s="661">
        <v>30</v>
      </c>
      <c r="F150" s="319"/>
      <c r="G150" s="1954" t="s">
        <v>1010</v>
      </c>
      <c r="H150" s="1955"/>
      <c r="I150" s="776">
        <v>8</v>
      </c>
      <c r="J150" s="646">
        <v>1</v>
      </c>
      <c r="K150" s="319"/>
      <c r="L150" s="1941" t="s">
        <v>1316</v>
      </c>
      <c r="M150" s="1942"/>
      <c r="N150" s="1943"/>
      <c r="O150" s="1536">
        <f>SUM($BH$6,$N151)</f>
        <v>18.996702774108325</v>
      </c>
      <c r="P150" s="647">
        <v>50000</v>
      </c>
      <c r="Q150" s="623" t="s">
        <v>825</v>
      </c>
      <c r="R150" s="777">
        <f>(P150/64.55337)</f>
        <v>774.55290095621649</v>
      </c>
      <c r="S150" s="1536">
        <f>SUM($O150,$R151)</f>
        <v>142.74318867671002</v>
      </c>
      <c r="T150" s="1850" t="str">
        <f>IF($BN$5="ON","78F                26c",IF($BN$5="OFF","78F                26c"))</f>
        <v>78F                26c</v>
      </c>
      <c r="U150" s="1851"/>
      <c r="V150" s="1852"/>
      <c r="W150" s="1536">
        <f>SUM($S150,$V151)</f>
        <v>341.13951038741885</v>
      </c>
      <c r="X150" s="1850" t="str">
        <f>IF($BN$5="ON","66F                19c",IF($BN$5="OFF","66F                19c"))</f>
        <v>66F                19c</v>
      </c>
      <c r="Y150" s="1851"/>
      <c r="Z150" s="1852"/>
      <c r="AA150" s="1536">
        <f>SUM($W150,$Z151)</f>
        <v>467.557524902757</v>
      </c>
      <c r="AB150" s="1850" t="str">
        <f>IF($BN$5="ON","60%                45%",IF($BN$5="OFF","60%                45%"))</f>
        <v>60%                45%</v>
      </c>
      <c r="AC150" s="1851"/>
      <c r="AD150" s="1852"/>
      <c r="AE150" s="1536">
        <f>SUM($AA150,$AD151)</f>
        <v>704.09159352167092</v>
      </c>
      <c r="AF150" s="1940" t="s">
        <v>1359</v>
      </c>
      <c r="AG150" s="1851"/>
      <c r="AH150" s="1852"/>
      <c r="AI150" s="1536">
        <f>SUM($AE150,$AH151)</f>
        <v>739.89533805311589</v>
      </c>
      <c r="AJ150" s="1940" t="s">
        <v>11</v>
      </c>
      <c r="AK150" s="1851"/>
      <c r="AL150" s="1852"/>
      <c r="AM150" s="1536">
        <f>SUM($AI150,$AL151)</f>
        <v>757.04725769632194</v>
      </c>
      <c r="AN150" s="1940" t="s">
        <v>978</v>
      </c>
      <c r="AO150" s="1851"/>
      <c r="AP150" s="1852"/>
      <c r="AQ150" s="1536">
        <f>SUM($AM150,$AP151)</f>
        <v>757.04725769632194</v>
      </c>
      <c r="AR150" s="1850" t="str">
        <f>IF($BN$5="ON","68F                20c",IF($BN$5="OFF","68F                20c"))</f>
        <v>68F                20c</v>
      </c>
      <c r="AS150" s="1851"/>
      <c r="AT150" s="1852"/>
      <c r="AU150" s="1536">
        <f>SUM($AQ150,$AT151)</f>
        <v>757.04725769632194</v>
      </c>
      <c r="AV150" s="1850" t="str">
        <f>IF($BN$5="ON","1300 PPM co2",IF($BN$5="OFF","1300 PPM co2"))</f>
        <v>1300 PPM co2</v>
      </c>
      <c r="AW150" s="1851"/>
      <c r="AX150" s="1852"/>
      <c r="AY150" s="1536">
        <f>SUM($AU150,$AX151,$AX152)</f>
        <v>757.04725769632194</v>
      </c>
      <c r="AZ150" s="745">
        <f>ED$331</f>
        <v>0.5</v>
      </c>
      <c r="BA150" s="728">
        <f>(E150*AZ150)*(J150)</f>
        <v>15</v>
      </c>
      <c r="BB150" s="729">
        <f>IF($BI$6="ON",$BR165,IF($BI$6="OFF",$BS165))</f>
        <v>29.98678996036988</v>
      </c>
      <c r="BC150" s="894">
        <f>SUM($AY150,$BB150,$BB151,$BB152)</f>
        <v>787.03404765669177</v>
      </c>
      <c r="BD150" s="1938">
        <v>6</v>
      </c>
      <c r="BE150" s="1939"/>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2" t="s">
        <v>1873</v>
      </c>
      <c r="FP150" s="1843"/>
      <c r="FQ150" s="1843"/>
      <c r="FR150" s="1843"/>
      <c r="FS150" s="1843"/>
      <c r="FT150" s="1843"/>
      <c r="FU150" s="1843"/>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8" t="s">
        <v>13</v>
      </c>
      <c r="C151" s="1889"/>
      <c r="D151" s="1890">
        <f>SUM(D131,D130)</f>
        <v>44285</v>
      </c>
      <c r="E151" s="1891"/>
      <c r="F151" s="319"/>
      <c r="G151" s="1888" t="s">
        <v>13</v>
      </c>
      <c r="H151" s="1889"/>
      <c r="I151" s="1890">
        <f>SUM(I131,I130)</f>
        <v>44368</v>
      </c>
      <c r="J151" s="1891"/>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79</v>
      </c>
      <c r="J152" s="706">
        <f>(I152/7)</f>
        <v>11.285714285714286</v>
      </c>
      <c r="K152" s="753"/>
      <c r="L152" s="1844" t="s">
        <v>1419</v>
      </c>
      <c r="M152" s="1845"/>
      <c r="N152" s="1845"/>
      <c r="O152" s="1845"/>
      <c r="P152" s="1845"/>
      <c r="Q152" s="1845"/>
      <c r="R152" s="1845"/>
      <c r="S152" s="1845"/>
      <c r="T152" s="1845"/>
      <c r="U152" s="1845"/>
      <c r="V152" s="1845"/>
      <c r="W152" s="1845"/>
      <c r="X152" s="1845"/>
      <c r="Y152" s="1845"/>
      <c r="Z152" s="1845"/>
      <c r="AA152" s="1845"/>
      <c r="AB152" s="1845"/>
      <c r="AC152" s="1845"/>
      <c r="AD152" s="1845"/>
      <c r="AE152" s="1845"/>
      <c r="AF152" s="1845"/>
      <c r="AG152" s="1845"/>
      <c r="AH152" s="1845"/>
      <c r="AI152" s="1845"/>
      <c r="AJ152" s="1845"/>
      <c r="AK152" s="1845"/>
      <c r="AL152" s="1845"/>
      <c r="AM152" s="1845"/>
      <c r="AN152" s="1845"/>
      <c r="AO152" s="1845"/>
      <c r="AP152" s="1845"/>
      <c r="AQ152" s="1845"/>
      <c r="AR152" s="1845"/>
      <c r="AS152" s="1845"/>
      <c r="AT152" s="1845"/>
      <c r="AU152" s="1846"/>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6" t="str">
        <f>$B$33</f>
        <v>Expert Light</v>
      </c>
      <c r="C153" s="1937"/>
      <c r="D153" s="652">
        <v>1</v>
      </c>
      <c r="E153" s="831"/>
      <c r="F153" s="753"/>
      <c r="G153" s="1924"/>
      <c r="H153" s="1925"/>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9" t="s">
        <v>1363</v>
      </c>
      <c r="BM153" s="1950"/>
      <c r="BN153" s="1951"/>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9" t="str">
        <f>$B$34</f>
        <v>Expert Medium</v>
      </c>
      <c r="C154" s="1925"/>
      <c r="D154" s="653">
        <v>1</v>
      </c>
      <c r="E154" s="836"/>
      <c r="F154" s="319"/>
      <c r="G154" s="1929"/>
      <c r="H154" s="1925"/>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4" t="s">
        <v>1377</v>
      </c>
      <c r="BM154" s="1831"/>
      <c r="BN154" s="1945"/>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4" t="str">
        <f>$B$35</f>
        <v>Expert Heavy</v>
      </c>
      <c r="C155" s="1925"/>
      <c r="D155" s="653">
        <v>1</v>
      </c>
      <c r="E155" s="841"/>
      <c r="F155" s="319"/>
      <c r="G155" s="1924"/>
      <c r="H155" s="1925"/>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4" t="s">
        <v>1369</v>
      </c>
      <c r="BM155" s="1831"/>
      <c r="BN155" s="1945"/>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9" t="str">
        <f>$B$36</f>
        <v>Full Light</v>
      </c>
      <c r="C156" s="1925"/>
      <c r="D156" s="653">
        <v>1</v>
      </c>
      <c r="E156" s="836"/>
      <c r="F156" s="319"/>
      <c r="G156" s="1929"/>
      <c r="H156" s="1925"/>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9" t="s">
        <v>1363</v>
      </c>
      <c r="BM156" s="1950"/>
      <c r="BN156" s="1951"/>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4" t="str">
        <f>$B$37</f>
        <v>Full Medium</v>
      </c>
      <c r="C157" s="1925"/>
      <c r="D157" s="653">
        <v>1</v>
      </c>
      <c r="E157" s="841"/>
      <c r="F157" s="319"/>
      <c r="G157" s="1924"/>
      <c r="H157" s="1925"/>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4" t="s">
        <v>1377</v>
      </c>
      <c r="BM157" s="1831"/>
      <c r="BN157" s="1945"/>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9" t="str">
        <f>$B$38</f>
        <v>Testing</v>
      </c>
      <c r="C158" s="1925"/>
      <c r="D158" s="653">
        <v>1</v>
      </c>
      <c r="E158" s="836"/>
      <c r="F158" s="319"/>
      <c r="G158" s="1929"/>
      <c r="H158" s="1925"/>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6"/>
      <c r="BM158" s="1947"/>
      <c r="BN158" s="1948"/>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2" t="s">
        <v>962</v>
      </c>
      <c r="C160" s="1913"/>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4" t="s">
        <v>963</v>
      </c>
      <c r="C161" s="1915"/>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6" t="s">
        <v>964</v>
      </c>
      <c r="C162" s="1917"/>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8" t="s">
        <v>961</v>
      </c>
      <c r="C163" s="1919"/>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0" t="s">
        <v>960</v>
      </c>
      <c r="C164" s="1921"/>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2" t="s">
        <v>957</v>
      </c>
      <c r="C165" s="1923"/>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3" t="s">
        <v>958</v>
      </c>
      <c r="C166" s="1904"/>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5" t="s">
        <v>959</v>
      </c>
      <c r="C167" s="1906"/>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5" t="s">
        <v>1254</v>
      </c>
      <c r="C168" s="1906"/>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7" t="s">
        <v>16</v>
      </c>
      <c r="C170" s="1908"/>
      <c r="D170" s="776">
        <v>8</v>
      </c>
      <c r="E170" s="661">
        <v>30</v>
      </c>
      <c r="F170" s="319"/>
      <c r="G170" s="1907" t="s">
        <v>1010</v>
      </c>
      <c r="H170" s="1908"/>
      <c r="I170" s="776">
        <v>8</v>
      </c>
      <c r="J170" s="646">
        <v>1</v>
      </c>
      <c r="K170" s="319"/>
      <c r="L170" s="1941" t="s">
        <v>1316</v>
      </c>
      <c r="M170" s="1942"/>
      <c r="N170" s="1943"/>
      <c r="O170" s="1536">
        <f>SUM($BH$6,$N171)</f>
        <v>18.996702774108325</v>
      </c>
      <c r="P170" s="647">
        <v>50000</v>
      </c>
      <c r="Q170" s="623" t="s">
        <v>825</v>
      </c>
      <c r="R170" s="762">
        <f>(P170/64.55337)</f>
        <v>774.55290095621649</v>
      </c>
      <c r="S170" s="1536">
        <f>SUM($O170,$R171)</f>
        <v>167.49248585723035</v>
      </c>
      <c r="T170" s="1850" t="str">
        <f>IF($BN$5="ON","76F                25c",IF($BN$5="OFF","76F                25c"))</f>
        <v>76F                25c</v>
      </c>
      <c r="U170" s="1851"/>
      <c r="V170" s="1852"/>
      <c r="W170" s="1536">
        <f>SUM($S170,$V171)</f>
        <v>365.88880756793918</v>
      </c>
      <c r="X170" s="1850" t="str">
        <f>IF($BN$5="ON","64F                18c",IF($BN$5="OFF","64F                18c"))</f>
        <v>64F                18c</v>
      </c>
      <c r="Y170" s="1851"/>
      <c r="Z170" s="1852"/>
      <c r="AA170" s="1536">
        <f>SUM($W170,$Z171)</f>
        <v>459.03892352660938</v>
      </c>
      <c r="AB170" s="1850" t="str">
        <f>IF($BN$5="ON","55%                40%",IF($BN$5="OFF","55%                40%"))</f>
        <v>55%                40%</v>
      </c>
      <c r="AC170" s="1851"/>
      <c r="AD170" s="1852"/>
      <c r="AE170" s="1536">
        <f>SUM($AA170,$AD171)</f>
        <v>741.21991766847145</v>
      </c>
      <c r="AF170" s="1940" t="s">
        <v>1359</v>
      </c>
      <c r="AG170" s="1851"/>
      <c r="AH170" s="1852"/>
      <c r="AI170" s="1536">
        <f>SUM($AE170,$AH171)</f>
        <v>812.82740673136141</v>
      </c>
      <c r="AJ170" s="1940" t="s">
        <v>11</v>
      </c>
      <c r="AK170" s="1851"/>
      <c r="AL170" s="1852"/>
      <c r="AM170" s="1536">
        <f>SUM($AI170,$AL171)</f>
        <v>829.97932637456745</v>
      </c>
      <c r="AN170" s="1940" t="s">
        <v>979</v>
      </c>
      <c r="AO170" s="1851"/>
      <c r="AP170" s="1852"/>
      <c r="AQ170" s="1536">
        <f>SUM($AM170,$AP171)</f>
        <v>829.97932637456745</v>
      </c>
      <c r="AR170" s="1850" t="str">
        <f>IF($BN$5="ON","68F                20c",IF($BN$5="OFF","68F                20c"))</f>
        <v>68F                20c</v>
      </c>
      <c r="AS170" s="1851"/>
      <c r="AT170" s="1852"/>
      <c r="AU170" s="1536">
        <f>SUM($AQ170,$AT171)</f>
        <v>829.97932637456745</v>
      </c>
      <c r="AV170" s="1850" t="str">
        <f>IF($BN$5="ON","1200 PPM co2",IF($BN$5="OFF","1200 PPM co2"))</f>
        <v>1200 PPM co2</v>
      </c>
      <c r="AW170" s="1851"/>
      <c r="AX170" s="1852"/>
      <c r="AY170" s="1536">
        <f>SUM($AU170,$AX171,$AX172)</f>
        <v>829.97932637456745</v>
      </c>
      <c r="AZ170" s="745">
        <f>EE$331</f>
        <v>0.5</v>
      </c>
      <c r="BA170" s="728">
        <f>(E170*AZ170)*(J170)</f>
        <v>15</v>
      </c>
      <c r="BB170" s="729">
        <f>IF($BI$6="ON",$BR185,IF($BI$6="OFF",$BS185))</f>
        <v>29.98678996036988</v>
      </c>
      <c r="BC170" s="894">
        <f>SUM($AY170,$BB170,$BB171,$BB172)</f>
        <v>859.96611633493728</v>
      </c>
      <c r="BD170" s="1938">
        <v>5.9</v>
      </c>
      <c r="BE170" s="1939"/>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2" t="s">
        <v>1873</v>
      </c>
      <c r="FP170" s="1843"/>
      <c r="FQ170" s="1843"/>
      <c r="FR170" s="1843"/>
      <c r="FS170" s="1843"/>
      <c r="FT170" s="1843"/>
      <c r="FU170" s="1843"/>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8" t="s">
        <v>15</v>
      </c>
      <c r="C171" s="1889"/>
      <c r="D171" s="1890">
        <f>SUM(D151,D150)</f>
        <v>44293</v>
      </c>
      <c r="E171" s="1891"/>
      <c r="F171" s="319"/>
      <c r="G171" s="1888" t="s">
        <v>15</v>
      </c>
      <c r="H171" s="1889"/>
      <c r="I171" s="1890">
        <f>SUM(I151,I150)</f>
        <v>44376</v>
      </c>
      <c r="J171" s="1891"/>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87</v>
      </c>
      <c r="J172" s="706">
        <f>(I172/7)</f>
        <v>12.428571428571429</v>
      </c>
      <c r="K172" s="753"/>
      <c r="L172" s="1844" t="s">
        <v>1664</v>
      </c>
      <c r="M172" s="1845"/>
      <c r="N172" s="1845"/>
      <c r="O172" s="1845"/>
      <c r="P172" s="1845"/>
      <c r="Q172" s="1845"/>
      <c r="R172" s="1845"/>
      <c r="S172" s="1845"/>
      <c r="T172" s="1845"/>
      <c r="U172" s="1845"/>
      <c r="V172" s="1845"/>
      <c r="W172" s="1845"/>
      <c r="X172" s="1845"/>
      <c r="Y172" s="1845"/>
      <c r="Z172" s="1845"/>
      <c r="AA172" s="1845"/>
      <c r="AB172" s="1845"/>
      <c r="AC172" s="1845"/>
      <c r="AD172" s="1845"/>
      <c r="AE172" s="1845"/>
      <c r="AF172" s="1845"/>
      <c r="AG172" s="1845"/>
      <c r="AH172" s="1845"/>
      <c r="AI172" s="1845"/>
      <c r="AJ172" s="1845"/>
      <c r="AK172" s="1845"/>
      <c r="AL172" s="1845"/>
      <c r="AM172" s="1845"/>
      <c r="AN172" s="1845"/>
      <c r="AO172" s="1845"/>
      <c r="AP172" s="1845"/>
      <c r="AQ172" s="1845"/>
      <c r="AR172" s="1845"/>
      <c r="AS172" s="1845"/>
      <c r="AT172" s="1845"/>
      <c r="AU172" s="1846"/>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6" t="str">
        <f>$B$33</f>
        <v>Expert Light</v>
      </c>
      <c r="C173" s="1937"/>
      <c r="D173" s="652">
        <v>1</v>
      </c>
      <c r="E173" s="831"/>
      <c r="F173" s="753"/>
      <c r="G173" s="1924"/>
      <c r="H173" s="1925"/>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9" t="s">
        <v>1362</v>
      </c>
      <c r="BM173" s="1950"/>
      <c r="BN173" s="1951"/>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9" t="str">
        <f>$B$34</f>
        <v>Expert Medium</v>
      </c>
      <c r="C174" s="1925"/>
      <c r="D174" s="653">
        <v>1</v>
      </c>
      <c r="E174" s="836"/>
      <c r="F174" s="319"/>
      <c r="G174" s="1929"/>
      <c r="H174" s="1925"/>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4" t="s">
        <v>1377</v>
      </c>
      <c r="BM174" s="1831"/>
      <c r="BN174" s="1945"/>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4" t="str">
        <f>$B$35</f>
        <v>Expert Heavy</v>
      </c>
      <c r="C175" s="1925"/>
      <c r="D175" s="653">
        <v>1</v>
      </c>
      <c r="E175" s="841"/>
      <c r="F175" s="319"/>
      <c r="G175" s="1924"/>
      <c r="H175" s="1925"/>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4" t="s">
        <v>1368</v>
      </c>
      <c r="BM175" s="1831"/>
      <c r="BN175" s="1945"/>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9" t="str">
        <f>$B$36</f>
        <v>Full Light</v>
      </c>
      <c r="C176" s="1925"/>
      <c r="D176" s="653">
        <v>1</v>
      </c>
      <c r="E176" s="836"/>
      <c r="F176" s="319"/>
      <c r="G176" s="1929"/>
      <c r="H176" s="1925"/>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9" t="s">
        <v>1362</v>
      </c>
      <c r="BM176" s="1950"/>
      <c r="BN176" s="1951"/>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4" t="str">
        <f>$B$37</f>
        <v>Full Medium</v>
      </c>
      <c r="C177" s="1925"/>
      <c r="D177" s="653">
        <v>1</v>
      </c>
      <c r="E177" s="841"/>
      <c r="F177" s="319"/>
      <c r="G177" s="1924"/>
      <c r="H177" s="1925"/>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4" t="s">
        <v>1377</v>
      </c>
      <c r="BM177" s="1831"/>
      <c r="BN177" s="1945"/>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9" t="str">
        <f>$B$38</f>
        <v>Testing</v>
      </c>
      <c r="C178" s="1925"/>
      <c r="D178" s="653">
        <v>1</v>
      </c>
      <c r="E178" s="836"/>
      <c r="F178" s="319"/>
      <c r="G178" s="1929"/>
      <c r="H178" s="1925"/>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6"/>
      <c r="BM178" s="1947"/>
      <c r="BN178" s="1948"/>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2" t="s">
        <v>962</v>
      </c>
      <c r="C180" s="1913"/>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4" t="s">
        <v>963</v>
      </c>
      <c r="C181" s="1915"/>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6" t="s">
        <v>964</v>
      </c>
      <c r="C182" s="1917"/>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8" t="s">
        <v>961</v>
      </c>
      <c r="C183" s="1919"/>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0" t="s">
        <v>960</v>
      </c>
      <c r="C184" s="1921"/>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2" t="s">
        <v>957</v>
      </c>
      <c r="C185" s="1923"/>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3" t="s">
        <v>958</v>
      </c>
      <c r="C186" s="1904"/>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5" t="s">
        <v>959</v>
      </c>
      <c r="C187" s="1906"/>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5" t="s">
        <v>1254</v>
      </c>
      <c r="C188" s="1906"/>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7" t="s">
        <v>16</v>
      </c>
      <c r="C190" s="1908"/>
      <c r="D190" s="776">
        <v>8</v>
      </c>
      <c r="E190" s="661">
        <v>30</v>
      </c>
      <c r="F190" s="319"/>
      <c r="G190" s="1907" t="s">
        <v>16</v>
      </c>
      <c r="H190" s="1908"/>
      <c r="I190" s="776">
        <v>8</v>
      </c>
      <c r="J190" s="646">
        <v>1</v>
      </c>
      <c r="K190" s="319"/>
      <c r="L190" s="1941" t="s">
        <v>1316</v>
      </c>
      <c r="M190" s="1942"/>
      <c r="N190" s="1943"/>
      <c r="O190" s="1536">
        <f>SUM($BH$6,$N191)</f>
        <v>18.996702774108325</v>
      </c>
      <c r="P190" s="647">
        <v>50000</v>
      </c>
      <c r="Q190" s="623" t="s">
        <v>825</v>
      </c>
      <c r="R190" s="777">
        <f>(P190/64.55337)</f>
        <v>774.55290095621649</v>
      </c>
      <c r="S190" s="1536">
        <f>SUM($O190,$R191)</f>
        <v>167.49248585723035</v>
      </c>
      <c r="T190" s="1850" t="str">
        <f>IF($BN$5="ON","76F                25c",IF($BN$5="OFF","76F                25c"))</f>
        <v>76F                25c</v>
      </c>
      <c r="U190" s="1851"/>
      <c r="V190" s="1852"/>
      <c r="W190" s="1536">
        <f>SUM($S190,$V191)</f>
        <v>365.88880756793918</v>
      </c>
      <c r="X190" s="1850" t="str">
        <f>IF($BN$5="ON","64F                18c",IF($BN$5="OFF","64F                18c"))</f>
        <v>64F                18c</v>
      </c>
      <c r="Y190" s="1851"/>
      <c r="Z190" s="1852"/>
      <c r="AA190" s="1536">
        <f>SUM($W190,$Z191)</f>
        <v>459.03892352660938</v>
      </c>
      <c r="AB190" s="1850" t="str">
        <f>IF($BN$5="ON","55%                40%",IF($BN$5="OFF","55%                40%"))</f>
        <v>55%                40%</v>
      </c>
      <c r="AC190" s="1851"/>
      <c r="AD190" s="1852"/>
      <c r="AE190" s="1536">
        <f>SUM($AA190,$AD191)</f>
        <v>741.21991766847145</v>
      </c>
      <c r="AF190" s="1940" t="s">
        <v>1359</v>
      </c>
      <c r="AG190" s="1851"/>
      <c r="AH190" s="1852"/>
      <c r="AI190" s="1536">
        <f>SUM($AE190,$AH191)</f>
        <v>812.82740673136141</v>
      </c>
      <c r="AJ190" s="1940" t="s">
        <v>11</v>
      </c>
      <c r="AK190" s="1851"/>
      <c r="AL190" s="1852"/>
      <c r="AM190" s="1536">
        <f>SUM($AI190,$AL191)</f>
        <v>829.97932637456745</v>
      </c>
      <c r="AN190" s="1940" t="s">
        <v>979</v>
      </c>
      <c r="AO190" s="1851"/>
      <c r="AP190" s="1852"/>
      <c r="AQ190" s="1536">
        <f>SUM($AM190,$AP191)</f>
        <v>829.97932637456745</v>
      </c>
      <c r="AR190" s="1850" t="str">
        <f>IF($BN$5="ON","68F                20c",IF($BN$5="OFF","68F                20c"))</f>
        <v>68F                20c</v>
      </c>
      <c r="AS190" s="1851"/>
      <c r="AT190" s="1852"/>
      <c r="AU190" s="1536">
        <f>SUM($AQ190,$AT191)</f>
        <v>829.97932637456745</v>
      </c>
      <c r="AV190" s="1850" t="str">
        <f>IF($BN$5="ON","1100 PPM co2",IF($BN$5="OFF","1100 PPM co2"))</f>
        <v>1100 PPM co2</v>
      </c>
      <c r="AW190" s="1851"/>
      <c r="AX190" s="1852"/>
      <c r="AY190" s="1536">
        <f>SUM($AU190,$AX191,$AX192)</f>
        <v>829.97932637456745</v>
      </c>
      <c r="AZ190" s="745">
        <f>EF$331</f>
        <v>0.5</v>
      </c>
      <c r="BA190" s="728">
        <f>(E190*AZ190)*(J190)</f>
        <v>15</v>
      </c>
      <c r="BB190" s="729">
        <f>IF($BI$6="ON",$BR205,IF($BI$6="OFF",$BS205))</f>
        <v>29.98678996036988</v>
      </c>
      <c r="BC190" s="894">
        <f>SUM($AY190,$BB190,$BB191,$BB192)</f>
        <v>859.96611633493728</v>
      </c>
      <c r="BD190" s="1938">
        <v>5.8</v>
      </c>
      <c r="BE190" s="1939"/>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2" t="s">
        <v>1873</v>
      </c>
      <c r="FP190" s="1843"/>
      <c r="FQ190" s="1843"/>
      <c r="FR190" s="1843"/>
      <c r="FS190" s="1843"/>
      <c r="FT190" s="1843"/>
      <c r="FU190" s="1843"/>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8" t="s">
        <v>17</v>
      </c>
      <c r="C191" s="1889"/>
      <c r="D191" s="1890">
        <f>SUM(D171,D170)</f>
        <v>44301</v>
      </c>
      <c r="E191" s="1891"/>
      <c r="F191" s="319"/>
      <c r="G191" s="1888" t="s">
        <v>17</v>
      </c>
      <c r="H191" s="1889"/>
      <c r="I191" s="1890">
        <f>SUM(I171,I170)</f>
        <v>44384</v>
      </c>
      <c r="J191" s="1891"/>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95</v>
      </c>
      <c r="J192" s="706">
        <f>(I192/7)</f>
        <v>13.571428571428571</v>
      </c>
      <c r="K192" s="753"/>
      <c r="L192" s="1844" t="s">
        <v>1680</v>
      </c>
      <c r="M192" s="1845"/>
      <c r="N192" s="1845"/>
      <c r="O192" s="1845"/>
      <c r="P192" s="1845"/>
      <c r="Q192" s="1845"/>
      <c r="R192" s="1845"/>
      <c r="S192" s="1845"/>
      <c r="T192" s="1845"/>
      <c r="U192" s="1845"/>
      <c r="V192" s="1845"/>
      <c r="W192" s="1845"/>
      <c r="X192" s="1845"/>
      <c r="Y192" s="1845"/>
      <c r="Z192" s="1845"/>
      <c r="AA192" s="1845"/>
      <c r="AB192" s="1845"/>
      <c r="AC192" s="1845"/>
      <c r="AD192" s="1845"/>
      <c r="AE192" s="1845"/>
      <c r="AF192" s="1845"/>
      <c r="AG192" s="1845"/>
      <c r="AH192" s="1845"/>
      <c r="AI192" s="1845"/>
      <c r="AJ192" s="1845"/>
      <c r="AK192" s="1845"/>
      <c r="AL192" s="1845"/>
      <c r="AM192" s="1845"/>
      <c r="AN192" s="1845"/>
      <c r="AO192" s="1845"/>
      <c r="AP192" s="1845"/>
      <c r="AQ192" s="1845"/>
      <c r="AR192" s="1845"/>
      <c r="AS192" s="1845"/>
      <c r="AT192" s="1845"/>
      <c r="AU192" s="1846"/>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6" t="str">
        <f>$B$33</f>
        <v>Expert Light</v>
      </c>
      <c r="C193" s="1937"/>
      <c r="D193" s="652">
        <v>1</v>
      </c>
      <c r="E193" s="831"/>
      <c r="F193" s="753"/>
      <c r="G193" s="1924"/>
      <c r="H193" s="1925"/>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9" t="s">
        <v>1362</v>
      </c>
      <c r="BM193" s="1950"/>
      <c r="BN193" s="1951"/>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9" t="str">
        <f>$B$34</f>
        <v>Expert Medium</v>
      </c>
      <c r="C194" s="1925"/>
      <c r="D194" s="653">
        <v>1</v>
      </c>
      <c r="E194" s="836"/>
      <c r="F194" s="319"/>
      <c r="G194" s="1929"/>
      <c r="H194" s="1925"/>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4" t="s">
        <v>1377</v>
      </c>
      <c r="BM194" s="1831"/>
      <c r="BN194" s="1945"/>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4" t="str">
        <f>$B$35</f>
        <v>Expert Heavy</v>
      </c>
      <c r="C195" s="1925"/>
      <c r="D195" s="653">
        <v>1</v>
      </c>
      <c r="E195" s="841"/>
      <c r="F195" s="319"/>
      <c r="G195" s="1924"/>
      <c r="H195" s="1925"/>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4" t="s">
        <v>1368</v>
      </c>
      <c r="BM195" s="1831"/>
      <c r="BN195" s="1945"/>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9" t="str">
        <f>$B$36</f>
        <v>Full Light</v>
      </c>
      <c r="C196" s="1925"/>
      <c r="D196" s="653">
        <v>1</v>
      </c>
      <c r="E196" s="836"/>
      <c r="F196" s="319"/>
      <c r="G196" s="1929"/>
      <c r="H196" s="1925"/>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9" t="s">
        <v>1362</v>
      </c>
      <c r="BM196" s="1950"/>
      <c r="BN196" s="1951"/>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4" t="str">
        <f>$B$37</f>
        <v>Full Medium</v>
      </c>
      <c r="C197" s="1925"/>
      <c r="D197" s="653">
        <v>1</v>
      </c>
      <c r="E197" s="841"/>
      <c r="F197" s="319"/>
      <c r="G197" s="1924"/>
      <c r="H197" s="1925"/>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4" t="s">
        <v>1377</v>
      </c>
      <c r="BM197" s="1831"/>
      <c r="BN197" s="1945"/>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9" t="str">
        <f>$B$38</f>
        <v>Testing</v>
      </c>
      <c r="C198" s="1925"/>
      <c r="D198" s="653">
        <v>1</v>
      </c>
      <c r="E198" s="836"/>
      <c r="F198" s="319"/>
      <c r="G198" s="1929"/>
      <c r="H198" s="1925"/>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6"/>
      <c r="BM198" s="1947"/>
      <c r="BN198" s="1948"/>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2" t="s">
        <v>962</v>
      </c>
      <c r="C200" s="1913"/>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4" t="s">
        <v>963</v>
      </c>
      <c r="C201" s="1915"/>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6" t="s">
        <v>964</v>
      </c>
      <c r="C202" s="1917"/>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8" t="s">
        <v>961</v>
      </c>
      <c r="C203" s="1919"/>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0" t="s">
        <v>960</v>
      </c>
      <c r="C204" s="1921"/>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2" t="s">
        <v>957</v>
      </c>
      <c r="C205" s="1923"/>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3" t="s">
        <v>958</v>
      </c>
      <c r="C206" s="1904"/>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5" t="s">
        <v>959</v>
      </c>
      <c r="C207" s="1906"/>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5" t="s">
        <v>1254</v>
      </c>
      <c r="C208" s="1906"/>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7" t="s">
        <v>16</v>
      </c>
      <c r="C210" s="1908"/>
      <c r="D210" s="776">
        <v>8</v>
      </c>
      <c r="E210" s="661">
        <v>30</v>
      </c>
      <c r="F210" s="319"/>
      <c r="G210" s="1907" t="s">
        <v>16</v>
      </c>
      <c r="H210" s="1908"/>
      <c r="I210" s="776">
        <v>8</v>
      </c>
      <c r="J210" s="646">
        <v>1</v>
      </c>
      <c r="K210" s="319"/>
      <c r="L210" s="1941" t="s">
        <v>1316</v>
      </c>
      <c r="M210" s="1942"/>
      <c r="N210" s="1943"/>
      <c r="O210" s="1536">
        <f>SUM($BH$6,$N211)</f>
        <v>18.996702774108325</v>
      </c>
      <c r="P210" s="647">
        <v>50000</v>
      </c>
      <c r="Q210" s="623" t="s">
        <v>825</v>
      </c>
      <c r="R210" s="777">
        <f>(P210/64.55337)</f>
        <v>774.55290095621649</v>
      </c>
      <c r="S210" s="1536">
        <f>SUM($O210,$R211)</f>
        <v>167.49248585723035</v>
      </c>
      <c r="T210" s="1850" t="str">
        <f>IF($BN$5="ON","76F                25c",IF($BN$5="OFF","76F                25c"))</f>
        <v>76F                25c</v>
      </c>
      <c r="U210" s="1851"/>
      <c r="V210" s="1852"/>
      <c r="W210" s="1536">
        <f>SUM($S210,$V211)</f>
        <v>365.88880756793918</v>
      </c>
      <c r="X210" s="1850" t="str">
        <f>IF($BN$5="ON","64F                18c",IF($BN$5="OFF","64F                18c"))</f>
        <v>64F                18c</v>
      </c>
      <c r="Y210" s="1851"/>
      <c r="Z210" s="1852"/>
      <c r="AA210" s="1536">
        <f>SUM($W210,$Z211)</f>
        <v>459.03892352660938</v>
      </c>
      <c r="AB210" s="1850" t="str">
        <f>IF($BN$5="ON","55%                40%",IF($BN$5="OFF","55%                40%"))</f>
        <v>55%                40%</v>
      </c>
      <c r="AC210" s="1851"/>
      <c r="AD210" s="1852"/>
      <c r="AE210" s="1536">
        <f>SUM($AA210,$AD211)</f>
        <v>741.21991766847145</v>
      </c>
      <c r="AF210" s="1940" t="s">
        <v>1359</v>
      </c>
      <c r="AG210" s="1851"/>
      <c r="AH210" s="1852"/>
      <c r="AI210" s="1536">
        <f>SUM($AE210,$AH211)</f>
        <v>812.82740673136141</v>
      </c>
      <c r="AJ210" s="1940" t="s">
        <v>11</v>
      </c>
      <c r="AK210" s="1851"/>
      <c r="AL210" s="1852"/>
      <c r="AM210" s="1536">
        <f>SUM($AI210,$AL211)</f>
        <v>829.97932637456745</v>
      </c>
      <c r="AN210" s="1940" t="s">
        <v>980</v>
      </c>
      <c r="AO210" s="1851"/>
      <c r="AP210" s="1852"/>
      <c r="AQ210" s="1536">
        <f>SUM($AM210,$AP211)</f>
        <v>829.97932637456745</v>
      </c>
      <c r="AR210" s="1850" t="str">
        <f>IF($BN$5="ON","68F                20c",IF($BN$5="OFF","68F                20c"))</f>
        <v>68F                20c</v>
      </c>
      <c r="AS210" s="1851"/>
      <c r="AT210" s="1852"/>
      <c r="AU210" s="1536">
        <f>SUM($AQ210,$AT211)</f>
        <v>829.97932637456745</v>
      </c>
      <c r="AV210" s="1850" t="str">
        <f>IF($BN$5="ON","1100 PPM co2",IF($BN$5="OFF","1100 PPM co2"))</f>
        <v>1100 PPM co2</v>
      </c>
      <c r="AW210" s="1851"/>
      <c r="AX210" s="1852"/>
      <c r="AY210" s="1536">
        <f>SUM($AU210,$AX211,$AX212)</f>
        <v>892.57087194920416</v>
      </c>
      <c r="AZ210" s="745">
        <f>EG$331</f>
        <v>0.5</v>
      </c>
      <c r="BA210" s="728">
        <f>(E210*AZ210)*(J210)</f>
        <v>15</v>
      </c>
      <c r="BB210" s="729">
        <f>IF($BI$6="ON",$BR225,IF($BI$6="OFF",$BS225))</f>
        <v>29.98678996036988</v>
      </c>
      <c r="BC210" s="894">
        <f>SUM($AY210,$BB210,$BB211,$BB212)</f>
        <v>922.55766190957399</v>
      </c>
      <c r="BD210" s="1938">
        <v>5.7</v>
      </c>
      <c r="BE210" s="1939"/>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2" t="s">
        <v>1873</v>
      </c>
      <c r="FP210" s="1843"/>
      <c r="FQ210" s="1843"/>
      <c r="FR210" s="1843"/>
      <c r="FS210" s="1843"/>
      <c r="FT210" s="1843"/>
      <c r="FU210" s="1843"/>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8" t="s">
        <v>17</v>
      </c>
      <c r="C211" s="1889"/>
      <c r="D211" s="1890">
        <f>SUM(D191,D190)</f>
        <v>44309</v>
      </c>
      <c r="E211" s="1891"/>
      <c r="F211" s="319"/>
      <c r="G211" s="1888" t="s">
        <v>17</v>
      </c>
      <c r="H211" s="1889"/>
      <c r="I211" s="1890">
        <f>SUM(I191,I190)</f>
        <v>44392</v>
      </c>
      <c r="J211" s="1891"/>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103</v>
      </c>
      <c r="J212" s="706">
        <f>(I212/7)</f>
        <v>14.714285714285714</v>
      </c>
      <c r="K212" s="753"/>
      <c r="L212" s="1844" t="s">
        <v>1674</v>
      </c>
      <c r="M212" s="1845"/>
      <c r="N212" s="1845"/>
      <c r="O212" s="1845"/>
      <c r="P212" s="1845"/>
      <c r="Q212" s="1845"/>
      <c r="R212" s="1845"/>
      <c r="S212" s="1845"/>
      <c r="T212" s="1845"/>
      <c r="U212" s="1845"/>
      <c r="V212" s="1845"/>
      <c r="W212" s="1845"/>
      <c r="X212" s="1845"/>
      <c r="Y212" s="1845"/>
      <c r="Z212" s="1845"/>
      <c r="AA212" s="1845"/>
      <c r="AB212" s="1845"/>
      <c r="AC212" s="1845"/>
      <c r="AD212" s="1845"/>
      <c r="AE212" s="1845"/>
      <c r="AF212" s="1845"/>
      <c r="AG212" s="1845"/>
      <c r="AH212" s="1845"/>
      <c r="AI212" s="1845"/>
      <c r="AJ212" s="1845"/>
      <c r="AK212" s="1845"/>
      <c r="AL212" s="1845"/>
      <c r="AM212" s="1845"/>
      <c r="AN212" s="1845"/>
      <c r="AO212" s="1845"/>
      <c r="AP212" s="1845"/>
      <c r="AQ212" s="1845"/>
      <c r="AR212" s="1845"/>
      <c r="AS212" s="1845"/>
      <c r="AT212" s="1845"/>
      <c r="AU212" s="1846"/>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6" t="str">
        <f>$B$33</f>
        <v>Expert Light</v>
      </c>
      <c r="C213" s="1937"/>
      <c r="D213" s="652">
        <v>1</v>
      </c>
      <c r="E213" s="831"/>
      <c r="F213" s="753"/>
      <c r="G213" s="1924"/>
      <c r="H213" s="1925"/>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9" t="s">
        <v>1362</v>
      </c>
      <c r="BM213" s="1950"/>
      <c r="BN213" s="1951"/>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9" t="str">
        <f>$B$34</f>
        <v>Expert Medium</v>
      </c>
      <c r="C214" s="1925"/>
      <c r="D214" s="653">
        <v>1</v>
      </c>
      <c r="E214" s="836"/>
      <c r="F214" s="319"/>
      <c r="G214" s="1929"/>
      <c r="H214" s="1925"/>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4" t="s">
        <v>1377</v>
      </c>
      <c r="BM214" s="1831"/>
      <c r="BN214" s="1945"/>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4" t="str">
        <f>$B$35</f>
        <v>Expert Heavy</v>
      </c>
      <c r="C215" s="1925"/>
      <c r="D215" s="653">
        <v>1</v>
      </c>
      <c r="E215" s="841"/>
      <c r="F215" s="319"/>
      <c r="G215" s="1924"/>
      <c r="H215" s="1925"/>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4" t="s">
        <v>1368</v>
      </c>
      <c r="BM215" s="1831"/>
      <c r="BN215" s="1945"/>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9" t="str">
        <f>$B$36</f>
        <v>Full Light</v>
      </c>
      <c r="C216" s="1925"/>
      <c r="D216" s="653">
        <v>1</v>
      </c>
      <c r="E216" s="836"/>
      <c r="F216" s="319"/>
      <c r="G216" s="1929"/>
      <c r="H216" s="1925"/>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9" t="s">
        <v>1384</v>
      </c>
      <c r="BM216" s="1950"/>
      <c r="BN216" s="1951"/>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4" t="str">
        <f>$B$37</f>
        <v>Full Medium</v>
      </c>
      <c r="C217" s="1925"/>
      <c r="D217" s="653">
        <v>1</v>
      </c>
      <c r="E217" s="841"/>
      <c r="F217" s="319"/>
      <c r="G217" s="1924"/>
      <c r="H217" s="1925"/>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4" t="s">
        <v>1377</v>
      </c>
      <c r="BM217" s="1831"/>
      <c r="BN217" s="1945"/>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9" t="str">
        <f>$B$38</f>
        <v>Testing</v>
      </c>
      <c r="C218" s="1925"/>
      <c r="D218" s="653">
        <v>1</v>
      </c>
      <c r="E218" s="836"/>
      <c r="F218" s="319"/>
      <c r="G218" s="1929"/>
      <c r="H218" s="1925"/>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6"/>
      <c r="BM218" s="1947"/>
      <c r="BN218" s="1948"/>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2" t="s">
        <v>962</v>
      </c>
      <c r="C220" s="1913"/>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4" t="s">
        <v>963</v>
      </c>
      <c r="C221" s="1915"/>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6" t="s">
        <v>964</v>
      </c>
      <c r="C222" s="1917"/>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8" t="s">
        <v>961</v>
      </c>
      <c r="C223" s="1919"/>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0" t="s">
        <v>960</v>
      </c>
      <c r="C224" s="1921"/>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2" t="s">
        <v>957</v>
      </c>
      <c r="C225" s="1923"/>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3" t="s">
        <v>958</v>
      </c>
      <c r="C226" s="1904"/>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5" t="s">
        <v>959</v>
      </c>
      <c r="C227" s="1906"/>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5" t="s">
        <v>1254</v>
      </c>
      <c r="C228" s="1906"/>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7" t="s">
        <v>18</v>
      </c>
      <c r="C230" s="1908"/>
      <c r="D230" s="776">
        <v>8</v>
      </c>
      <c r="E230" s="661">
        <v>25</v>
      </c>
      <c r="F230" s="319"/>
      <c r="G230" s="1952" t="s">
        <v>18</v>
      </c>
      <c r="H230" s="1953"/>
      <c r="I230" s="776">
        <v>8</v>
      </c>
      <c r="J230" s="646">
        <v>1</v>
      </c>
      <c r="K230" s="319"/>
      <c r="L230" s="1941" t="s">
        <v>1316</v>
      </c>
      <c r="M230" s="1942"/>
      <c r="N230" s="1943"/>
      <c r="O230" s="1536">
        <f>SUM($BH$6,$N231)</f>
        <v>18.996702774108325</v>
      </c>
      <c r="P230" s="647">
        <v>50000</v>
      </c>
      <c r="Q230" s="623" t="s">
        <v>825</v>
      </c>
      <c r="R230" s="777">
        <f>(P230/64.55337)</f>
        <v>774.55290095621649</v>
      </c>
      <c r="S230" s="1536">
        <f>SUM($O230,$R231)</f>
        <v>101.49436004250944</v>
      </c>
      <c r="T230" s="1850" t="str">
        <f>IF($BN$5="ON","76F                25c",IF($BN$5="OFF","76F                25c"))</f>
        <v>76F                25c</v>
      </c>
      <c r="U230" s="1851"/>
      <c r="V230" s="1852"/>
      <c r="W230" s="1536">
        <f>SUM($S230,$V231)</f>
        <v>247.68112340829489</v>
      </c>
      <c r="X230" s="1850" t="str">
        <f>IF($BN$5="ON","64F                18c",IF($BN$5="OFF","64F                18c"))</f>
        <v>64F                18c</v>
      </c>
      <c r="Y230" s="1851"/>
      <c r="Z230" s="1852"/>
      <c r="AA230" s="1536">
        <f>SUM($W230,$Z231)</f>
        <v>340.83123936696506</v>
      </c>
      <c r="AB230" s="1850" t="str">
        <f>IF($BN$5="ON","55%                40%",IF($BN$5="OFF","55%                40%"))</f>
        <v>55%                40%</v>
      </c>
      <c r="AC230" s="1851"/>
      <c r="AD230" s="1852"/>
      <c r="AE230" s="1536">
        <f>SUM($AA230,$AD231)</f>
        <v>465.32285442955128</v>
      </c>
      <c r="AF230" s="1940" t="s">
        <v>1359</v>
      </c>
      <c r="AG230" s="1851"/>
      <c r="AH230" s="1852"/>
      <c r="AI230" s="1536">
        <f>SUM($AE230,$AH231)</f>
        <v>465.32285442955128</v>
      </c>
      <c r="AJ230" s="1940" t="s">
        <v>11</v>
      </c>
      <c r="AK230" s="1851"/>
      <c r="AL230" s="1852"/>
      <c r="AM230" s="1536">
        <f>SUM($AI230,$AL231)</f>
        <v>482.47477407275738</v>
      </c>
      <c r="AN230" s="1940" t="s">
        <v>980</v>
      </c>
      <c r="AO230" s="1851"/>
      <c r="AP230" s="1852"/>
      <c r="AQ230" s="1536">
        <f>SUM($AM230,$AP231)</f>
        <v>482.47477407275738</v>
      </c>
      <c r="AR230" s="1850" t="str">
        <f>IF($BN$5="ON","68F                20c",IF($BN$5="OFF","68F                20c"))</f>
        <v>68F                20c</v>
      </c>
      <c r="AS230" s="1851"/>
      <c r="AT230" s="1852"/>
      <c r="AU230" s="1536">
        <f>SUM($AQ230,$AT231)</f>
        <v>482.47477407275738</v>
      </c>
      <c r="AV230" s="1850" t="str">
        <f>IF($BN$5="ON","1100 PPM co2",IF($BN$5="OFF","1100 PPM co2"))</f>
        <v>1100 PPM co2</v>
      </c>
      <c r="AW230" s="1851"/>
      <c r="AX230" s="1852"/>
      <c r="AY230" s="1536">
        <f>SUM($AU230,$AX231,$AX232)</f>
        <v>670.24941079666758</v>
      </c>
      <c r="AZ230" s="745">
        <f>EH$331</f>
        <v>0.6</v>
      </c>
      <c r="BA230" s="728">
        <f>(E230*AZ230)*(J230)</f>
        <v>15</v>
      </c>
      <c r="BB230" s="729">
        <f>IF($BI$6="ON",$BR245,IF($BI$6="OFF",$BS245))</f>
        <v>35.984147952443855</v>
      </c>
      <c r="BC230" s="894">
        <f>SUM($AY230,$BB230,$BB231,$BB232)</f>
        <v>706.23355874911147</v>
      </c>
      <c r="BD230" s="1938">
        <v>5.7</v>
      </c>
      <c r="BE230" s="1939"/>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2" t="s">
        <v>1873</v>
      </c>
      <c r="FP230" s="1843"/>
      <c r="FQ230" s="1843"/>
      <c r="FR230" s="1843"/>
      <c r="FS230" s="1843"/>
      <c r="FT230" s="1843"/>
      <c r="FU230" s="1843"/>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8" t="s">
        <v>17</v>
      </c>
      <c r="C231" s="1889"/>
      <c r="D231" s="1890">
        <f>SUM(D211,D210)</f>
        <v>44317</v>
      </c>
      <c r="E231" s="1891"/>
      <c r="F231" s="319"/>
      <c r="G231" s="1888" t="s">
        <v>17</v>
      </c>
      <c r="H231" s="1889"/>
      <c r="I231" s="1890">
        <f>SUM(I211,I210)</f>
        <v>44400</v>
      </c>
      <c r="J231" s="1891"/>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111</v>
      </c>
      <c r="J232" s="706">
        <f>(I232/7)</f>
        <v>15.857142857142858</v>
      </c>
      <c r="K232" s="753"/>
      <c r="L232" s="1844" t="s">
        <v>1660</v>
      </c>
      <c r="M232" s="1845"/>
      <c r="N232" s="1845"/>
      <c r="O232" s="1845"/>
      <c r="P232" s="1845"/>
      <c r="Q232" s="1845"/>
      <c r="R232" s="1845"/>
      <c r="S232" s="1845"/>
      <c r="T232" s="1845"/>
      <c r="U232" s="1845"/>
      <c r="V232" s="1845"/>
      <c r="W232" s="1845"/>
      <c r="X232" s="1845"/>
      <c r="Y232" s="1845"/>
      <c r="Z232" s="1845"/>
      <c r="AA232" s="1845"/>
      <c r="AB232" s="1845"/>
      <c r="AC232" s="1845"/>
      <c r="AD232" s="1845"/>
      <c r="AE232" s="1845"/>
      <c r="AF232" s="1845"/>
      <c r="AG232" s="1845"/>
      <c r="AH232" s="1845"/>
      <c r="AI232" s="1845"/>
      <c r="AJ232" s="1845"/>
      <c r="AK232" s="1845"/>
      <c r="AL232" s="1845"/>
      <c r="AM232" s="1845"/>
      <c r="AN232" s="1845"/>
      <c r="AO232" s="1845"/>
      <c r="AP232" s="1845"/>
      <c r="AQ232" s="1845"/>
      <c r="AR232" s="1845"/>
      <c r="AS232" s="1845"/>
      <c r="AT232" s="1845"/>
      <c r="AU232" s="1846"/>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6" t="str">
        <f>$B$33</f>
        <v>Expert Light</v>
      </c>
      <c r="C233" s="1937"/>
      <c r="D233" s="652">
        <v>1</v>
      </c>
      <c r="E233" s="831"/>
      <c r="F233" s="753"/>
      <c r="G233" s="1924"/>
      <c r="H233" s="1925"/>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9" t="s">
        <v>1364</v>
      </c>
      <c r="BM233" s="1950"/>
      <c r="BN233" s="1951"/>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9" t="str">
        <f>$B$34</f>
        <v>Expert Medium</v>
      </c>
      <c r="C234" s="1925"/>
      <c r="D234" s="653">
        <v>1</v>
      </c>
      <c r="E234" s="836"/>
      <c r="F234" s="319"/>
      <c r="G234" s="1929"/>
      <c r="H234" s="1925"/>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4" t="s">
        <v>1376</v>
      </c>
      <c r="BM234" s="1831"/>
      <c r="BN234" s="1945"/>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4" t="str">
        <f>$B$35</f>
        <v>Expert Heavy</v>
      </c>
      <c r="C235" s="1925"/>
      <c r="D235" s="653">
        <v>1</v>
      </c>
      <c r="E235" s="841"/>
      <c r="F235" s="319"/>
      <c r="G235" s="1924"/>
      <c r="H235" s="1925"/>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4" t="s">
        <v>1367</v>
      </c>
      <c r="BM235" s="1831"/>
      <c r="BN235" s="1945"/>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9" t="str">
        <f>$B$36</f>
        <v>Full Light</v>
      </c>
      <c r="C236" s="1925"/>
      <c r="D236" s="653">
        <v>1</v>
      </c>
      <c r="E236" s="836"/>
      <c r="F236" s="319"/>
      <c r="G236" s="1929"/>
      <c r="H236" s="1925"/>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9" t="s">
        <v>1364</v>
      </c>
      <c r="BM236" s="1950"/>
      <c r="BN236" s="1951"/>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4" t="str">
        <f>$B$37</f>
        <v>Full Medium</v>
      </c>
      <c r="C237" s="1925"/>
      <c r="D237" s="653">
        <v>1</v>
      </c>
      <c r="E237" s="841"/>
      <c r="F237" s="319"/>
      <c r="G237" s="1924"/>
      <c r="H237" s="1925"/>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4" t="s">
        <v>1376</v>
      </c>
      <c r="BM237" s="1831"/>
      <c r="BN237" s="1945"/>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9" t="str">
        <f>$B$38</f>
        <v>Testing</v>
      </c>
      <c r="C238" s="1925"/>
      <c r="D238" s="653">
        <v>1</v>
      </c>
      <c r="E238" s="836"/>
      <c r="F238" s="319"/>
      <c r="G238" s="1929"/>
      <c r="H238" s="1925"/>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6"/>
      <c r="BM238" s="1947"/>
      <c r="BN238" s="1948"/>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2" t="s">
        <v>962</v>
      </c>
      <c r="C240" s="1913"/>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4" t="s">
        <v>963</v>
      </c>
      <c r="C241" s="1915"/>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6" t="s">
        <v>964</v>
      </c>
      <c r="C242" s="1917"/>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8" t="s">
        <v>961</v>
      </c>
      <c r="C243" s="1919"/>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0" t="s">
        <v>960</v>
      </c>
      <c r="C244" s="1921"/>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2" t="s">
        <v>957</v>
      </c>
      <c r="C245" s="1923"/>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3" t="s">
        <v>958</v>
      </c>
      <c r="C246" s="1904"/>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5" t="s">
        <v>959</v>
      </c>
      <c r="C247" s="1906"/>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5" t="s">
        <v>1254</v>
      </c>
      <c r="C248" s="1906"/>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7" t="s">
        <v>18</v>
      </c>
      <c r="C250" s="1908"/>
      <c r="D250" s="776">
        <v>9</v>
      </c>
      <c r="E250" s="661">
        <v>25</v>
      </c>
      <c r="F250" s="319"/>
      <c r="G250" s="1907" t="s">
        <v>18</v>
      </c>
      <c r="H250" s="1908"/>
      <c r="I250" s="776">
        <v>8</v>
      </c>
      <c r="J250" s="646">
        <v>1</v>
      </c>
      <c r="K250" s="319"/>
      <c r="L250" s="1941" t="s">
        <v>1316</v>
      </c>
      <c r="M250" s="1942"/>
      <c r="N250" s="1943"/>
      <c r="O250" s="1536">
        <f>SUM($BH$6,$N251)</f>
        <v>5.4382483487450459</v>
      </c>
      <c r="P250" s="647">
        <v>60000</v>
      </c>
      <c r="Q250" s="623" t="s">
        <v>825</v>
      </c>
      <c r="R250" s="777">
        <f>(P250/64.55337)</f>
        <v>929.46348114745979</v>
      </c>
      <c r="S250" s="1536">
        <f>SUM($O250,$R251)</f>
        <v>87.935905617146162</v>
      </c>
      <c r="T250" s="1850" t="str">
        <f>IF($BN$5="ON","72F                22c",IF($BN$5="OFF","72F                22c"))</f>
        <v>72F                22c</v>
      </c>
      <c r="U250" s="1851"/>
      <c r="V250" s="1852"/>
      <c r="W250" s="1536">
        <f>SUM($S250,$V251)</f>
        <v>228.90171314843934</v>
      </c>
      <c r="X250" s="1850" t="str">
        <f>IF($BN$5="ON","60F                16c",IF($BN$5="OFF","60F                16c"))</f>
        <v>60F                16c</v>
      </c>
      <c r="Y250" s="1851"/>
      <c r="Z250" s="1852"/>
      <c r="AA250" s="1536">
        <f>SUM($W250,$Z251)</f>
        <v>305.4178798287756</v>
      </c>
      <c r="AB250" s="1850" t="str">
        <f>IF($BN$5="ON","45%                30%",IF($BN$5="OFF","45%                30%"))</f>
        <v>45%                30%</v>
      </c>
      <c r="AC250" s="1851"/>
      <c r="AD250" s="1852"/>
      <c r="AE250" s="1536">
        <f>SUM($AA250,$AD251)</f>
        <v>417.46033338510324</v>
      </c>
      <c r="AF250" s="1940" t="s">
        <v>1360</v>
      </c>
      <c r="AG250" s="1851"/>
      <c r="AH250" s="1852"/>
      <c r="AI250" s="1536">
        <f>SUM($AE250,$AH251)</f>
        <v>417.46033338510324</v>
      </c>
      <c r="AJ250" s="1940" t="s">
        <v>19</v>
      </c>
      <c r="AK250" s="1851"/>
      <c r="AL250" s="1852"/>
      <c r="AM250" s="1536">
        <f>SUM($AI250,$AL251)</f>
        <v>428.89494648057399</v>
      </c>
      <c r="AN250" s="1940" t="s">
        <v>980</v>
      </c>
      <c r="AO250" s="1851"/>
      <c r="AP250" s="1852"/>
      <c r="AQ250" s="1536">
        <f>SUM($AM250,$AP251)</f>
        <v>428.89494648057399</v>
      </c>
      <c r="AR250" s="1850" t="str">
        <f>IF($BN$5="ON","67F                19c",IF($BN$5="OFF","67F                19c"))</f>
        <v>67F                19c</v>
      </c>
      <c r="AS250" s="1851"/>
      <c r="AT250" s="1852"/>
      <c r="AU250" s="1536">
        <f>SUM($AQ250,$AT251)</f>
        <v>428.89494648057399</v>
      </c>
      <c r="AV250" s="1850" t="str">
        <f>IF($BN$5="ON","700 PPM co2",IF($BN$5="OFF","700 PPM co2"))</f>
        <v>700 PPM co2</v>
      </c>
      <c r="AW250" s="1851"/>
      <c r="AX250" s="1852"/>
      <c r="AY250" s="1536">
        <f>SUM($AU250,$AX251,$AX252)</f>
        <v>587.01277388987023</v>
      </c>
      <c r="AZ250" s="745">
        <f>EI$331</f>
        <v>0.6</v>
      </c>
      <c r="BA250" s="728">
        <f>(E250*AZ250)*(J250)</f>
        <v>15</v>
      </c>
      <c r="BB250" s="729">
        <f>IF($BI$6="ON",$BR265,IF($BI$6="OFF",$BS265))</f>
        <v>35.984147952443855</v>
      </c>
      <c r="BC250" s="894">
        <f>SUM($AY250,$BB250,$BB251,$BB252)</f>
        <v>622.99692184231412</v>
      </c>
      <c r="BD250" s="1938">
        <v>5.6</v>
      </c>
      <c r="BE250" s="1939"/>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2" t="s">
        <v>1873</v>
      </c>
      <c r="FP250" s="1843"/>
      <c r="FQ250" s="1843"/>
      <c r="FR250" s="1843"/>
      <c r="FS250" s="1843"/>
      <c r="FT250" s="1843"/>
      <c r="FU250" s="1843"/>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8" t="s">
        <v>20</v>
      </c>
      <c r="C251" s="1889"/>
      <c r="D251" s="1890">
        <f>SUM(D231,D230)</f>
        <v>44325</v>
      </c>
      <c r="E251" s="1891"/>
      <c r="F251" s="319"/>
      <c r="G251" s="1888" t="s">
        <v>20</v>
      </c>
      <c r="H251" s="1889"/>
      <c r="I251" s="1890">
        <f>SUM(I231,I230)</f>
        <v>44408</v>
      </c>
      <c r="J251" s="1891"/>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119</v>
      </c>
      <c r="J252" s="706">
        <f>(I252/7)</f>
        <v>17</v>
      </c>
      <c r="K252" s="753"/>
      <c r="L252" s="1844" t="s">
        <v>1661</v>
      </c>
      <c r="M252" s="1845"/>
      <c r="N252" s="1845"/>
      <c r="O252" s="1845"/>
      <c r="P252" s="1845"/>
      <c r="Q252" s="1845"/>
      <c r="R252" s="1845"/>
      <c r="S252" s="1845"/>
      <c r="T252" s="1845"/>
      <c r="U252" s="1845"/>
      <c r="V252" s="1845"/>
      <c r="W252" s="1845"/>
      <c r="X252" s="1845"/>
      <c r="Y252" s="1845"/>
      <c r="Z252" s="1845"/>
      <c r="AA252" s="1845"/>
      <c r="AB252" s="1845"/>
      <c r="AC252" s="1845"/>
      <c r="AD252" s="1845"/>
      <c r="AE252" s="1845"/>
      <c r="AF252" s="1845"/>
      <c r="AG252" s="1845"/>
      <c r="AH252" s="1845"/>
      <c r="AI252" s="1845"/>
      <c r="AJ252" s="1845"/>
      <c r="AK252" s="1845"/>
      <c r="AL252" s="1845"/>
      <c r="AM252" s="1845"/>
      <c r="AN252" s="1845"/>
      <c r="AO252" s="1845"/>
      <c r="AP252" s="1845"/>
      <c r="AQ252" s="1845"/>
      <c r="AR252" s="1845"/>
      <c r="AS252" s="1845"/>
      <c r="AT252" s="1845"/>
      <c r="AU252" s="1846"/>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6" t="str">
        <f>$B$33</f>
        <v>Expert Light</v>
      </c>
      <c r="C253" s="1937"/>
      <c r="D253" s="652">
        <v>1</v>
      </c>
      <c r="E253" s="831"/>
      <c r="F253" s="753"/>
      <c r="G253" s="1924"/>
      <c r="H253" s="1925"/>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9" t="s">
        <v>1364</v>
      </c>
      <c r="BM253" s="1950"/>
      <c r="BN253" s="1951"/>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9" t="str">
        <f>$B$34</f>
        <v>Expert Medium</v>
      </c>
      <c r="C254" s="1925"/>
      <c r="D254" s="653">
        <v>1</v>
      </c>
      <c r="E254" s="836"/>
      <c r="F254" s="319"/>
      <c r="G254" s="1929"/>
      <c r="H254" s="1925"/>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4" t="s">
        <v>1376</v>
      </c>
      <c r="BM254" s="1831"/>
      <c r="BN254" s="1945"/>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4" t="str">
        <f>$B$35</f>
        <v>Expert Heavy</v>
      </c>
      <c r="C255" s="1925"/>
      <c r="D255" s="653">
        <v>1</v>
      </c>
      <c r="E255" s="841"/>
      <c r="F255" s="319"/>
      <c r="G255" s="1924"/>
      <c r="H255" s="1925"/>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4" t="s">
        <v>1367</v>
      </c>
      <c r="BM255" s="1831"/>
      <c r="BN255" s="1945"/>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9" t="str">
        <f>$B$36</f>
        <v>Full Light</v>
      </c>
      <c r="C256" s="1925"/>
      <c r="D256" s="653">
        <v>1</v>
      </c>
      <c r="E256" s="836"/>
      <c r="F256" s="319"/>
      <c r="G256" s="1929"/>
      <c r="H256" s="1925"/>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9" t="s">
        <v>1364</v>
      </c>
      <c r="BM256" s="1950"/>
      <c r="BN256" s="1951"/>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4" t="str">
        <f>$B$37</f>
        <v>Full Medium</v>
      </c>
      <c r="C257" s="1925"/>
      <c r="D257" s="653">
        <v>1</v>
      </c>
      <c r="E257" s="841"/>
      <c r="F257" s="319"/>
      <c r="G257" s="1924"/>
      <c r="H257" s="1925"/>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4" t="s">
        <v>1376</v>
      </c>
      <c r="BM257" s="1831"/>
      <c r="BN257" s="1945"/>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9" t="str">
        <f>$B$38</f>
        <v>Testing</v>
      </c>
      <c r="C258" s="1925"/>
      <c r="D258" s="653">
        <v>1</v>
      </c>
      <c r="E258" s="836"/>
      <c r="F258" s="319"/>
      <c r="G258" s="1929"/>
      <c r="H258" s="1925"/>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6"/>
      <c r="BM258" s="1947"/>
      <c r="BN258" s="1948"/>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2" t="s">
        <v>962</v>
      </c>
      <c r="C260" s="1913"/>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4" t="s">
        <v>963</v>
      </c>
      <c r="C261" s="1915"/>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6" t="s">
        <v>964</v>
      </c>
      <c r="C262" s="1917"/>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8" t="s">
        <v>961</v>
      </c>
      <c r="C263" s="1919"/>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0" t="s">
        <v>960</v>
      </c>
      <c r="C264" s="1921"/>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2" t="s">
        <v>957</v>
      </c>
      <c r="C265" s="1923"/>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3" t="s">
        <v>958</v>
      </c>
      <c r="C266" s="1904"/>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5" t="s">
        <v>959</v>
      </c>
      <c r="C267" s="1906"/>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5" t="s">
        <v>1254</v>
      </c>
      <c r="C268" s="1906"/>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7" t="s">
        <v>21</v>
      </c>
      <c r="C270" s="1908"/>
      <c r="D270" s="776">
        <v>10</v>
      </c>
      <c r="E270" s="661">
        <v>25</v>
      </c>
      <c r="F270" s="319"/>
      <c r="G270" s="1907" t="s">
        <v>21</v>
      </c>
      <c r="H270" s="1908"/>
      <c r="I270" s="776">
        <v>10</v>
      </c>
      <c r="J270" s="646">
        <v>1</v>
      </c>
      <c r="K270" s="319"/>
      <c r="L270" s="1941" t="s">
        <v>2512</v>
      </c>
      <c r="M270" s="1942"/>
      <c r="N270" s="1943"/>
      <c r="O270" s="1536">
        <f>SUM($BH$6,$N271)</f>
        <v>5.4382483487450459</v>
      </c>
      <c r="P270" s="647">
        <v>60000</v>
      </c>
      <c r="Q270" s="623" t="s">
        <v>825</v>
      </c>
      <c r="R270" s="777">
        <f>(P270/64.55337)</f>
        <v>929.46348114745979</v>
      </c>
      <c r="S270" s="1536">
        <f>SUM($O270,$R271)</f>
        <v>5.4382483487450459</v>
      </c>
      <c r="T270" s="1850" t="str">
        <f>IF($BN$5="ON","70F                21c",IF($BN$5="OFF","70F                21c"))</f>
        <v>70F                21c</v>
      </c>
      <c r="U270" s="1851"/>
      <c r="V270" s="1852"/>
      <c r="W270" s="1536">
        <f>SUM($S270,$V271)</f>
        <v>83.752585866130119</v>
      </c>
      <c r="X270" s="1850" t="str">
        <f>IF($BN$5="ON","60F                16c",IF($BN$5="OFF","60F                16c"))</f>
        <v>60F                16c</v>
      </c>
      <c r="Y270" s="1851"/>
      <c r="Z270" s="1852"/>
      <c r="AA270" s="1536">
        <f>SUM($W270,$Z271)</f>
        <v>133.65443370113201</v>
      </c>
      <c r="AB270" s="1850" t="str">
        <f>IF($BN$5="ON","45%                30%",IF($BN$5="OFF","45%                30%"))</f>
        <v>45%                30%</v>
      </c>
      <c r="AC270" s="1851"/>
      <c r="AD270" s="1852"/>
      <c r="AE270" s="1536">
        <f>SUM($AA270,$AD271)</f>
        <v>216.64884374285617</v>
      </c>
      <c r="AF270" s="1940" t="s">
        <v>1360</v>
      </c>
      <c r="AG270" s="1851"/>
      <c r="AH270" s="1852"/>
      <c r="AI270" s="1536">
        <f>SUM($AE270,$AH271)</f>
        <v>216.64884374285617</v>
      </c>
      <c r="AJ270" s="1940" t="s">
        <v>19</v>
      </c>
      <c r="AK270" s="1851"/>
      <c r="AL270" s="1852"/>
      <c r="AM270" s="1536">
        <f>SUM($AI270,$AL271)</f>
        <v>216.64884374285617</v>
      </c>
      <c r="AN270" s="1940" t="s">
        <v>981</v>
      </c>
      <c r="AO270" s="1851"/>
      <c r="AP270" s="1852"/>
      <c r="AQ270" s="1536">
        <f>SUM($AM270,$AP271)</f>
        <v>216.64884374285617</v>
      </c>
      <c r="AR270" s="1850" t="str">
        <f>IF($BN$5="ON","66F                19c",IF($BN$5="OFF","66F                19c"))</f>
        <v>66F                19c</v>
      </c>
      <c r="AS270" s="1851"/>
      <c r="AT270" s="1852"/>
      <c r="AU270" s="1536">
        <f>SUM($AQ270,$AT271)</f>
        <v>216.64884374285617</v>
      </c>
      <c r="AV270" s="1850" t="str">
        <f>IF($BN$5="ON","450 PPM co2",IF($BN$5="OFF","450 PPM co2"))</f>
        <v>450 PPM co2</v>
      </c>
      <c r="AW270" s="1851"/>
      <c r="AX270" s="1852"/>
      <c r="AY270" s="1536">
        <f>SUM($AU270,$AX271,$AX272)</f>
        <v>381.3225250429698</v>
      </c>
      <c r="AZ270" s="745">
        <f>EJ$331</f>
        <v>0.6</v>
      </c>
      <c r="BA270" s="728">
        <f>(E270*AZ270)*(J270)</f>
        <v>15</v>
      </c>
      <c r="BB270" s="729">
        <f>IF($BI$6="ON",$BR285,IF($BI$6="OFF",$BS285))</f>
        <v>35.984147952443855</v>
      </c>
      <c r="BC270" s="894">
        <f>SUM($AY270,$BB270,$BB271,$BB272)</f>
        <v>417.30667299541363</v>
      </c>
      <c r="BD270" s="1938">
        <v>5.5</v>
      </c>
      <c r="BE270" s="1939"/>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2" t="s">
        <v>1873</v>
      </c>
      <c r="FP270" s="1843"/>
      <c r="FQ270" s="1843"/>
      <c r="FR270" s="1843"/>
      <c r="FS270" s="1843"/>
      <c r="FT270" s="1843"/>
      <c r="FU270" s="1843"/>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8" t="s">
        <v>22</v>
      </c>
      <c r="C271" s="1889"/>
      <c r="D271" s="1890">
        <f>SUM(D251,D250)</f>
        <v>44334</v>
      </c>
      <c r="E271" s="1891"/>
      <c r="F271" s="319"/>
      <c r="G271" s="1888" t="s">
        <v>22</v>
      </c>
      <c r="H271" s="1889"/>
      <c r="I271" s="1890">
        <f>SUM(I251,I250)</f>
        <v>44416</v>
      </c>
      <c r="J271" s="1891"/>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127</v>
      </c>
      <c r="J272" s="706">
        <f>(I272/7)</f>
        <v>18.142857142857142</v>
      </c>
      <c r="K272" s="753"/>
      <c r="L272" s="1844" t="s">
        <v>1672</v>
      </c>
      <c r="M272" s="1845"/>
      <c r="N272" s="1845"/>
      <c r="O272" s="1845"/>
      <c r="P272" s="1845"/>
      <c r="Q272" s="1845"/>
      <c r="R272" s="1845"/>
      <c r="S272" s="1845"/>
      <c r="T272" s="1845"/>
      <c r="U272" s="1845"/>
      <c r="V272" s="1845"/>
      <c r="W272" s="1845"/>
      <c r="X272" s="1845"/>
      <c r="Y272" s="1845"/>
      <c r="Z272" s="1845"/>
      <c r="AA272" s="1845"/>
      <c r="AB272" s="1845"/>
      <c r="AC272" s="1845"/>
      <c r="AD272" s="1845"/>
      <c r="AE272" s="1845"/>
      <c r="AF272" s="1845"/>
      <c r="AG272" s="1845"/>
      <c r="AH272" s="1845"/>
      <c r="AI272" s="1845"/>
      <c r="AJ272" s="1845"/>
      <c r="AK272" s="1845"/>
      <c r="AL272" s="1845"/>
      <c r="AM272" s="1845"/>
      <c r="AN272" s="1845"/>
      <c r="AO272" s="1845"/>
      <c r="AP272" s="1845"/>
      <c r="AQ272" s="1845"/>
      <c r="AR272" s="1845"/>
      <c r="AS272" s="1845"/>
      <c r="AT272" s="1845"/>
      <c r="AU272" s="1846"/>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6" t="str">
        <f>$B$33</f>
        <v>Expert Light</v>
      </c>
      <c r="C273" s="1937"/>
      <c r="D273" s="652">
        <v>1</v>
      </c>
      <c r="E273" s="831"/>
      <c r="F273" s="753"/>
      <c r="G273" s="1924"/>
      <c r="H273" s="1925"/>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3" t="s">
        <v>1365</v>
      </c>
      <c r="BM273" s="1934"/>
      <c r="BN273" s="1935"/>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9" t="str">
        <f>$B$34</f>
        <v>Expert Medium</v>
      </c>
      <c r="C274" s="1925"/>
      <c r="D274" s="653">
        <v>1</v>
      </c>
      <c r="E274" s="836"/>
      <c r="F274" s="319"/>
      <c r="G274" s="1929"/>
      <c r="H274" s="1925"/>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6" t="s">
        <v>1375</v>
      </c>
      <c r="BM274" s="1927"/>
      <c r="BN274" s="1928"/>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4" t="str">
        <f>$B$35</f>
        <v>Expert Heavy</v>
      </c>
      <c r="C275" s="1925"/>
      <c r="D275" s="653">
        <v>1</v>
      </c>
      <c r="E275" s="841"/>
      <c r="F275" s="319"/>
      <c r="G275" s="1924"/>
      <c r="H275" s="1925"/>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6" t="s">
        <v>1366</v>
      </c>
      <c r="BM275" s="1927"/>
      <c r="BN275" s="1928"/>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9" t="str">
        <f>$B$36</f>
        <v>Full Light</v>
      </c>
      <c r="C276" s="1925"/>
      <c r="D276" s="653">
        <v>1</v>
      </c>
      <c r="E276" s="836"/>
      <c r="F276" s="319"/>
      <c r="G276" s="1929"/>
      <c r="H276" s="1925"/>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3" t="s">
        <v>1365</v>
      </c>
      <c r="BM276" s="1934"/>
      <c r="BN276" s="1935"/>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4" t="str">
        <f>$B$37</f>
        <v>Full Medium</v>
      </c>
      <c r="C277" s="1925"/>
      <c r="D277" s="653">
        <v>1</v>
      </c>
      <c r="E277" s="841"/>
      <c r="F277" s="319"/>
      <c r="G277" s="1924"/>
      <c r="H277" s="1925"/>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6" t="s">
        <v>1375</v>
      </c>
      <c r="BM277" s="1927"/>
      <c r="BN277" s="1928"/>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9" t="str">
        <f>$B$38</f>
        <v>Testing</v>
      </c>
      <c r="C278" s="1925"/>
      <c r="D278" s="653">
        <v>1</v>
      </c>
      <c r="E278" s="836"/>
      <c r="F278" s="319"/>
      <c r="G278" s="1929"/>
      <c r="H278" s="1925"/>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30"/>
      <c r="BM278" s="1931"/>
      <c r="BN278" s="1932"/>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2" t="s">
        <v>962</v>
      </c>
      <c r="C280" s="1913"/>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4" t="s">
        <v>963</v>
      </c>
      <c r="C281" s="1915"/>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6" t="s">
        <v>964</v>
      </c>
      <c r="C282" s="1917"/>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8" t="s">
        <v>961</v>
      </c>
      <c r="C283" s="1919"/>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0" t="s">
        <v>960</v>
      </c>
      <c r="C284" s="1921"/>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2" t="s">
        <v>957</v>
      </c>
      <c r="C285" s="1923"/>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3" t="s">
        <v>958</v>
      </c>
      <c r="C286" s="1904"/>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5" t="s">
        <v>959</v>
      </c>
      <c r="C287" s="1906"/>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5" t="s">
        <v>1254</v>
      </c>
      <c r="C288" s="1906"/>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7" t="s">
        <v>23</v>
      </c>
      <c r="C290" s="1908"/>
      <c r="D290" s="776">
        <v>4</v>
      </c>
      <c r="E290" s="661">
        <v>25</v>
      </c>
      <c r="F290" s="319"/>
      <c r="G290" s="1907" t="s">
        <v>23</v>
      </c>
      <c r="H290" s="1908"/>
      <c r="I290" s="776">
        <v>4</v>
      </c>
      <c r="J290" s="646"/>
      <c r="K290" s="319"/>
      <c r="L290" s="1909" t="s">
        <v>829</v>
      </c>
      <c r="M290" s="1910"/>
      <c r="N290" s="1911"/>
      <c r="O290" s="1541"/>
      <c r="P290" s="647">
        <v>60000</v>
      </c>
      <c r="Q290" s="623" t="s">
        <v>825</v>
      </c>
      <c r="R290" s="727">
        <f>(P290/64.55337)</f>
        <v>929.46348114745979</v>
      </c>
      <c r="S290" s="1541"/>
      <c r="T290" s="1850" t="str">
        <f>IF($BN$5="ON","64F                18c",IF($BN$5="OFF","64F                18c"))</f>
        <v>64F                18c</v>
      </c>
      <c r="U290" s="1851"/>
      <c r="V290" s="1852"/>
      <c r="W290" s="1541"/>
      <c r="X290" s="1850" t="str">
        <f>IF($BN$5="ON","60F                16c",IF($BN$5="OFF","60F                16c"))</f>
        <v>60F                16c</v>
      </c>
      <c r="Y290" s="1851"/>
      <c r="Z290" s="1852"/>
      <c r="AA290" s="1534"/>
      <c r="AB290" s="1850" t="str">
        <f>IF($BN$5="ON","40%                25%",IF($BN$5="OFF","40%                25%"))</f>
        <v>40%                25%</v>
      </c>
      <c r="AC290" s="1851"/>
      <c r="AD290" s="1852"/>
      <c r="AE290" s="1534"/>
      <c r="AF290" s="2054" t="s">
        <v>1360</v>
      </c>
      <c r="AG290" s="2055"/>
      <c r="AH290" s="2056"/>
      <c r="AI290" s="1541"/>
      <c r="AJ290" s="2054" t="s">
        <v>19</v>
      </c>
      <c r="AK290" s="2055"/>
      <c r="AL290" s="2056"/>
      <c r="AM290" s="1541"/>
      <c r="AN290" s="1940" t="s">
        <v>981</v>
      </c>
      <c r="AO290" s="1851"/>
      <c r="AP290" s="1852"/>
      <c r="AQ290" s="1541"/>
      <c r="AR290" s="1850" t="str">
        <f>IF($BN$5="ON","65F                18c",IF($BN$5="OFF","65F                18c"))</f>
        <v>65F                18c</v>
      </c>
      <c r="AS290" s="1851"/>
      <c r="AT290" s="1852"/>
      <c r="AU290" s="1541"/>
      <c r="AV290" s="1850" t="str">
        <f>IF($BN$5="ON","350 PPM co2",IF($BN$5="OFF","3450 PPM co2"))</f>
        <v>350 PPM co2</v>
      </c>
      <c r="AW290" s="1851"/>
      <c r="AX290" s="1852"/>
      <c r="AY290" s="1541"/>
      <c r="AZ290" s="2054"/>
      <c r="BA290" s="2055"/>
      <c r="BB290" s="2056"/>
      <c r="BC290" s="649"/>
      <c r="BD290" s="1938">
        <v>5.7</v>
      </c>
      <c r="BE290" s="1939"/>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8" t="s">
        <v>851</v>
      </c>
      <c r="C291" s="1889"/>
      <c r="D291" s="1890">
        <f>SUM(D271,D270)</f>
        <v>44344</v>
      </c>
      <c r="E291" s="1891"/>
      <c r="F291" s="319"/>
      <c r="G291" s="1888" t="s">
        <v>851</v>
      </c>
      <c r="H291" s="1889"/>
      <c r="I291" s="1890">
        <f>SUM(I271,I270)</f>
        <v>44426</v>
      </c>
      <c r="J291" s="1891"/>
      <c r="K291" s="753"/>
      <c r="L291" s="1892" t="s">
        <v>1822</v>
      </c>
      <c r="M291" s="1893"/>
      <c r="N291" s="1894"/>
      <c r="O291" s="1541"/>
      <c r="P291" s="1883" t="s">
        <v>985</v>
      </c>
      <c r="Q291" s="1884"/>
      <c r="R291" s="860">
        <f>SUM(Electricity!AL4*U291)</f>
        <v>239.52860239999998</v>
      </c>
      <c r="S291" s="1093"/>
      <c r="T291" s="708">
        <f>(D293/7)</f>
        <v>17.428571428571427</v>
      </c>
      <c r="U291" s="861">
        <f>SUM(C7,D30,D50,D70,D90,D110,D130,D150,D170,D190,D210,D230,D250,D270,D290)</f>
        <v>122</v>
      </c>
      <c r="V291" s="709">
        <f ca="1">D7/D6</f>
        <v>1.1065573770491803</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5">
        <f>SUM(D291,D290)</f>
        <v>44348</v>
      </c>
      <c r="AG291" s="1886"/>
      <c r="AH291" s="1886"/>
      <c r="AI291" s="1886"/>
      <c r="AJ291" s="1886"/>
      <c r="AK291" s="1886"/>
      <c r="AL291" s="1887"/>
      <c r="AM291" s="1093"/>
      <c r="AN291" s="1853">
        <f>SUM(D291,D290)</f>
        <v>44348</v>
      </c>
      <c r="AO291" s="1854"/>
      <c r="AP291" s="1849"/>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2" t="s">
        <v>1012</v>
      </c>
      <c r="BM291" s="2053"/>
      <c r="BN291" s="2053"/>
      <c r="BO291" s="1854"/>
      <c r="BP291" s="1849"/>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137</v>
      </c>
      <c r="J292" s="707">
        <f>(I292/7)</f>
        <v>19.571428571428573</v>
      </c>
      <c r="K292" s="753"/>
      <c r="L292" s="864">
        <v>10</v>
      </c>
      <c r="M292" s="733">
        <f>(E290*L292)</f>
        <v>250</v>
      </c>
      <c r="N292" s="683">
        <v>0.1</v>
      </c>
      <c r="O292" s="1559"/>
      <c r="P292" s="1898" t="s">
        <v>986</v>
      </c>
      <c r="Q292" s="1899"/>
      <c r="R292" s="865">
        <f>SUM(Electricity!AL4*U292)</f>
        <v>276.83223720000001</v>
      </c>
      <c r="S292" s="1552"/>
      <c r="T292" s="716">
        <f>(I293/7)</f>
        <v>20.142857142857142</v>
      </c>
      <c r="U292" s="866">
        <f>SUM(H7,I30,I50,I70,I90,I110,I130,I150,I170,I190,I210,I230,I250,I270,I290)</f>
        <v>141</v>
      </c>
      <c r="V292" s="717">
        <f ca="1">I7/I6</f>
        <v>0.51063829787234039</v>
      </c>
      <c r="W292" s="1552"/>
      <c r="X292" s="718" t="s">
        <v>987</v>
      </c>
      <c r="Y292" s="867">
        <f>(I132/7)</f>
        <v>10.285714285714286</v>
      </c>
      <c r="Z292" s="868">
        <f>SUM(H7,I30,I50,I70,I90,I110)</f>
        <v>72</v>
      </c>
      <c r="AA292" s="1557"/>
      <c r="AB292" s="719" t="s">
        <v>942</v>
      </c>
      <c r="AC292" s="720">
        <f>(G293/7)</f>
        <v>9.8571428571428577</v>
      </c>
      <c r="AD292" s="721">
        <f>SUM(I130,I150,I170,I190,I210,I230,I250,I270,I290)</f>
        <v>69</v>
      </c>
      <c r="AE292" s="1554"/>
      <c r="AF292" s="1900">
        <f>SUM(I291,I290)</f>
        <v>44430</v>
      </c>
      <c r="AG292" s="1901"/>
      <c r="AH292" s="1901"/>
      <c r="AI292" s="1901"/>
      <c r="AJ292" s="1901"/>
      <c r="AK292" s="1901"/>
      <c r="AL292" s="1902"/>
      <c r="AM292" s="1552"/>
      <c r="AN292" s="1853">
        <f>SUM(I291,I290)</f>
        <v>44430</v>
      </c>
      <c r="AO292" s="1854"/>
      <c r="AP292" s="1849"/>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141</v>
      </c>
      <c r="J293" s="287">
        <f>(I293/7)</f>
        <v>20.142857142857142</v>
      </c>
      <c r="K293" s="217"/>
      <c r="L293" s="1895" t="s">
        <v>665</v>
      </c>
      <c r="M293" s="1896"/>
      <c r="N293" s="1896"/>
      <c r="O293" s="1896"/>
      <c r="P293" s="1896"/>
      <c r="Q293" s="1896"/>
      <c r="R293" s="1896"/>
      <c r="S293" s="1896"/>
      <c r="T293" s="1896"/>
      <c r="U293" s="1896"/>
      <c r="V293" s="1896"/>
      <c r="W293" s="1896"/>
      <c r="X293" s="1896"/>
      <c r="Y293" s="1896"/>
      <c r="Z293" s="1896"/>
      <c r="AA293" s="1896"/>
      <c r="AB293" s="1896"/>
      <c r="AC293" s="1896"/>
      <c r="AD293" s="1896"/>
      <c r="AE293" s="1896"/>
      <c r="AF293" s="1896"/>
      <c r="AG293" s="1896"/>
      <c r="AH293" s="1896"/>
      <c r="AI293" s="1896"/>
      <c r="AJ293" s="1896"/>
      <c r="AK293" s="1897"/>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3" t="s">
        <v>962</v>
      </c>
      <c r="C295" s="1874"/>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5" t="s">
        <v>963</v>
      </c>
      <c r="C296" s="1876"/>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7" t="s">
        <v>964</v>
      </c>
      <c r="C297" s="1878"/>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9" t="s">
        <v>961</v>
      </c>
      <c r="C298" s="1880"/>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81" t="s">
        <v>960</v>
      </c>
      <c r="C299" s="1882"/>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4" t="s">
        <v>957</v>
      </c>
      <c r="C300" s="1865"/>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6" t="s">
        <v>958</v>
      </c>
      <c r="C301" s="1867"/>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8" t="s">
        <v>959</v>
      </c>
      <c r="C302" s="1869"/>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8" t="s">
        <v>1254</v>
      </c>
      <c r="C303" s="1869"/>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70" t="s">
        <v>24</v>
      </c>
      <c r="C305" s="1871"/>
      <c r="D305" s="391">
        <f>SUM(L305,P305,T305,X305,AB305,AF305,AJ305,AN305,AR305,AV305,AZ305,BD305)</f>
        <v>229.1</v>
      </c>
      <c r="E305" s="392">
        <f>SUM(M305,Q305,U305,Y305,AC305,AG305,AK305,AO305,AS305,AW305,BA305,BE305)</f>
        <v>6180</v>
      </c>
      <c r="F305" s="299"/>
      <c r="G305" s="1870" t="s">
        <v>2419</v>
      </c>
      <c r="H305" s="1871"/>
      <c r="I305" s="1871"/>
      <c r="J305" s="1872"/>
      <c r="K305" s="225"/>
      <c r="L305" s="289">
        <f>SUM(L31,L51,L71,L91,L111,L131,L151,L171,L191,L211)</f>
        <v>5</v>
      </c>
      <c r="M305" s="337">
        <f>SUM(M31,M51,M71,M91,M111,M131,M151,M171,M191,M211)</f>
        <v>127.5</v>
      </c>
      <c r="N305" s="306"/>
      <c r="O305" s="1532"/>
      <c r="P305" s="290">
        <f>SUM(P31,P51,P71,P91,P111,P131,P151,P171,P191,P211,P231,P251,P271)</f>
        <v>14.900000000000002</v>
      </c>
      <c r="Q305" s="337">
        <f>SUM(Q31,Q51,Q71,Q91,Q111,Q131,Q151,Q171,Q191,Q211,Q231,Q251,Q271)</f>
        <v>397</v>
      </c>
      <c r="R305" s="308"/>
      <c r="S305" s="1532"/>
      <c r="T305" s="291">
        <f>SUM(T31,T51,T71,T91,T111,T131,T151,T171,T191,T211,T251,T271)</f>
        <v>41.3</v>
      </c>
      <c r="U305" s="337">
        <f>SUM(U31,U51,U71,U91,U111,U131,U151,U171,U191,U211,U231,U251,U271)</f>
        <v>1130.5</v>
      </c>
      <c r="V305" s="306"/>
      <c r="W305" s="1532"/>
      <c r="X305" s="292">
        <f>SUM(X31,X51,X71,X91,X111,X131,X151,X171,X191,X211,X251,X271)</f>
        <v>41.399999999999991</v>
      </c>
      <c r="Y305" s="337">
        <f>SUM(Y31,Y51,Y71,Y91,Y111,Y131,Y151,Y171,Y191,Y211,Y231,Y251,Y271)</f>
        <v>1114.5</v>
      </c>
      <c r="Z305" s="306"/>
      <c r="AA305" s="1532"/>
      <c r="AB305" s="293">
        <f>SUM(AB31,AB51,AB71,AB91,AB111,AB131,AB151,AB171,AB191,AB211,AB251,AB271)</f>
        <v>49.5</v>
      </c>
      <c r="AC305" s="337">
        <f>SUM(AC31,AC51,AC71,AC91,AC111,AC131,AC151,AC171,AC191,AC211,AC231,AC251,AC271)</f>
        <v>1415.5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375</v>
      </c>
      <c r="AL305" s="308"/>
      <c r="AM305" s="1532"/>
      <c r="AN305" s="296">
        <f>SUM(AN31,AN51,AN71,AN91,AN111,AN131,AN151,AN171,AN191,AN211,AN251,AN271)</f>
        <v>20</v>
      </c>
      <c r="AO305" s="337">
        <f>SUM(AO31,AO51,AO71,AO91,AO111,AO131,AO151,AO171,AO191,AO211,AO231,AO251,AO271)</f>
        <v>450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150</v>
      </c>
      <c r="BB305" s="308"/>
      <c r="BC305" s="184"/>
      <c r="BD305" s="298">
        <f>SUM(BD31,BD51,BD71,BD91,BD111,BD131,BD151,BD171,BD191,BD211,BD251,BD271,BD291)</f>
        <v>26</v>
      </c>
      <c r="BE305" s="337">
        <f>SUM(BE31,BE51,BE71,BE91,BE111,BE131,BE151,BE171,BE191,BE211,BE231,BE251,BE271)</f>
        <v>660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5" t="str">
        <f>$B$33</f>
        <v>Expert Light</v>
      </c>
      <c r="C306" s="1856"/>
      <c r="D306" s="393">
        <f>SUM(L306,P306,T306,X306,AB306,AF306,AJ306,AN306,AR306,AV306,AZ306,BD306)</f>
        <v>170.8</v>
      </c>
      <c r="E306" s="222">
        <f>SUM(M306,Q306,U306,Y306,AC306,AG306,AK306,AN306,AS306,AW306,BA306,BE306)</f>
        <v>4720.5</v>
      </c>
      <c r="F306" s="137"/>
      <c r="G306" s="1855"/>
      <c r="H306" s="1856"/>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496.5</v>
      </c>
      <c r="R306" s="307"/>
      <c r="S306" s="1532"/>
      <c r="T306" s="232">
        <f>SUM(T33,T53,T73,T93,T113,T133,T153,T173,T193,T213,T253,T273)</f>
        <v>40.4</v>
      </c>
      <c r="U306" s="338">
        <f>SUM(U33,U53,U73,U93,U113,U133,U153,U173,U193,U213,U233,U253,U273)</f>
        <v>1104</v>
      </c>
      <c r="V306" s="307"/>
      <c r="W306" s="1532"/>
      <c r="X306" s="139">
        <f>SUM(X33,X53,X73,X93,X113,X133,X153,X173,X193,X213,X253,X273)</f>
        <v>44.6</v>
      </c>
      <c r="Y306" s="338">
        <f>SUM(Y33,Y53,Y73,Y93,Y113,Y133,Y153,Y173,Y193,Y213,Y233,Y253,Y273)</f>
        <v>1190</v>
      </c>
      <c r="Z306" s="307"/>
      <c r="AA306" s="1532"/>
      <c r="AB306" s="253">
        <f>SUM(AB33,AB53,AB73,AB93,AB113,AB133,AB153,AB173,AB193,AB213,AB253,AB273)</f>
        <v>47.800000000000004</v>
      </c>
      <c r="AC306" s="338">
        <f>SUM(AC33,AC53,AC73,AC93,AC113,AC133,AC153,AC173,AC193,AC213,AC233,AC253,AC273)</f>
        <v>1358</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285</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7" t="str">
        <f>$B$34</f>
        <v>Expert Medium</v>
      </c>
      <c r="C307" s="1858"/>
      <c r="D307" s="138">
        <f>SUM(L307,P307,T307,X307,AB307,AF307,AJ307,AN307,AR307,AV307,AZ307,BD307)</f>
        <v>191.19999999999996</v>
      </c>
      <c r="E307" s="223">
        <f>SUM(M307,Q307,U307,Y307,AC307,AG307,AK307,AN307,AS307,AW307,BA307,BE307)</f>
        <v>5303.5</v>
      </c>
      <c r="F307" s="224"/>
      <c r="G307" s="1857"/>
      <c r="H307" s="1858"/>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496.5</v>
      </c>
      <c r="R307" s="308"/>
      <c r="S307" s="1532"/>
      <c r="T307" s="233">
        <f>SUM(T34,T54,T74,T94,T114,T134,T154,T174,T194,T214,T254,T274)</f>
        <v>46.099999999999994</v>
      </c>
      <c r="U307" s="337">
        <f>SUM(U34,U54,U74,U94,U114,U134,U154,U174,U194,U214,U234,U254,U274)</f>
        <v>1251</v>
      </c>
      <c r="V307" s="306"/>
      <c r="W307" s="1532"/>
      <c r="X307" s="140">
        <f>SUM(X34,X54,X74,X94,X114,X134,X154,X174,X194,X214,X254,X274)</f>
        <v>50.199999999999996</v>
      </c>
      <c r="Y307" s="337">
        <f>SUM(Y34,Y54,Y74,Y94,Y114,Y134,Y154,Y174,Y194,Y214,Y234,Y254,Y274)</f>
        <v>1329.5</v>
      </c>
      <c r="Z307" s="306"/>
      <c r="AA307" s="1532"/>
      <c r="AB307" s="145">
        <f>SUM(AB34,AB54,AB74,AB94,AB114,AB134,AB154,AB174,AB194,AB214,AB254,AB274)</f>
        <v>53.599999999999994</v>
      </c>
      <c r="AC307" s="337">
        <f>SUM(AC34,AC54,AC74,AC94,AC114,AC134,AC154,AC174,AC194,AC214,AC234,AC254,AC274)</f>
        <v>1523</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407.5</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9" t="s">
        <v>1668</v>
      </c>
      <c r="C308" s="1860"/>
      <c r="D308" s="1861"/>
      <c r="E308" s="1009">
        <f>SUM(M308,Q308,U308,Y308,AC308,AG308,AK308,AO308,AS308,AW308,BA308)</f>
        <v>109.20888363035363</v>
      </c>
      <c r="F308" s="137"/>
      <c r="G308" s="1859"/>
      <c r="H308" s="1860"/>
      <c r="I308" s="1862"/>
      <c r="J308" s="1863"/>
      <c r="K308" s="137"/>
      <c r="L308" s="1007">
        <f>$DS320</f>
        <v>0.12</v>
      </c>
      <c r="M308" s="1008">
        <f>(M305*$DS320)</f>
        <v>15.299999999999999</v>
      </c>
      <c r="N308" s="309"/>
      <c r="O308" s="1532"/>
      <c r="P308" s="1007">
        <f>$DS321</f>
        <v>1.3725231175693528E-2</v>
      </c>
      <c r="Q308" s="1008">
        <f>(Q305*$DS321)</f>
        <v>5.4489167767503304</v>
      </c>
      <c r="R308" s="309"/>
      <c r="S308" s="1532"/>
      <c r="T308" s="1007">
        <f>$DS322</f>
        <v>1.0568031704095112E-2</v>
      </c>
      <c r="U308" s="1008">
        <f>(U305*$DS322)</f>
        <v>11.947159841479525</v>
      </c>
      <c r="V308" s="254"/>
      <c r="W308" s="1532"/>
      <c r="X308" s="1007">
        <f>$DS323</f>
        <v>1.0039630118890357E-2</v>
      </c>
      <c r="Y308" s="1008">
        <f>(Y305*$DS323)</f>
        <v>11.189167767503303</v>
      </c>
      <c r="Z308" s="254"/>
      <c r="AA308" s="1532"/>
      <c r="AB308" s="1007">
        <f>$DS324</f>
        <v>1.0039630118890357E-2</v>
      </c>
      <c r="AC308" s="1008">
        <f>(AC305*$DS324)</f>
        <v>14.211096433289299</v>
      </c>
      <c r="AD308" s="309"/>
      <c r="AE308" s="1532"/>
      <c r="AF308" s="1007">
        <f>$DS325</f>
        <v>1.9815059445178335E-2</v>
      </c>
      <c r="AG308" s="1008">
        <f>(AG305*$DS325)</f>
        <v>4.1611624834874501</v>
      </c>
      <c r="AH308" s="309"/>
      <c r="AI308" s="1532"/>
      <c r="AJ308" s="1007">
        <f>$DS326</f>
        <v>8.2396449704142019E-2</v>
      </c>
      <c r="AK308" s="1008">
        <f>(AK305*$DS326)</f>
        <v>30.898668639053255</v>
      </c>
      <c r="AL308" s="309"/>
      <c r="AM308" s="1532"/>
      <c r="AN308" s="1007">
        <f>$DS327</f>
        <v>1.4531043593130779E-2</v>
      </c>
      <c r="AO308" s="1008">
        <f>(AO305*$DS327)</f>
        <v>6.5389696169088509</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3.1712473572938689</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6" t="s">
        <v>1676</v>
      </c>
      <c r="C310" s="1827"/>
      <c r="D310" s="1836">
        <v>44226</v>
      </c>
      <c r="E310" s="1837"/>
      <c r="F310" s="1561"/>
      <c r="G310" s="1826" t="s">
        <v>1677</v>
      </c>
      <c r="H310" s="1827"/>
      <c r="I310" s="2086">
        <v>44289</v>
      </c>
      <c r="J310" s="2087"/>
      <c r="L310" s="1848" t="s">
        <v>1824</v>
      </c>
      <c r="M310" s="1849"/>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6"/>
      <c r="BH310" s="2037"/>
      <c r="BI310" s="1562"/>
      <c r="BJ310" s="1562"/>
      <c r="BK310" s="1562"/>
      <c r="BL310" s="1562"/>
      <c r="BM310" s="1562"/>
      <c r="BN310" s="1562"/>
      <c r="BQ310" s="1479"/>
      <c r="BR310" s="1289" t="s">
        <v>1880</v>
      </c>
      <c r="BS310" s="1290"/>
      <c r="BT310" s="1291"/>
      <c r="BU310" s="2038" t="s">
        <v>1391</v>
      </c>
      <c r="BV310" s="2039"/>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72</v>
      </c>
      <c r="I311" s="1603" t="s">
        <v>1678</v>
      </c>
      <c r="J311" s="1604">
        <f>AD292</f>
        <v>69</v>
      </c>
      <c r="L311" s="1004" t="s">
        <v>1665</v>
      </c>
      <c r="M311" s="1168">
        <f>IF(Electricity!AL4&lt;&gt;0,Electricity!AL4,0)</f>
        <v>1.9633491999999999</v>
      </c>
      <c r="N311" s="1294">
        <f>SUM(E308/L313)</f>
        <v>0.89515478385535763</v>
      </c>
      <c r="O311" s="1532"/>
      <c r="P311" s="1295">
        <f>SUM(P313/L313)</f>
        <v>2.8585039838553574</v>
      </c>
      <c r="Q311" s="1295">
        <f>SUM(Q313/U292)</f>
        <v>2.8585039838553574</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40" t="s">
        <v>1390</v>
      </c>
      <c r="BV311" s="2041"/>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7" t="s">
        <v>2705</v>
      </c>
      <c r="CS311" s="2058"/>
      <c r="CT311" s="2058"/>
      <c r="CU311" s="2058"/>
      <c r="CV311" s="2058"/>
      <c r="CW311" s="2058"/>
      <c r="CX311" s="2058"/>
      <c r="CY311" s="2058"/>
      <c r="CZ311" s="2058"/>
      <c r="DA311" s="2058"/>
      <c r="DB311" s="2058"/>
      <c r="DC311" s="2058"/>
      <c r="DD311" s="2058"/>
      <c r="DE311" s="1927"/>
      <c r="DF311" s="1927"/>
      <c r="DG311" s="1927"/>
      <c r="DH311" s="1927"/>
      <c r="DI311" s="1927"/>
      <c r="DJ311" s="1927"/>
      <c r="DK311" s="1927"/>
      <c r="DL311" s="1927"/>
      <c r="DM311" s="2035"/>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8" t="str">
        <f ca="1">"Day "&amp;D7&amp;" of "&amp;D6</f>
        <v>Day 135 of 122</v>
      </c>
      <c r="C312" s="2089"/>
      <c r="D312" s="2090"/>
      <c r="E312" s="722">
        <f ca="1">D7/D6</f>
        <v>1.1065573770491803</v>
      </c>
      <c r="F312" s="1561"/>
      <c r="G312" s="2088" t="str">
        <f ca="1">"Day "&amp;I7&amp;" of "&amp;I6</f>
        <v>Day 72 of 141</v>
      </c>
      <c r="H312" s="2089"/>
      <c r="I312" s="2090"/>
      <c r="J312" s="722">
        <f ca="1">I7/I6</f>
        <v>0.51063829787234039</v>
      </c>
      <c r="L312" s="1005">
        <v>28</v>
      </c>
      <c r="M312" s="1297">
        <f>IF(Electricity!C3&lt;&gt;0,Electricity!C3,0)</f>
        <v>58.900475999999998</v>
      </c>
      <c r="N312" s="1294">
        <f>SUM(N311*28)</f>
        <v>25.064333947950015</v>
      </c>
      <c r="O312" s="1532"/>
      <c r="P312" s="1295">
        <f>SUM(P311*28)</f>
        <v>80.03811154795001</v>
      </c>
      <c r="Q312" s="1295">
        <f>SUM(Q311*28)</f>
        <v>80.03811154795001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2" t="s">
        <v>1863</v>
      </c>
      <c r="BX312" s="2043"/>
      <c r="BY312" s="2043"/>
      <c r="BZ312" s="2043"/>
      <c r="CA312" s="2043"/>
      <c r="CB312" s="2044"/>
      <c r="CC312" s="2050" t="s">
        <v>1864</v>
      </c>
      <c r="CD312" s="2051"/>
      <c r="CE312" s="2051"/>
      <c r="CF312" s="2051"/>
      <c r="CG312" s="2051"/>
      <c r="CH312" s="2051"/>
      <c r="CI312" s="2051"/>
      <c r="CJ312" s="2035"/>
      <c r="CK312" s="2048" t="s">
        <v>1865</v>
      </c>
      <c r="CL312" s="2049"/>
      <c r="CM312" s="2049"/>
      <c r="CN312" s="1927"/>
      <c r="CO312" s="1927"/>
      <c r="CP312" s="1927"/>
      <c r="CQ312" s="2035"/>
      <c r="CR312" s="2045" t="s">
        <v>1385</v>
      </c>
      <c r="CS312" s="2046"/>
      <c r="CT312" s="2046"/>
      <c r="CU312" s="2046"/>
      <c r="CV312" s="2046"/>
      <c r="CW312" s="2046"/>
      <c r="CX312" s="2046"/>
      <c r="CY312" s="2047"/>
      <c r="CZ312" s="2059" t="s">
        <v>1250</v>
      </c>
      <c r="DA312" s="1927"/>
      <c r="DB312" s="1927"/>
      <c r="DC312" s="1927"/>
      <c r="DD312" s="1927"/>
      <c r="DE312" s="1927"/>
      <c r="DF312" s="2035"/>
      <c r="DG312" s="1995" t="s">
        <v>1871</v>
      </c>
      <c r="DH312" s="1927"/>
      <c r="DI312" s="1927"/>
      <c r="DJ312" s="1927"/>
      <c r="DK312" s="1927"/>
      <c r="DL312" s="1927"/>
      <c r="DM312" s="2035"/>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8" t="s">
        <v>1679</v>
      </c>
      <c r="C313" s="1839"/>
      <c r="D313" s="1836">
        <f>SUM(D291,D290)</f>
        <v>44348</v>
      </c>
      <c r="E313" s="1837"/>
      <c r="F313" s="1561"/>
      <c r="G313" s="1838" t="s">
        <v>1679</v>
      </c>
      <c r="H313" s="1839"/>
      <c r="I313" s="2086">
        <f>SUM(I291,I290)</f>
        <v>44430</v>
      </c>
      <c r="J313" s="2087"/>
      <c r="L313" s="1006">
        <f>U291</f>
        <v>122</v>
      </c>
      <c r="M313" s="1298">
        <f>SUM($M311*$L313)</f>
        <v>239.52860239999998</v>
      </c>
      <c r="N313" s="1169">
        <f>E308</f>
        <v>109.20888363035363</v>
      </c>
      <c r="O313" s="1532"/>
      <c r="P313" s="1299">
        <f>SUM(M313+N313)</f>
        <v>348.73748603035358</v>
      </c>
      <c r="Q313" s="1299">
        <f>SUM($N311*$U292+M311*$U292)</f>
        <v>403.0490617236054</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6" t="s">
        <v>2519</v>
      </c>
      <c r="C315" s="1827"/>
      <c r="D315" s="1836">
        <v>44306</v>
      </c>
      <c r="E315" s="1837"/>
      <c r="F315" s="1612"/>
      <c r="G315" s="1840" t="s">
        <v>1675</v>
      </c>
      <c r="H315" s="1841"/>
      <c r="I315" s="1824">
        <v>44226</v>
      </c>
      <c r="J315" s="1825"/>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2" t="s">
        <v>1873</v>
      </c>
      <c r="FP315" s="1843"/>
      <c r="FQ315" s="1843"/>
      <c r="FR315" s="1843"/>
      <c r="FS315" s="1843"/>
      <c r="FT315" s="1843"/>
      <c r="FU315" s="1843"/>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2" t="s">
        <v>2520</v>
      </c>
      <c r="C317" s="1823"/>
      <c r="D317" s="1836">
        <v>44418</v>
      </c>
      <c r="E317" s="1837"/>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8" t="s">
        <v>1679</v>
      </c>
      <c r="C318" s="1839"/>
      <c r="D318" s="1836">
        <f>D317+70</f>
        <v>44488</v>
      </c>
      <c r="E318" s="1837"/>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8">
        <f>SUM(I322/1000)</f>
        <v>2.6420079260237703E-3</v>
      </c>
      <c r="K322" s="1829"/>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8">
        <f>SUM(I323/1000)</f>
        <v>3.1704095112285243E-3</v>
      </c>
      <c r="K323" s="1829"/>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8">
        <f>SUM(I324/1000)</f>
        <v>1.1529722589167732E-3</v>
      </c>
      <c r="K324" s="1829"/>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8">
        <f>SUM(I325/1000)</f>
        <v>8.6129458388374915E-4</v>
      </c>
      <c r="K325" s="1829"/>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8">
        <f t="shared" ref="J326:J348" si="3354">SUM(I326/1000)</f>
        <v>2.1931307793923317E-3</v>
      </c>
      <c r="K326" s="1829"/>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8">
        <f t="shared" si="3354"/>
        <v>2.1690885072655152E-3</v>
      </c>
      <c r="K327" s="1829"/>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8">
        <f t="shared" si="3354"/>
        <v>5.9709379128137206E-4</v>
      </c>
      <c r="K328" s="1829"/>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8">
        <v>1</v>
      </c>
      <c r="K329" s="1829"/>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8">
        <f t="shared" si="3354"/>
        <v>1.8863936591809718E-3</v>
      </c>
      <c r="K330" s="1829"/>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8">
        <f t="shared" si="3354"/>
        <v>1.0568031704095079E-3</v>
      </c>
      <c r="K331" s="1829"/>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8">
        <f t="shared" si="3354"/>
        <v>1.2349537648612908E-3</v>
      </c>
      <c r="K332" s="1829"/>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8">
        <f t="shared" si="3354"/>
        <v>1.2349537648612908E-3</v>
      </c>
      <c r="K333" s="1829"/>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8">
        <f t="shared" si="3354"/>
        <v>1.5931307793923333E-3</v>
      </c>
      <c r="K334" s="1829"/>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8">
        <f t="shared" si="3354"/>
        <v>8.7978863936591552E-3</v>
      </c>
      <c r="K335" s="1829"/>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8">
        <f t="shared" si="3354"/>
        <v>1.0568031704095079E-3</v>
      </c>
      <c r="K336" s="1829"/>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8">
        <f t="shared" si="3354"/>
        <v>2.3772787318361885E-3</v>
      </c>
      <c r="K337" s="1829"/>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8">
        <f t="shared" si="3354"/>
        <v>1.847820343461025E-3</v>
      </c>
      <c r="K338" s="1829"/>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8">
        <f t="shared" si="3354"/>
        <v>1.9117569352708002E-3</v>
      </c>
      <c r="K339" s="1829"/>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8">
        <f t="shared" si="3354"/>
        <v>2.0536327608982764E-3</v>
      </c>
      <c r="K340" s="1829"/>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8">
        <f t="shared" si="3354"/>
        <v>2.04623513870541E-3</v>
      </c>
      <c r="K341" s="1829"/>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8">
        <f t="shared" si="3354"/>
        <v>2.3664464993394911E-3</v>
      </c>
      <c r="K342" s="1829"/>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8">
        <f t="shared" si="3354"/>
        <v>1.9601056803170351E-3</v>
      </c>
      <c r="K343" s="1829"/>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8">
        <f t="shared" si="3354"/>
        <v>1.8076618229854635E-3</v>
      </c>
      <c r="K344" s="1829"/>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8">
        <f t="shared" si="3354"/>
        <v>7.6192866578599506E-4</v>
      </c>
      <c r="K345" s="1829"/>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8">
        <f t="shared" si="3354"/>
        <v>2.6420079260237703E-3</v>
      </c>
      <c r="K346" s="1829"/>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8">
        <f t="shared" si="3354"/>
        <v>2.6420079260237703E-3</v>
      </c>
      <c r="K347" s="1829"/>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8">
        <f t="shared" si="3354"/>
        <v>2.6420079260237703E-3</v>
      </c>
      <c r="K348" s="1829"/>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56"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55" priority="420" stopIfTrue="1" operator="lessThan">
      <formula>TODAY()</formula>
    </cfRule>
  </conditionalFormatting>
  <conditionalFormatting sqref="DJ34:DL49 DJ54:DL69 DJ74:DL89 DJ94:DL109 DJ114:DL129 DJ134:DL149 DJ154:DL169 DJ174:DL189 DJ194:DL209 DJ214:DL229 DJ235:DL249 DJ255:DL269 DJ275:DL290">
    <cfRule type="cellIs" dxfId="54" priority="34" operator="equal">
      <formula>0</formula>
    </cfRule>
  </conditionalFormatting>
  <conditionalFormatting sqref="GN14:GP28 GN54:GP69 GN74:GP89 GN94:GP109 GN114:GP129 GN134:GP149 GN154:GP169 GN174:GP189 GN194:GP209 GN214:GP229 GN234:GP249 GN254:GP269 GN274:GP290 GN34:GP49">
    <cfRule type="cellIs" dxfId="53" priority="33" operator="equal">
      <formula>0</formula>
    </cfRule>
  </conditionalFormatting>
  <conditionalFormatting sqref="IN14:IP28 IN34:IP49 IN274:IP290 IN254:IP269 IN234:IP249 IN214:IP229 IN194:IP209 IN174:IP189 IN154:IP169 IN134:IP149 IN114:IP129 IN94:IP109 IN74:IP89 IN54:IP69">
    <cfRule type="cellIs" dxfId="52" priority="32" operator="equal">
      <formula>0</formula>
    </cfRule>
  </conditionalFormatting>
  <conditionalFormatting sqref="KN14:KP28 KN54:KP69 KN74:KP89 KN94:KP109 KN114:KP129 KN134:KP149 KN154:KP169 KN174:KP189 KN194:KP209 KN214:KP229 KN234:KP249 KN254:KP269 KN274:KP290 KN34:KP49">
    <cfRule type="cellIs" dxfId="51" priority="31" operator="equal">
      <formula>0</formula>
    </cfRule>
  </conditionalFormatting>
  <conditionalFormatting sqref="MN14:MP28 MN34:MP49 MN274:MP290 MN254:MP269 MN234:MP249 MN214:MP229 MN194:MP209 MN174:MP189 MN154:MP169 MN134:MP149 MN114:MP129 MN94:MP109 MN74:MP89 MN54:MP69">
    <cfRule type="cellIs" dxfId="50" priority="30" operator="equal">
      <formula>0</formula>
    </cfRule>
  </conditionalFormatting>
  <conditionalFormatting sqref="CN333:CQ333">
    <cfRule type="cellIs" dxfId="49" priority="29" operator="equal">
      <formula>0</formula>
    </cfRule>
  </conditionalFormatting>
  <conditionalFormatting sqref="EM34:EY49 EM274:EY290 EM254:EY269 EM234:EY249 EM214:EY229 EM194:EY209 EM174:EY189 EM154:EY169 EM134:EY149 EM114:EY129 EM94:EY109 EM74:EY89 EM54:EY69">
    <cfRule type="cellIs" dxfId="48" priority="28" operator="equal">
      <formula>0</formula>
    </cfRule>
  </conditionalFormatting>
  <conditionalFormatting sqref="BW234:DI234 DM234">
    <cfRule type="cellIs" dxfId="47" priority="27" operator="equal">
      <formula>0</formula>
    </cfRule>
  </conditionalFormatting>
  <conditionalFormatting sqref="DJ234:DL234">
    <cfRule type="cellIs" dxfId="46" priority="26" operator="equal">
      <formula>0</formula>
    </cfRule>
  </conditionalFormatting>
  <conditionalFormatting sqref="BW254:DI254 DM254">
    <cfRule type="cellIs" dxfId="45" priority="25" operator="equal">
      <formula>0</formula>
    </cfRule>
  </conditionalFormatting>
  <conditionalFormatting sqref="DJ254:DL254">
    <cfRule type="cellIs" dxfId="44" priority="24" operator="equal">
      <formula>0</formula>
    </cfRule>
  </conditionalFormatting>
  <conditionalFormatting sqref="BW274:DI274 DM274">
    <cfRule type="cellIs" dxfId="43" priority="23" operator="equal">
      <formula>0</formula>
    </cfRule>
  </conditionalFormatting>
  <conditionalFormatting sqref="DJ274:DL274">
    <cfRule type="cellIs" dxfId="42" priority="22" operator="equal">
      <formula>0</formula>
    </cfRule>
  </conditionalFormatting>
  <conditionalFormatting sqref="BW347:CQ347">
    <cfRule type="cellIs" dxfId="41" priority="20" operator="equal">
      <formula>0</formula>
    </cfRule>
  </conditionalFormatting>
  <conditionalFormatting sqref="BW334:CQ334">
    <cfRule type="cellIs" dxfId="40" priority="19" operator="equal">
      <formula>0</formula>
    </cfRule>
  </conditionalFormatting>
  <conditionalFormatting sqref="BW335:CQ335">
    <cfRule type="cellIs" dxfId="39" priority="18" operator="equal">
      <formula>0</formula>
    </cfRule>
  </conditionalFormatting>
  <conditionalFormatting sqref="BW348:CQ348">
    <cfRule type="cellIs" dxfId="38" priority="17" operator="equal">
      <formula>0</formula>
    </cfRule>
  </conditionalFormatting>
  <conditionalFormatting sqref="BW320:CQ320">
    <cfRule type="cellIs" dxfId="37" priority="16" operator="equal">
      <formula>0</formula>
    </cfRule>
  </conditionalFormatting>
  <conditionalFormatting sqref="BW319:CQ319">
    <cfRule type="cellIs" dxfId="36" priority="15" operator="equal">
      <formula>0</formula>
    </cfRule>
  </conditionalFormatting>
  <conditionalFormatting sqref="BW389:CQ399 BW405:CQ415 BW430:CQ430 BW446:CQ498">
    <cfRule type="cellIs" dxfId="35" priority="14" operator="equal">
      <formula>0</formula>
    </cfRule>
  </conditionalFormatting>
  <conditionalFormatting sqref="BW400:CQ400">
    <cfRule type="cellIs" dxfId="34" priority="13" operator="equal">
      <formula>0</formula>
    </cfRule>
  </conditionalFormatting>
  <conditionalFormatting sqref="BW401:CQ403">
    <cfRule type="cellIs" dxfId="33" priority="12" operator="equal">
      <formula>0</formula>
    </cfRule>
  </conditionalFormatting>
  <conditionalFormatting sqref="BW404:CQ404">
    <cfRule type="cellIs" dxfId="32" priority="11" operator="equal">
      <formula>0</formula>
    </cfRule>
  </conditionalFormatting>
  <conditionalFormatting sqref="FA398:GQ499 HA398:IQ499 JA398:KQ499 LA398:MQ499">
    <cfRule type="cellIs" dxfId="31" priority="1" operator="equal">
      <formula>0</formula>
    </cfRule>
  </conditionalFormatting>
  <conditionalFormatting sqref="BW415:CQ415">
    <cfRule type="cellIs" dxfId="30" priority="10" operator="equal">
      <formula>0</formula>
    </cfRule>
  </conditionalFormatting>
  <conditionalFormatting sqref="BW416:CQ429">
    <cfRule type="cellIs" dxfId="29" priority="9" operator="equal">
      <formula>0</formula>
    </cfRule>
  </conditionalFormatting>
  <conditionalFormatting sqref="BW416:CQ429">
    <cfRule type="cellIs" dxfId="28" priority="8" operator="equal">
      <formula>0</formula>
    </cfRule>
  </conditionalFormatting>
  <conditionalFormatting sqref="BW431:CQ431">
    <cfRule type="cellIs" dxfId="27" priority="7" operator="equal">
      <formula>0</formula>
    </cfRule>
  </conditionalFormatting>
  <conditionalFormatting sqref="BW431:CQ431">
    <cfRule type="cellIs" dxfId="26" priority="6" operator="equal">
      <formula>0</formula>
    </cfRule>
  </conditionalFormatting>
  <conditionalFormatting sqref="BW432:CQ445">
    <cfRule type="cellIs" dxfId="25" priority="2" operator="equal">
      <formula>0</formula>
    </cfRule>
  </conditionalFormatting>
  <conditionalFormatting sqref="BW432:CQ445">
    <cfRule type="cellIs" dxfId="24"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workbookViewId="0">
      <selection activeCell="D12" sqref="D12"/>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row>
    <row r="5" spans="1:2" customFormat="1" ht="15.75" customHeight="1" x14ac:dyDescent="0.35">
      <c r="A5" s="159"/>
      <c r="B5" s="538" t="s">
        <v>2762</v>
      </c>
    </row>
    <row r="6" spans="1:2" customFormat="1" ht="15.75" customHeight="1" x14ac:dyDescent="0.35">
      <c r="A6" s="159"/>
      <c r="B6" s="538"/>
    </row>
    <row r="7" spans="1:2" customFormat="1" ht="15.75" customHeight="1" x14ac:dyDescent="0.25">
      <c r="A7" s="159"/>
      <c r="B7" s="159"/>
    </row>
    <row r="8" spans="1:2" customFormat="1" ht="15.75" customHeight="1" x14ac:dyDescent="0.35">
      <c r="A8" s="159"/>
      <c r="B8" s="538" t="s">
        <v>2740</v>
      </c>
    </row>
    <row r="9" spans="1:2" customFormat="1" ht="15.75" customHeight="1" x14ac:dyDescent="0.35">
      <c r="A9" s="159"/>
      <c r="B9" s="538" t="s">
        <v>2739</v>
      </c>
    </row>
    <row r="10" spans="1:2" customFormat="1" ht="15.75" customHeight="1" x14ac:dyDescent="0.25">
      <c r="A10" s="159"/>
      <c r="B10" s="159"/>
    </row>
    <row r="11" spans="1:2" customFormat="1" ht="15.75" customHeight="1" x14ac:dyDescent="0.35">
      <c r="A11" s="159"/>
      <c r="B11" s="538" t="s">
        <v>2742</v>
      </c>
    </row>
    <row r="12" spans="1:2" customFormat="1" ht="21" x14ac:dyDescent="0.35">
      <c r="A12" s="159"/>
      <c r="B12" s="538" t="s">
        <v>2738</v>
      </c>
    </row>
    <row r="13" spans="1:2" customFormat="1" ht="15.75" customHeight="1" x14ac:dyDescent="0.35">
      <c r="A13" s="159"/>
      <c r="B13" s="538" t="s">
        <v>2681</v>
      </c>
    </row>
    <row r="14" spans="1:2" customFormat="1" ht="15.75" customHeight="1" x14ac:dyDescent="0.35">
      <c r="A14" s="159"/>
      <c r="B14" s="538" t="s">
        <v>2741</v>
      </c>
    </row>
    <row r="15" spans="1:2" customFormat="1" ht="15.75" customHeight="1" x14ac:dyDescent="0.35">
      <c r="A15" s="159"/>
      <c r="B15" s="538" t="s">
        <v>2743</v>
      </c>
    </row>
    <row r="16" spans="1:2" customFormat="1" ht="15.75" customHeight="1" x14ac:dyDescent="0.35">
      <c r="A16" s="159"/>
      <c r="B16" s="538" t="s">
        <v>2744</v>
      </c>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R72"/>
  <sheetViews>
    <sheetView zoomScaleNormal="100" workbookViewId="0">
      <selection activeCell="F7" sqref="F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2593</v>
      </c>
    </row>
    <row r="2" spans="2:34" ht="10.5" customHeight="1" x14ac:dyDescent="0.25">
      <c r="D2">
        <v>50</v>
      </c>
      <c r="G2">
        <v>30.5</v>
      </c>
      <c r="K2">
        <v>70</v>
      </c>
    </row>
    <row r="3" spans="2:34" ht="22.5" customHeight="1" x14ac:dyDescent="0.25">
      <c r="Q3" t="s">
        <v>2710</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1828</v>
      </c>
      <c r="AH12" s="1814"/>
    </row>
    <row r="13" spans="2:34" ht="22.5" customHeight="1" x14ac:dyDescent="0.25">
      <c r="Q13" t="s">
        <v>1827</v>
      </c>
      <c r="AH13" s="1814"/>
    </row>
    <row r="14" spans="2:34" ht="22.5" customHeight="1" x14ac:dyDescent="0.25">
      <c r="F14" t="s">
        <v>2693</v>
      </c>
      <c r="L14">
        <v>43</v>
      </c>
      <c r="Q14" t="s">
        <v>266</v>
      </c>
      <c r="AH14" s="1814"/>
    </row>
    <row r="15" spans="2:34" ht="22.5" customHeight="1" x14ac:dyDescent="0.25">
      <c r="J15">
        <v>1.5</v>
      </c>
      <c r="K15">
        <v>14</v>
      </c>
      <c r="Q15" t="s">
        <v>267</v>
      </c>
      <c r="AH15" s="1814"/>
    </row>
    <row r="16" spans="2:34" ht="22.5" customHeight="1" x14ac:dyDescent="0.25">
      <c r="C16">
        <v>29</v>
      </c>
      <c r="F16">
        <v>4</v>
      </c>
      <c r="Q16" t="s">
        <v>264</v>
      </c>
      <c r="AH16" s="1814"/>
    </row>
    <row r="17" spans="26:122" ht="22.5" customHeight="1" x14ac:dyDescent="0.25">
      <c r="Z17">
        <v>1</v>
      </c>
      <c r="AC17" t="s">
        <v>2754</v>
      </c>
      <c r="AF17">
        <v>2</v>
      </c>
      <c r="AH17" s="1814"/>
      <c r="AI17" t="s">
        <v>2755</v>
      </c>
      <c r="AM17">
        <v>3</v>
      </c>
      <c r="AP17" t="s">
        <v>2761</v>
      </c>
      <c r="AV17">
        <v>4</v>
      </c>
      <c r="AZ17" t="s">
        <v>2758</v>
      </c>
      <c r="BG17">
        <v>5</v>
      </c>
      <c r="BK17" t="s">
        <v>2759</v>
      </c>
      <c r="BS17">
        <v>6</v>
      </c>
      <c r="BV17" t="s">
        <v>2756</v>
      </c>
      <c r="CD17">
        <v>7</v>
      </c>
      <c r="CH17" t="s">
        <v>2757</v>
      </c>
      <c r="CT17">
        <v>8</v>
      </c>
      <c r="CW17" t="s">
        <v>2760</v>
      </c>
    </row>
    <row r="18" spans="26:122" ht="22.5" customHeight="1" x14ac:dyDescent="0.25">
      <c r="AB18" t="s">
        <v>2752</v>
      </c>
      <c r="AH18" s="1814" t="s">
        <v>2753</v>
      </c>
      <c r="AP18" t="s">
        <v>2751</v>
      </c>
      <c r="AY18" t="s">
        <v>2750</v>
      </c>
      <c r="BJ18" t="s">
        <v>2749</v>
      </c>
      <c r="BV18" t="s">
        <v>2747</v>
      </c>
      <c r="CH18" t="s">
        <v>2745</v>
      </c>
      <c r="CX18" t="s">
        <v>2746</v>
      </c>
      <c r="DJ18" t="s">
        <v>2748</v>
      </c>
    </row>
    <row r="19" spans="26:122"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row>
    <row r="20" spans="26:122" ht="9.75" customHeight="1" x14ac:dyDescent="0.25">
      <c r="Z20">
        <v>1</v>
      </c>
    </row>
    <row r="21" spans="26:122" ht="10.5" customHeight="1" x14ac:dyDescent="0.25"/>
    <row r="22" spans="26:122" ht="11.25" customHeight="1" x14ac:dyDescent="0.25"/>
    <row r="23" spans="26:122" ht="11.25" customHeight="1" x14ac:dyDescent="0.25"/>
    <row r="24" spans="26:122" ht="11.25" customHeight="1" x14ac:dyDescent="0.25"/>
    <row r="25" spans="26:122" ht="11.25" customHeight="1" x14ac:dyDescent="0.25"/>
    <row r="26" spans="26:122" ht="11.25" customHeight="1" x14ac:dyDescent="0.25"/>
    <row r="27" spans="26:122" ht="11.25" customHeight="1" x14ac:dyDescent="0.25"/>
    <row r="28" spans="26:122" ht="11.25" customHeight="1" x14ac:dyDescent="0.25"/>
    <row r="29" spans="26:122" ht="11.25" customHeight="1" x14ac:dyDescent="0.25"/>
    <row r="30" spans="26:122" ht="11.25" customHeight="1" x14ac:dyDescent="0.25"/>
    <row r="31" spans="26:122" ht="11.25" customHeight="1" x14ac:dyDescent="0.25">
      <c r="Z31">
        <v>12</v>
      </c>
    </row>
    <row r="32" spans="26:122"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C6BA-9B13-4DD7-9E91-F0508C36101E}">
  <sheetPr>
    <pageSetUpPr fitToPage="1"/>
  </sheetPr>
  <dimension ref="B1:DS120"/>
  <sheetViews>
    <sheetView zoomScaleNormal="100" workbookViewId="0">
      <selection activeCell="L9" sqref="L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H8" sqref="H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DD41-D227-4CE8-A83C-D87F2E7EDA89}">
  <sheetPr>
    <pageSetUpPr fitToPage="1"/>
  </sheetPr>
  <dimension ref="B1:DS120"/>
  <sheetViews>
    <sheetView zoomScaleNormal="100" workbookViewId="0">
      <selection activeCell="AC5" sqref="AC5"/>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1" t="s">
        <v>2624</v>
      </c>
      <c r="J3" s="1829"/>
      <c r="L3" s="2091" t="s">
        <v>254</v>
      </c>
      <c r="M3" s="1829"/>
      <c r="O3" s="2091" t="s">
        <v>253</v>
      </c>
      <c r="P3" s="1829"/>
      <c r="X3" s="2091" t="s">
        <v>2628</v>
      </c>
      <c r="Y3" s="1829"/>
      <c r="AA3" s="2094" t="s">
        <v>2625</v>
      </c>
      <c r="AB3" s="2095"/>
      <c r="AC3" s="2095"/>
      <c r="AG3" s="2092" t="s">
        <v>247</v>
      </c>
      <c r="AH3" s="2093"/>
      <c r="AI3" s="2093"/>
      <c r="AJ3" s="2093"/>
      <c r="AK3" s="2093"/>
      <c r="AM3" s="2092" t="s">
        <v>247</v>
      </c>
      <c r="AN3" s="2093"/>
      <c r="AO3" s="2093"/>
      <c r="AP3" s="2093"/>
      <c r="AQ3" s="2093"/>
      <c r="AS3"/>
      <c r="AT3"/>
    </row>
    <row r="4" spans="1:46" s="152" customFormat="1" ht="12" customHeight="1" outlineLevel="1" x14ac:dyDescent="0.25">
      <c r="A4" s="1727"/>
      <c r="B4" s="1710">
        <v>2</v>
      </c>
      <c r="C4" s="1703" t="s">
        <v>247</v>
      </c>
      <c r="D4" s="1718" t="s">
        <v>2620</v>
      </c>
      <c r="E4" s="1715" t="s">
        <v>2635</v>
      </c>
      <c r="F4" s="1722"/>
      <c r="H4" s="1712"/>
      <c r="I4" s="2096" t="s">
        <v>2597</v>
      </c>
      <c r="J4" s="2096"/>
      <c r="L4" s="2096" t="s">
        <v>2598</v>
      </c>
      <c r="M4" s="2096"/>
      <c r="O4" s="2096" t="s">
        <v>2599</v>
      </c>
      <c r="P4" s="2096"/>
      <c r="R4" s="2096" t="s">
        <v>2600</v>
      </c>
      <c r="S4" s="2096"/>
      <c r="U4" s="2096" t="s">
        <v>2601</v>
      </c>
      <c r="V4" s="2096"/>
      <c r="X4" s="2096" t="s">
        <v>2602</v>
      </c>
      <c r="Y4" s="2096"/>
      <c r="AA4" s="2096" t="s">
        <v>2603</v>
      </c>
      <c r="AB4" s="2096"/>
      <c r="AD4" s="2096" t="s">
        <v>2604</v>
      </c>
      <c r="AE4" s="2096"/>
      <c r="AG4" s="2096" t="s">
        <v>2605</v>
      </c>
      <c r="AH4" s="2096"/>
      <c r="AI4" s="1700">
        <v>15</v>
      </c>
      <c r="AJ4" s="2096" t="s">
        <v>2607</v>
      </c>
      <c r="AK4" s="2096"/>
      <c r="AM4" s="2096" t="s">
        <v>2606</v>
      </c>
      <c r="AN4" s="2096"/>
      <c r="AO4" s="1700">
        <v>15</v>
      </c>
      <c r="AP4" s="2096" t="s">
        <v>2608</v>
      </c>
      <c r="AQ4" s="2096"/>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6" t="s">
        <v>2596</v>
      </c>
      <c r="J6" s="2096"/>
      <c r="K6" s="1700">
        <v>40</v>
      </c>
      <c r="L6" s="2096" t="s">
        <v>2595</v>
      </c>
      <c r="M6" s="2096"/>
      <c r="O6" s="2096" t="s">
        <v>2618</v>
      </c>
      <c r="P6" s="2096"/>
      <c r="Q6" s="1700">
        <v>40</v>
      </c>
      <c r="R6" s="2096" t="s">
        <v>2617</v>
      </c>
      <c r="S6" s="2096"/>
      <c r="U6" s="2096" t="s">
        <v>2616</v>
      </c>
      <c r="V6" s="2096"/>
      <c r="W6" s="1700">
        <v>30</v>
      </c>
      <c r="X6" s="2096" t="s">
        <v>2615</v>
      </c>
      <c r="Y6" s="2096"/>
      <c r="AA6" s="2098" t="s">
        <v>2614</v>
      </c>
      <c r="AB6" s="2098"/>
      <c r="AD6" s="2098" t="s">
        <v>2613</v>
      </c>
      <c r="AE6" s="2098"/>
      <c r="AG6" s="2097" t="s">
        <v>2612</v>
      </c>
      <c r="AH6" s="2097"/>
      <c r="AJ6" s="2097" t="s">
        <v>2611</v>
      </c>
      <c r="AK6" s="2097"/>
      <c r="AM6" s="2096" t="s">
        <v>2610</v>
      </c>
      <c r="AN6" s="2096"/>
      <c r="AO6" s="1700">
        <v>15</v>
      </c>
      <c r="AP6" s="2096" t="s">
        <v>2609</v>
      </c>
      <c r="AQ6" s="2096"/>
      <c r="AR6" s="1713"/>
      <c r="AS6"/>
      <c r="AT6"/>
    </row>
    <row r="7" spans="1:46" s="152" customFormat="1" ht="12" customHeight="1" outlineLevel="1" x14ac:dyDescent="0.25">
      <c r="A7" s="1727"/>
      <c r="B7" s="1707">
        <v>5</v>
      </c>
      <c r="C7" s="1703" t="s">
        <v>247</v>
      </c>
      <c r="D7" s="1718" t="s">
        <v>2620</v>
      </c>
      <c r="E7" s="1715" t="s">
        <v>2635</v>
      </c>
      <c r="F7" s="1722"/>
      <c r="I7" s="2092" t="s">
        <v>257</v>
      </c>
      <c r="J7" s="2093"/>
      <c r="K7" s="2093"/>
      <c r="L7" s="2093"/>
      <c r="M7" s="2093"/>
      <c r="O7" s="2092" t="s">
        <v>256</v>
      </c>
      <c r="P7" s="2093"/>
      <c r="Q7" s="2093"/>
      <c r="R7" s="2093"/>
      <c r="S7" s="2093"/>
      <c r="U7" s="2092" t="s">
        <v>2623</v>
      </c>
      <c r="V7" s="2093"/>
      <c r="W7" s="2093"/>
      <c r="X7" s="2093"/>
      <c r="Y7" s="2093"/>
      <c r="AM7" s="2092" t="s">
        <v>247</v>
      </c>
      <c r="AN7" s="2093"/>
      <c r="AO7" s="2093"/>
      <c r="AP7" s="2093"/>
      <c r="AQ7" s="2093"/>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2" t="s">
        <v>1987</v>
      </c>
      <c r="C2" s="2103"/>
      <c r="D2" s="2103"/>
      <c r="E2" s="2103"/>
      <c r="F2" s="2103"/>
      <c r="G2" s="2104"/>
      <c r="H2" s="2102" t="s">
        <v>1988</v>
      </c>
      <c r="I2" s="2103"/>
      <c r="J2" s="2103"/>
      <c r="K2" s="2103"/>
      <c r="L2" s="2103"/>
      <c r="M2" s="2104"/>
      <c r="N2" s="2102" t="s">
        <v>1989</v>
      </c>
      <c r="O2" s="2103"/>
      <c r="P2" s="2103"/>
      <c r="Q2" s="2103"/>
      <c r="R2" s="2103"/>
      <c r="S2" s="2103"/>
      <c r="T2" s="2103"/>
      <c r="U2" s="2103"/>
      <c r="V2" s="2103"/>
      <c r="W2" s="2103"/>
      <c r="X2" s="2103"/>
      <c r="Y2" s="2103"/>
      <c r="Z2" s="2103"/>
      <c r="AA2" s="2103"/>
      <c r="AB2" s="2103"/>
      <c r="AC2" s="2104"/>
    </row>
    <row r="3" spans="2:53" ht="15" customHeight="1" x14ac:dyDescent="0.25">
      <c r="B3" s="2105" t="s">
        <v>1990</v>
      </c>
      <c r="C3" s="2106"/>
      <c r="D3" s="2107">
        <v>23</v>
      </c>
      <c r="E3" s="2107"/>
      <c r="F3" s="2108" t="s">
        <v>1991</v>
      </c>
      <c r="G3" s="2109"/>
      <c r="H3" s="2105" t="s">
        <v>1992</v>
      </c>
      <c r="I3" s="2106"/>
      <c r="J3" s="2110">
        <f>((610.7*10^((7.5*(D3))/(237.3+(D3))))/1000)*(D5/100)</f>
        <v>1.9100015553764977</v>
      </c>
      <c r="K3" s="2110"/>
      <c r="L3" s="2111" t="s">
        <v>1993</v>
      </c>
      <c r="M3" s="2111"/>
      <c r="N3" s="2112" t="s">
        <v>1994</v>
      </c>
      <c r="O3" s="2113"/>
      <c r="P3" s="2113" t="s">
        <v>1993</v>
      </c>
      <c r="Q3" s="2113"/>
      <c r="R3" s="2114" t="s">
        <v>1995</v>
      </c>
      <c r="S3" s="2114"/>
      <c r="T3" s="2114"/>
      <c r="U3" s="2114"/>
      <c r="V3" s="2114"/>
      <c r="W3" s="2114"/>
      <c r="X3" s="2115" t="s">
        <v>1996</v>
      </c>
      <c r="Y3" s="2115"/>
      <c r="Z3" s="2115"/>
      <c r="AA3" s="2115"/>
      <c r="AB3" s="2115"/>
      <c r="AC3" s="2116"/>
    </row>
    <row r="4" spans="2:53" ht="15" customHeight="1" x14ac:dyDescent="0.25">
      <c r="B4" s="2105" t="s">
        <v>1997</v>
      </c>
      <c r="C4" s="2106"/>
      <c r="D4" s="2107">
        <v>20</v>
      </c>
      <c r="E4" s="2107"/>
      <c r="F4" s="2109" t="s">
        <v>1991</v>
      </c>
      <c r="G4" s="2109"/>
      <c r="H4" s="2105" t="s">
        <v>1998</v>
      </c>
      <c r="I4" s="2106"/>
      <c r="J4" s="2110">
        <f>(610.7*10^((7.5*D4/(237.3+D4))))/1000</f>
        <v>2.3377872707169831</v>
      </c>
      <c r="K4" s="2110"/>
      <c r="L4" s="2111" t="s">
        <v>1993</v>
      </c>
      <c r="M4" s="2111"/>
      <c r="N4" s="2123" t="s">
        <v>1999</v>
      </c>
      <c r="O4" s="2099"/>
      <c r="P4" s="2099" t="s">
        <v>1993</v>
      </c>
      <c r="Q4" s="2099"/>
      <c r="R4" s="2100" t="s">
        <v>2000</v>
      </c>
      <c r="S4" s="2100"/>
      <c r="T4" s="2100"/>
      <c r="U4" s="2100"/>
      <c r="V4" s="2100"/>
      <c r="W4" s="2100"/>
      <c r="X4" s="2100"/>
      <c r="Y4" s="2100"/>
      <c r="Z4" s="2100"/>
      <c r="AA4" s="2100"/>
      <c r="AB4" s="2100"/>
      <c r="AC4" s="2101"/>
    </row>
    <row r="5" spans="2:53" ht="15" customHeight="1" x14ac:dyDescent="0.25">
      <c r="B5" s="2105" t="s">
        <v>2001</v>
      </c>
      <c r="C5" s="2106"/>
      <c r="D5" s="2107">
        <v>68</v>
      </c>
      <c r="E5" s="2107"/>
      <c r="F5" s="2109" t="s">
        <v>848</v>
      </c>
      <c r="G5" s="2109"/>
      <c r="H5" s="2121"/>
      <c r="I5" s="2122"/>
      <c r="J5" s="2122"/>
      <c r="K5" s="2122"/>
      <c r="L5" s="2111"/>
      <c r="M5" s="2111"/>
      <c r="N5" s="2117" t="s">
        <v>2002</v>
      </c>
      <c r="O5" s="2118"/>
      <c r="P5" s="2118" t="s">
        <v>1993</v>
      </c>
      <c r="Q5" s="2118"/>
      <c r="R5" s="2119" t="s">
        <v>2003</v>
      </c>
      <c r="S5" s="2119"/>
      <c r="T5" s="2119"/>
      <c r="U5" s="2119"/>
      <c r="V5" s="2119"/>
      <c r="W5" s="2119"/>
      <c r="X5" s="2119"/>
      <c r="Y5" s="2119"/>
      <c r="Z5" s="2119"/>
      <c r="AA5" s="2119"/>
      <c r="AB5" s="2119"/>
      <c r="AC5" s="2120"/>
    </row>
    <row r="6" spans="2:53" ht="15" customHeight="1" x14ac:dyDescent="0.25">
      <c r="B6" s="2139"/>
      <c r="C6" s="2140"/>
      <c r="D6" s="2140"/>
      <c r="E6" s="2140"/>
      <c r="F6" s="2140"/>
      <c r="G6" s="2141"/>
      <c r="H6" s="2105" t="s">
        <v>2004</v>
      </c>
      <c r="I6" s="2106"/>
      <c r="J6" s="2142">
        <f>J4-J3</f>
        <v>0.42778571534048537</v>
      </c>
      <c r="K6" s="2142"/>
      <c r="L6" s="2111" t="s">
        <v>1993</v>
      </c>
      <c r="M6" s="2111"/>
      <c r="N6" s="2130" t="s">
        <v>2005</v>
      </c>
      <c r="O6" s="2131"/>
      <c r="P6" s="2131" t="s">
        <v>1993</v>
      </c>
      <c r="Q6" s="2131"/>
      <c r="R6" s="2132" t="s">
        <v>2006</v>
      </c>
      <c r="S6" s="2132"/>
      <c r="T6" s="2132"/>
      <c r="U6" s="2132"/>
      <c r="V6" s="2132"/>
      <c r="W6" s="2132"/>
      <c r="X6" s="2132"/>
      <c r="Y6" s="2132"/>
      <c r="Z6" s="2132"/>
      <c r="AA6" s="2132"/>
      <c r="AB6" s="2132"/>
      <c r="AC6" s="2133"/>
    </row>
    <row r="7" spans="2:53" ht="15" customHeight="1" thickBot="1" x14ac:dyDescent="0.3">
      <c r="B7" s="2126"/>
      <c r="C7" s="2127"/>
      <c r="D7" s="2127"/>
      <c r="E7" s="2127"/>
      <c r="F7" s="2127"/>
      <c r="G7" s="2128"/>
      <c r="H7" s="2126"/>
      <c r="I7" s="2127"/>
      <c r="J7" s="2127"/>
      <c r="K7" s="2127"/>
      <c r="L7" s="2127"/>
      <c r="M7" s="2128"/>
      <c r="N7" s="2134" t="s">
        <v>2007</v>
      </c>
      <c r="O7" s="2135"/>
      <c r="P7" s="2135" t="s">
        <v>1993</v>
      </c>
      <c r="Q7" s="2135"/>
      <c r="R7" s="2136" t="s">
        <v>2008</v>
      </c>
      <c r="S7" s="2136"/>
      <c r="T7" s="2136"/>
      <c r="U7" s="2136"/>
      <c r="V7" s="2136"/>
      <c r="W7" s="2136"/>
      <c r="X7" s="2137" t="s">
        <v>2009</v>
      </c>
      <c r="Y7" s="2137"/>
      <c r="Z7" s="2137"/>
      <c r="AA7" s="2137"/>
      <c r="AB7" s="2137"/>
      <c r="AC7" s="2138"/>
    </row>
    <row r="8" spans="2:53" ht="15" customHeight="1" x14ac:dyDescent="0.25">
      <c r="B8" s="2129" t="s">
        <v>2010</v>
      </c>
      <c r="C8" s="2129"/>
      <c r="D8" s="2129"/>
      <c r="E8" s="2129"/>
      <c r="F8" s="2129"/>
      <c r="G8" s="2129"/>
      <c r="H8" s="2129"/>
      <c r="I8" s="2129"/>
      <c r="J8" s="2129"/>
      <c r="K8" s="2129"/>
      <c r="L8" s="2129"/>
      <c r="M8" s="2129"/>
      <c r="N8" s="2129"/>
      <c r="O8" s="2129"/>
      <c r="P8" s="2129"/>
      <c r="Q8" s="2129"/>
      <c r="R8" s="2129"/>
      <c r="S8" s="2129"/>
      <c r="T8" s="2129"/>
      <c r="U8" s="2129"/>
      <c r="V8" s="2129"/>
      <c r="W8" s="2129"/>
      <c r="X8" s="2129"/>
      <c r="Y8" s="2129"/>
      <c r="Z8" s="2129"/>
      <c r="AA8" s="2129"/>
      <c r="AB8" s="2129"/>
      <c r="AC8" s="2129"/>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4" t="s">
        <v>2011</v>
      </c>
      <c r="C10" s="2124"/>
      <c r="D10" s="2124"/>
      <c r="E10" s="4">
        <f>$D$3-$D$4</f>
        <v>3</v>
      </c>
      <c r="F10" s="2125" t="s">
        <v>2012</v>
      </c>
      <c r="G10" s="2125"/>
      <c r="H10" s="2125"/>
      <c r="I10" s="2125"/>
      <c r="J10" s="2125"/>
      <c r="K10" s="2125"/>
      <c r="L10" s="2125"/>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Feed Chart</vt:lpstr>
      <vt:lpstr>User1</vt:lpstr>
      <vt:lpstr>User2</vt:lpstr>
      <vt:lpstr>User3</vt:lpstr>
      <vt:lpstr>$</vt:lpstr>
      <vt:lpstr>Room</vt:lpstr>
      <vt:lpstr>Room (4)</vt:lpstr>
      <vt:lpstr>Room (2)</vt:lpstr>
      <vt:lpstr>Room (3)</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2021-06-14T14:31:01Z</dcterms:modified>
</cp:coreProperties>
</file>