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4086c263a75ea8/Documents/"/>
    </mc:Choice>
  </mc:AlternateContent>
  <xr:revisionPtr revIDLastSave="18" documentId="10_ncr:0_{2711A7DB-C5BB-47AA-9A3E-BF387A354F8A}" xr6:coauthVersionLast="41" xr6:coauthVersionMax="41" xr10:uidLastSave="{B09218A2-D45D-40FE-8FE0-78782E7F3D5D}"/>
  <bookViews>
    <workbookView xWindow="-98" yWindow="-98" windowWidth="19396" windowHeight="10395" xr2:uid="{25EC90CA-1FB3-4370-AA4D-5F4DD4B85F8A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7" i="1"/>
  <c r="E47" i="1"/>
  <c r="K11" i="2"/>
  <c r="D45" i="1" s="1"/>
  <c r="E43" i="1"/>
  <c r="D43" i="1"/>
  <c r="C40" i="1"/>
  <c r="D38" i="1"/>
  <c r="C38" i="1"/>
  <c r="I36" i="1"/>
  <c r="I35" i="1" s="1"/>
  <c r="F36" i="1"/>
  <c r="C35" i="1"/>
  <c r="E23" i="1"/>
  <c r="E19" i="1"/>
  <c r="K23" i="2"/>
  <c r="D21" i="1" s="1"/>
  <c r="C10" i="1"/>
  <c r="I5" i="1"/>
  <c r="G23" i="2"/>
  <c r="G22" i="2"/>
  <c r="G17" i="2"/>
  <c r="G18" i="2"/>
  <c r="G19" i="2"/>
  <c r="G20" i="2"/>
  <c r="G21" i="2"/>
  <c r="G16" i="2"/>
  <c r="G15" i="2"/>
  <c r="G14" i="2"/>
  <c r="G11" i="2"/>
  <c r="F15" i="2"/>
  <c r="F16" i="2"/>
  <c r="F17" i="2"/>
  <c r="F18" i="2"/>
  <c r="F19" i="2"/>
  <c r="F20" i="2"/>
  <c r="F21" i="2"/>
  <c r="F14" i="2"/>
  <c r="G10" i="2"/>
  <c r="G7" i="2"/>
  <c r="G8" i="2"/>
  <c r="G9" i="2"/>
  <c r="G6" i="2"/>
  <c r="G5" i="2"/>
  <c r="F6" i="2"/>
  <c r="F7" i="2"/>
  <c r="F8" i="2"/>
  <c r="F9" i="2"/>
  <c r="F5" i="2"/>
  <c r="C12" i="1" l="1"/>
  <c r="D19" i="1" s="1"/>
  <c r="D23" i="1" s="1"/>
  <c r="C5" i="1" l="1"/>
  <c r="F6" i="1"/>
  <c r="I6" i="1" s="1"/>
  <c r="C6" i="1"/>
</calcChain>
</file>

<file path=xl/sharedStrings.xml><?xml version="1.0" encoding="utf-8"?>
<sst xmlns="http://schemas.openxmlformats.org/spreadsheetml/2006/main" count="51" uniqueCount="24">
  <si>
    <t>mass</t>
  </si>
  <si>
    <t>kb</t>
  </si>
  <si>
    <t>h</t>
  </si>
  <si>
    <t>T</t>
  </si>
  <si>
    <t>N_A/A</t>
  </si>
  <si>
    <t>M/A</t>
  </si>
  <si>
    <t>S_2D/R</t>
  </si>
  <si>
    <t>Methane</t>
  </si>
  <si>
    <t>C</t>
  </si>
  <si>
    <t>H</t>
  </si>
  <si>
    <t>distance^2</t>
  </si>
  <si>
    <t>1amu</t>
  </si>
  <si>
    <t>md_i^2</t>
  </si>
  <si>
    <t>total</t>
  </si>
  <si>
    <t>Ethane</t>
  </si>
  <si>
    <t>I/n2</t>
  </si>
  <si>
    <t>S_rot</t>
  </si>
  <si>
    <t>S_trans/R</t>
  </si>
  <si>
    <t>Total</t>
  </si>
  <si>
    <t>S1</t>
  </si>
  <si>
    <t>theta</t>
  </si>
  <si>
    <t>Trans</t>
  </si>
  <si>
    <t>Vib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</si>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</sst>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26FB-6DC4-4647-89FB-C0D8399AB7EB}">
  <dimension ref="A4:I47"/>
  <sheetViews>
    <sheetView tabSelected="1" topLeftCell="A28" workbookViewId="0">
      <selection activeCell="E44" sqref="E44"/>
    </sheetView>
  </sheetViews>
  <sheetFormatPr defaultRowHeight="14.25" x14ac:dyDescent="0.45"/>
  <cols>
    <col min="3" max="3" width="11.59765625" bestFit="1" customWidth="1"/>
    <col min="6" max="6" width="11.59765625" bestFit="1" customWidth="1"/>
    <col min="14" max="14" width="11.59765625" bestFit="1" customWidth="1"/>
  </cols>
  <sheetData>
    <row r="4" spans="1:9" x14ac:dyDescent="0.45">
      <c r="A4" t="s">
        <v>14</v>
      </c>
    </row>
    <row r="5" spans="1:9" x14ac:dyDescent="0.45">
      <c r="B5" t="s">
        <v>0</v>
      </c>
      <c r="C5">
        <f>(24+6)/6.023E+23/1000</f>
        <v>4.9809065249875481E-26</v>
      </c>
      <c r="E5" t="s">
        <v>4</v>
      </c>
      <c r="F5" s="1">
        <v>2.33E+17</v>
      </c>
      <c r="H5" t="s">
        <v>19</v>
      </c>
      <c r="I5">
        <f>LN(EXP(1)/I6)</f>
        <v>5.1622655589661148</v>
      </c>
    </row>
    <row r="6" spans="1:9" x14ac:dyDescent="0.45">
      <c r="B6" t="s">
        <v>1</v>
      </c>
      <c r="C6">
        <f>8.314/6.023E+23</f>
        <v>1.3803752282915491E-23</v>
      </c>
      <c r="E6" t="s">
        <v>5</v>
      </c>
      <c r="F6">
        <f>1/(SQRT(3)*2.778*2.778*1E-20/2)</f>
        <v>1.4962524877654518E+19</v>
      </c>
      <c r="H6" t="s">
        <v>20</v>
      </c>
      <c r="I6" s="1">
        <f>F5/F6</f>
        <v>1.5572238101870705E-2</v>
      </c>
    </row>
    <row r="7" spans="1:9" x14ac:dyDescent="0.45">
      <c r="B7" t="s">
        <v>2</v>
      </c>
      <c r="C7" s="1">
        <v>6.6259999999999998E-34</v>
      </c>
    </row>
    <row r="8" spans="1:9" x14ac:dyDescent="0.45">
      <c r="B8" t="s">
        <v>3</v>
      </c>
      <c r="C8">
        <v>106</v>
      </c>
    </row>
    <row r="10" spans="1:9" x14ac:dyDescent="0.45">
      <c r="B10" t="s">
        <v>6</v>
      </c>
      <c r="C10" s="1">
        <f>LN((2*PI()*C5*C6*C8/C7^2)*EXP(1)/F6) - 0.6179</f>
        <v>4.6264171865798058</v>
      </c>
      <c r="D10" s="1">
        <v>0.23699999999999999</v>
      </c>
    </row>
    <row r="12" spans="1:9" x14ac:dyDescent="0.45">
      <c r="B12" t="s">
        <v>17</v>
      </c>
      <c r="C12" s="1">
        <f>C10+I5</f>
        <v>9.7886827455459198</v>
      </c>
      <c r="H12" s="1"/>
    </row>
    <row r="19" spans="3:5" x14ac:dyDescent="0.45">
      <c r="C19" t="s">
        <v>21</v>
      </c>
      <c r="D19" s="1">
        <f>C12</f>
        <v>9.7886827455459198</v>
      </c>
      <c r="E19" s="1">
        <f>D10</f>
        <v>0.23699999999999999</v>
      </c>
    </row>
    <row r="20" spans="3:5" ht="15.4" x14ac:dyDescent="0.45">
      <c r="C20" t="s">
        <v>22</v>
      </c>
      <c r="D20" s="3">
        <v>2.50526159469007</v>
      </c>
      <c r="E20" s="3">
        <v>0.66600000000000004</v>
      </c>
    </row>
    <row r="21" spans="3:5" x14ac:dyDescent="0.45">
      <c r="C21" t="s">
        <v>23</v>
      </c>
      <c r="D21">
        <f>Sheet2!K23</f>
        <v>2.6644368153815901</v>
      </c>
    </row>
    <row r="23" spans="3:5" x14ac:dyDescent="0.45">
      <c r="C23" s="2" t="s">
        <v>18</v>
      </c>
      <c r="D23" s="4">
        <f>D19+D20+D21</f>
        <v>14.95838115561758</v>
      </c>
      <c r="E23" s="4">
        <f>E19+E20+E21</f>
        <v>0.90300000000000002</v>
      </c>
    </row>
    <row r="33" spans="1:9" x14ac:dyDescent="0.45">
      <c r="A33" t="s">
        <v>7</v>
      </c>
    </row>
    <row r="35" spans="1:9" x14ac:dyDescent="0.45">
      <c r="B35" t="s">
        <v>0</v>
      </c>
      <c r="C35">
        <f>(12+4)/6.023E+23/1000</f>
        <v>2.6564834799933585E-26</v>
      </c>
      <c r="E35" t="s">
        <v>4</v>
      </c>
      <c r="F35" s="1">
        <v>3.3E+17</v>
      </c>
      <c r="H35" t="s">
        <v>19</v>
      </c>
      <c r="I35">
        <f>LN(EXP(1)/I36)</f>
        <v>4.8142113580712893</v>
      </c>
    </row>
    <row r="36" spans="1:9" x14ac:dyDescent="0.45">
      <c r="E36" t="s">
        <v>5</v>
      </c>
      <c r="F36">
        <f>1/(SQRT(3)*2.778*2.778*1E-20/2)</f>
        <v>1.4962524877654518E+19</v>
      </c>
      <c r="H36" t="s">
        <v>20</v>
      </c>
      <c r="I36" s="1">
        <f>F35/F36</f>
        <v>2.2055101174323317E-2</v>
      </c>
    </row>
    <row r="38" spans="1:9" x14ac:dyDescent="0.45">
      <c r="B38" t="s">
        <v>6</v>
      </c>
      <c r="C38">
        <f>LN((2*PI()*C35*C6*C8/C7^2)*EXP(1)/F36)  -0.6902</f>
        <v>3.9255085271574313</v>
      </c>
      <c r="D38">
        <f>0.01622</f>
        <v>1.6219999999999998E-2</v>
      </c>
    </row>
    <row r="40" spans="1:9" x14ac:dyDescent="0.45">
      <c r="B40" t="s">
        <v>17</v>
      </c>
      <c r="C40">
        <f>C38+I35</f>
        <v>8.7397198852287197</v>
      </c>
    </row>
    <row r="43" spans="1:9" x14ac:dyDescent="0.45">
      <c r="C43" t="s">
        <v>21</v>
      </c>
      <c r="D43">
        <f>C40</f>
        <v>8.7397198852287197</v>
      </c>
      <c r="E43">
        <f>D38</f>
        <v>1.6219999999999998E-2</v>
      </c>
    </row>
    <row r="44" spans="1:9" ht="15.4" x14ac:dyDescent="0.45">
      <c r="C44" t="s">
        <v>22</v>
      </c>
      <c r="D44" s="3">
        <f>0.644</f>
        <v>0.64400000000000002</v>
      </c>
      <c r="E44" s="3">
        <v>0.317</v>
      </c>
    </row>
    <row r="45" spans="1:9" x14ac:dyDescent="0.45">
      <c r="C45" t="s">
        <v>23</v>
      </c>
      <c r="D45">
        <f>Sheet2!K11</f>
        <v>0.32574533059477168</v>
      </c>
    </row>
    <row r="47" spans="1:9" x14ac:dyDescent="0.45">
      <c r="C47" s="2" t="s">
        <v>18</v>
      </c>
      <c r="D47" s="2">
        <f>D43+D45+D44</f>
        <v>9.7094652158234922</v>
      </c>
      <c r="E47" s="2">
        <f>E43+E44</f>
        <v>0.33322000000000002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62B6-2428-4F68-8175-C5CCC54F7C85}">
  <dimension ref="A1:K23"/>
  <sheetViews>
    <sheetView workbookViewId="0">
      <selection activeCell="K12" sqref="K12"/>
    </sheetView>
  </sheetViews>
  <sheetFormatPr defaultRowHeight="14.25" x14ac:dyDescent="0.45"/>
  <sheetData>
    <row r="1" spans="1:11" x14ac:dyDescent="0.45">
      <c r="G1" t="s">
        <v>11</v>
      </c>
      <c r="H1" s="1">
        <v>1.6604999999999998E-27</v>
      </c>
    </row>
    <row r="3" spans="1:11" x14ac:dyDescent="0.45">
      <c r="A3" s="2" t="s">
        <v>7</v>
      </c>
    </row>
    <row r="4" spans="1:11" x14ac:dyDescent="0.45">
      <c r="F4" t="s">
        <v>10</v>
      </c>
      <c r="G4" t="s">
        <v>12</v>
      </c>
    </row>
    <row r="5" spans="1:11" x14ac:dyDescent="0.45">
      <c r="A5" t="s">
        <v>8</v>
      </c>
      <c r="B5">
        <v>3.8611599999999999</v>
      </c>
      <c r="C5">
        <v>2.5259499999999999</v>
      </c>
      <c r="D5">
        <v>18.32516</v>
      </c>
      <c r="F5">
        <f>((B5-$B$5)^2 + (C5-$C$5)^2)*1E-20</f>
        <v>0</v>
      </c>
      <c r="G5" s="1">
        <f>12*H1*F5</f>
        <v>0</v>
      </c>
    </row>
    <row r="6" spans="1:11" x14ac:dyDescent="0.45">
      <c r="A6" t="s">
        <v>9</v>
      </c>
      <c r="B6">
        <v>4.56656</v>
      </c>
      <c r="C6">
        <v>1.8852199999999999</v>
      </c>
      <c r="D6">
        <v>18.864280000000001</v>
      </c>
      <c r="F6">
        <f t="shared" ref="F6:F9" si="0">((B6-$B$5)^2 + (C6-$C$5)^2)*1E-20</f>
        <v>9.0812409290000004E-21</v>
      </c>
      <c r="G6" s="1">
        <f>$H$1*F6</f>
        <v>1.5079400562604498E-47</v>
      </c>
    </row>
    <row r="7" spans="1:11" x14ac:dyDescent="0.45">
      <c r="A7" t="s">
        <v>9</v>
      </c>
      <c r="B7">
        <v>2.8574899999999999</v>
      </c>
      <c r="C7">
        <v>2.4140199999999998</v>
      </c>
      <c r="D7">
        <v>18.750170000000001</v>
      </c>
      <c r="F7">
        <f t="shared" si="0"/>
        <v>1.0198817938000001E-20</v>
      </c>
      <c r="G7" s="1">
        <f t="shared" ref="G7:G9" si="1">$H$1*F7</f>
        <v>1.6935137186049001E-47</v>
      </c>
    </row>
    <row r="8" spans="1:11" x14ac:dyDescent="0.45">
      <c r="A8" t="s">
        <v>9</v>
      </c>
      <c r="B8">
        <v>3.8437800000000002</v>
      </c>
      <c r="C8">
        <v>2.2256200000000002</v>
      </c>
      <c r="D8">
        <v>17.265650000000001</v>
      </c>
      <c r="F8">
        <f t="shared" si="0"/>
        <v>9.0500173299999845E-22</v>
      </c>
      <c r="G8" s="1">
        <f t="shared" si="1"/>
        <v>1.5027553776464974E-48</v>
      </c>
    </row>
    <row r="9" spans="1:11" x14ac:dyDescent="0.45">
      <c r="A9" t="s">
        <v>9</v>
      </c>
      <c r="B9">
        <v>4.1781499999999996</v>
      </c>
      <c r="C9">
        <v>3.5722499999999999</v>
      </c>
      <c r="D9">
        <v>18.39236</v>
      </c>
      <c r="F9">
        <f t="shared" si="0"/>
        <v>1.1952263500999997E-20</v>
      </c>
      <c r="G9" s="1">
        <f t="shared" si="1"/>
        <v>1.9846733543410494E-47</v>
      </c>
    </row>
    <row r="10" spans="1:11" x14ac:dyDescent="0.45">
      <c r="G10" s="1">
        <f>SUM(G5:G9)</f>
        <v>5.3364026669710499E-47</v>
      </c>
      <c r="H10" t="s">
        <v>13</v>
      </c>
    </row>
    <row r="11" spans="1:11" x14ac:dyDescent="0.45">
      <c r="F11" t="s">
        <v>15</v>
      </c>
      <c r="G11" s="1">
        <f>G10/36</f>
        <v>1.482334074158625E-48</v>
      </c>
      <c r="J11" t="s">
        <v>16</v>
      </c>
      <c r="K11">
        <f>LN(((2*PI())^3*G11*Sheet1!C6*63*EXP(1)/Sheet1!C7^2)^0.5)+ LN(0.969^0.5)</f>
        <v>0.32574533059477168</v>
      </c>
    </row>
    <row r="12" spans="1:11" x14ac:dyDescent="0.45">
      <c r="A12" s="2" t="s">
        <v>14</v>
      </c>
    </row>
    <row r="14" spans="1:11" x14ac:dyDescent="0.45">
      <c r="A14" t="s">
        <v>8</v>
      </c>
      <c r="B14">
        <v>3.8854099999999998</v>
      </c>
      <c r="C14">
        <v>2.5236100000000001</v>
      </c>
      <c r="D14">
        <v>18.338339999999999</v>
      </c>
      <c r="F14">
        <f>((B14-$B$14)^2+(C14-$C$14)^2)*1E-20</f>
        <v>0</v>
      </c>
      <c r="G14" s="1">
        <f>12*H1*F14</f>
        <v>0</v>
      </c>
    </row>
    <row r="15" spans="1:11" x14ac:dyDescent="0.45">
      <c r="A15" t="s">
        <v>8</v>
      </c>
      <c r="B15">
        <v>4.8919199999999998</v>
      </c>
      <c r="C15">
        <v>1.66282</v>
      </c>
      <c r="D15">
        <v>19.099060000000001</v>
      </c>
      <c r="F15">
        <f t="shared" ref="F15:F21" si="2">((B15-$B$14)^2+(C15-$C$14)^2)*1E-20</f>
        <v>1.7540218042000002E-20</v>
      </c>
      <c r="G15" s="1">
        <f>12*H1*F15</f>
        <v>3.4950638470489201E-46</v>
      </c>
    </row>
    <row r="16" spans="1:11" x14ac:dyDescent="0.45">
      <c r="A16" t="s">
        <v>9</v>
      </c>
      <c r="B16">
        <v>2.8687800000000001</v>
      </c>
      <c r="C16">
        <v>2.4194499999999999</v>
      </c>
      <c r="D16">
        <v>18.743549999999999</v>
      </c>
      <c r="F16">
        <f t="shared" si="2"/>
        <v>1.0443858624999995E-20</v>
      </c>
      <c r="G16" s="1">
        <f>$H$1*F16</f>
        <v>1.734202724681249E-47</v>
      </c>
    </row>
    <row r="17" spans="1:11" x14ac:dyDescent="0.45">
      <c r="A17" t="s">
        <v>9</v>
      </c>
      <c r="B17">
        <v>3.8397999999999999</v>
      </c>
      <c r="C17">
        <v>2.2359599999999999</v>
      </c>
      <c r="D17">
        <v>17.26989</v>
      </c>
      <c r="F17">
        <f t="shared" si="2"/>
        <v>8.4822794600000087E-22</v>
      </c>
      <c r="G17" s="1">
        <f t="shared" ref="G17:G21" si="3">$H$1*F17</f>
        <v>1.4084825043330013E-48</v>
      </c>
    </row>
    <row r="18" spans="1:11" x14ac:dyDescent="0.45">
      <c r="A18" t="s">
        <v>9</v>
      </c>
      <c r="B18">
        <v>4.1532799999999996</v>
      </c>
      <c r="C18">
        <v>3.5893899999999999</v>
      </c>
      <c r="D18">
        <v>18.371580000000002</v>
      </c>
      <c r="F18">
        <f t="shared" si="2"/>
        <v>1.2076413452999994E-20</v>
      </c>
      <c r="G18" s="1">
        <f t="shared" si="3"/>
        <v>2.0052884538706488E-47</v>
      </c>
    </row>
    <row r="19" spans="1:11" x14ac:dyDescent="0.45">
      <c r="A19" t="s">
        <v>9</v>
      </c>
      <c r="B19">
        <v>5.8957499999999996</v>
      </c>
      <c r="C19">
        <v>1.7297199999999999</v>
      </c>
      <c r="D19">
        <v>18.656189999999999</v>
      </c>
      <c r="F19">
        <f t="shared" si="2"/>
        <v>4.6717282476999988E-20</v>
      </c>
      <c r="G19" s="1">
        <f t="shared" si="3"/>
        <v>7.757404755305847E-47</v>
      </c>
    </row>
    <row r="20" spans="1:11" x14ac:dyDescent="0.45">
      <c r="A20" t="s">
        <v>9</v>
      </c>
      <c r="B20">
        <v>4.5994700000000002</v>
      </c>
      <c r="C20">
        <v>0.60326999999999997</v>
      </c>
      <c r="D20">
        <v>19.097049999999999</v>
      </c>
      <c r="F20">
        <f t="shared" si="2"/>
        <v>4.1975873992000012E-20</v>
      </c>
      <c r="G20" s="1">
        <f t="shared" si="3"/>
        <v>6.9700938763716013E-47</v>
      </c>
    </row>
    <row r="21" spans="1:11" x14ac:dyDescent="0.45">
      <c r="A21" t="s">
        <v>9</v>
      </c>
      <c r="B21">
        <v>4.9728899999999996</v>
      </c>
      <c r="C21">
        <v>1.98173</v>
      </c>
      <c r="D21">
        <v>20.147960000000001</v>
      </c>
      <c r="F21">
        <f t="shared" si="2"/>
        <v>1.4762466847999994E-20</v>
      </c>
      <c r="G21" s="1">
        <f t="shared" si="3"/>
        <v>2.4513076201103987E-47</v>
      </c>
    </row>
    <row r="22" spans="1:11" x14ac:dyDescent="0.45">
      <c r="G22" s="1">
        <f>SUM(G14:G21)</f>
        <v>5.6009784151262242E-46</v>
      </c>
      <c r="H22" t="s">
        <v>13</v>
      </c>
    </row>
    <row r="23" spans="1:11" x14ac:dyDescent="0.45">
      <c r="F23" t="s">
        <v>15</v>
      </c>
      <c r="G23" s="1">
        <f>G22/6</f>
        <v>9.3349640252103744E-47</v>
      </c>
      <c r="J23" t="s">
        <v>16</v>
      </c>
      <c r="K23">
        <f>LN(((2*PI())^3*G23*Sheet1!C6*106*EXP(1)/Sheet1!C7^2)^0.5) + LN(0.983^0.5)</f>
        <v>2.6644368153815901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Rangarajan</dc:creator>
  <cp:lastModifiedBy>Srinivas Rangarajan</cp:lastModifiedBy>
  <dcterms:created xsi:type="dcterms:W3CDTF">2019-03-06T02:16:01Z</dcterms:created>
  <dcterms:modified xsi:type="dcterms:W3CDTF">2019-03-26T17:54:00Z</dcterms:modified>
</cp:coreProperties>
</file>