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rthu\source\repos\thj3a\Optimizing-bus-lines-frequecy.py\"/>
    </mc:Choice>
  </mc:AlternateContent>
  <xr:revisionPtr revIDLastSave="0" documentId="13_ncr:1_{132E57B3-3371-49BD-8EB5-7CDF4F59CD17}" xr6:coauthVersionLast="47" xr6:coauthVersionMax="47" xr10:uidLastSave="{00000000-0000-0000-0000-000000000000}"/>
  <bookViews>
    <workbookView xWindow="-120" yWindow="-120" windowWidth="29040" windowHeight="15720" tabRatio="718" firstSheet="6" activeTab="12" xr2:uid="{3B4055F7-C661-4161-8396-3DA6C25D3E4B}"/>
  </bookViews>
  <sheets>
    <sheet name="AHP (1) - Dados" sheetId="27" r:id="rId1"/>
    <sheet name="AHP (1) - Conforto" sheetId="22" state="hidden" r:id="rId2"/>
    <sheet name="AHP (1) - Matriz Critérios" sheetId="26" r:id="rId3"/>
    <sheet name="AHP (1) - Matriz Subcritérios E" sheetId="25" r:id="rId4"/>
    <sheet name="AHP (1) - Matriz Subcritérios S" sheetId="28" r:id="rId5"/>
    <sheet name="AHP (1) - Matriz Subcritérios A" sheetId="29" r:id="rId6"/>
    <sheet name="AHP (1) - Matriz dos Pesos" sheetId="30" r:id="rId7"/>
    <sheet name="AHP (1) - Normalização Dados" sheetId="31" r:id="rId8"/>
    <sheet name="AHP (1) - Agregação Dados" sheetId="32" r:id="rId9"/>
    <sheet name="Disponibilidade" sheetId="37" r:id="rId10"/>
    <sheet name="Frequencias" sheetId="35" r:id="rId11"/>
    <sheet name="Linhas" sheetId="33" r:id="rId12"/>
    <sheet name="Custos" sheetId="34" r:id="rId13"/>
    <sheet name="Tecnologia" sheetId="36" r:id="rId14"/>
  </sheets>
  <definedNames>
    <definedName name="solver_adj" localSheetId="8" hidden="1">'AHP (1) - Agregação Dados'!$D$19:$F$30</definedName>
    <definedName name="solver_cvg" localSheetId="8" hidden="1">0.0001</definedName>
    <definedName name="solver_drv" localSheetId="8" hidden="1">2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'AHP (1) - Agregação Dados'!$D$19:$F$30</definedName>
    <definedName name="solver_lhs2" localSheetId="8" hidden="1">'AHP (1) - Agregação Dados'!$D$31</definedName>
    <definedName name="solver_lhs3" localSheetId="8" hidden="1">'AHP (1) - Agregação Dados'!$E$31</definedName>
    <definedName name="solver_lhs4" localSheetId="8" hidden="1">'AHP (1) - Agregação Dados'!$F$31</definedName>
    <definedName name="solver_lhs5" localSheetId="8" hidden="1">'AHP (1) - Agregação Dados'!$G$19</definedName>
    <definedName name="solver_lhs6" localSheetId="8" hidden="1">'AHP (1) - Agregação Dados'!$G$23</definedName>
    <definedName name="solver_lhs7" localSheetId="8" hidden="1">'AHP (1) - Agregação Dados'!$G$27</definedName>
    <definedName name="solver_lhs8" localSheetId="8" hidden="1">'AHP (1) - Agregação Dados'!$G$27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7</definedName>
    <definedName name="solver_nwt" localSheetId="8" hidden="1">1</definedName>
    <definedName name="solver_opt" localSheetId="8" hidden="1">'AHP (1) - Agregação Dados'!$M$31</definedName>
    <definedName name="solver_pre" localSheetId="8" hidden="1">0.000001</definedName>
    <definedName name="solver_rbv" localSheetId="8" hidden="1">2</definedName>
    <definedName name="solver_rel1" localSheetId="8" hidden="1">5</definedName>
    <definedName name="solver_rel2" localSheetId="8" hidden="1">1</definedName>
    <definedName name="solver_rel3" localSheetId="8" hidden="1">1</definedName>
    <definedName name="solver_rel4" localSheetId="8" hidden="1">1</definedName>
    <definedName name="solver_rel5" localSheetId="8" hidden="1">3</definedName>
    <definedName name="solver_rel6" localSheetId="8" hidden="1">3</definedName>
    <definedName name="solver_rel7" localSheetId="8" hidden="1">3</definedName>
    <definedName name="solver_rel8" localSheetId="8" hidden="1">2</definedName>
    <definedName name="solver_rhs1" localSheetId="8" hidden="1">"binário"</definedName>
    <definedName name="solver_rhs2" localSheetId="8" hidden="1">'AHP (1) - Agregação Dados'!$C$35</definedName>
    <definedName name="solver_rhs3" localSheetId="8" hidden="1">'AHP (1) - Agregação Dados'!$C$36</definedName>
    <definedName name="solver_rhs4" localSheetId="8" hidden="1">'AHP (1) - Agregação Dados'!$C$37</definedName>
    <definedName name="solver_rhs5" localSheetId="8" hidden="1">1</definedName>
    <definedName name="solver_rhs6" localSheetId="8" hidden="1">1</definedName>
    <definedName name="solver_rhs7" localSheetId="8" hidden="1">1</definedName>
    <definedName name="solver_rhs8" localSheetId="8" hidden="1">1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32" l="1"/>
  <c r="N10" i="32"/>
  <c r="N7" i="32"/>
  <c r="G19" i="32"/>
  <c r="E16" i="27"/>
  <c r="F31" i="32" l="1"/>
  <c r="D31" i="32"/>
  <c r="E31" i="32"/>
  <c r="G27" i="32"/>
  <c r="G23" i="32"/>
  <c r="C38" i="32"/>
  <c r="J44" i="31"/>
  <c r="G44" i="31"/>
  <c r="J45" i="31"/>
  <c r="J46" i="31"/>
  <c r="J47" i="31"/>
  <c r="J48" i="31"/>
  <c r="J49" i="31"/>
  <c r="J50" i="31"/>
  <c r="J51" i="31"/>
  <c r="J52" i="31"/>
  <c r="J53" i="31"/>
  <c r="J54" i="31"/>
  <c r="J55" i="31"/>
  <c r="J56" i="31"/>
  <c r="J57" i="31"/>
  <c r="J58" i="31"/>
  <c r="J59" i="31"/>
  <c r="J60" i="31"/>
  <c r="J61" i="31"/>
  <c r="J62" i="31"/>
  <c r="J63" i="31"/>
  <c r="J64" i="31"/>
  <c r="J65" i="31"/>
  <c r="J66" i="31"/>
  <c r="J67" i="31"/>
  <c r="J68" i="31"/>
  <c r="J69" i="31"/>
  <c r="J70" i="31"/>
  <c r="J71" i="31"/>
  <c r="J72" i="31"/>
  <c r="J73" i="31"/>
  <c r="J74" i="31"/>
  <c r="J75" i="31"/>
  <c r="J76" i="31"/>
  <c r="J77" i="31"/>
  <c r="J78" i="31"/>
  <c r="J79" i="31"/>
  <c r="E54" i="31"/>
  <c r="E68" i="31"/>
  <c r="F68" i="31"/>
  <c r="H68" i="31"/>
  <c r="I68" i="31"/>
  <c r="E69" i="31"/>
  <c r="F69" i="31"/>
  <c r="H69" i="31"/>
  <c r="I69" i="31"/>
  <c r="E70" i="31"/>
  <c r="F70" i="31"/>
  <c r="H70" i="31"/>
  <c r="I70" i="31"/>
  <c r="E71" i="31"/>
  <c r="F71" i="31"/>
  <c r="H71" i="31"/>
  <c r="I71" i="31"/>
  <c r="E72" i="31"/>
  <c r="F72" i="31"/>
  <c r="H72" i="31"/>
  <c r="I72" i="31"/>
  <c r="E73" i="31"/>
  <c r="F73" i="31"/>
  <c r="H73" i="31"/>
  <c r="I73" i="31"/>
  <c r="E74" i="31"/>
  <c r="F74" i="31"/>
  <c r="H74" i="31"/>
  <c r="I74" i="31"/>
  <c r="E75" i="31"/>
  <c r="F75" i="31"/>
  <c r="H75" i="31"/>
  <c r="I75" i="31"/>
  <c r="E76" i="31"/>
  <c r="F76" i="31"/>
  <c r="H76" i="31"/>
  <c r="I76" i="31"/>
  <c r="E77" i="31"/>
  <c r="F77" i="31"/>
  <c r="H77" i="31"/>
  <c r="I77" i="31"/>
  <c r="E78" i="31"/>
  <c r="F78" i="31"/>
  <c r="H78" i="31"/>
  <c r="I78" i="31"/>
  <c r="E79" i="31"/>
  <c r="F79" i="31"/>
  <c r="H79" i="31"/>
  <c r="I79" i="31"/>
  <c r="E56" i="31"/>
  <c r="F56" i="31"/>
  <c r="H56" i="31"/>
  <c r="I56" i="31"/>
  <c r="E57" i="31"/>
  <c r="F57" i="31"/>
  <c r="H57" i="31"/>
  <c r="I57" i="31"/>
  <c r="E58" i="31"/>
  <c r="F58" i="31"/>
  <c r="H58" i="31"/>
  <c r="I58" i="31"/>
  <c r="E59" i="31"/>
  <c r="F59" i="31"/>
  <c r="H59" i="31"/>
  <c r="I59" i="31"/>
  <c r="E60" i="31"/>
  <c r="F60" i="31"/>
  <c r="H60" i="31"/>
  <c r="I60" i="31"/>
  <c r="E61" i="31"/>
  <c r="F61" i="31"/>
  <c r="H61" i="31"/>
  <c r="I61" i="31"/>
  <c r="E62" i="31"/>
  <c r="F62" i="31"/>
  <c r="H62" i="31"/>
  <c r="I62" i="31"/>
  <c r="E63" i="31"/>
  <c r="F63" i="31"/>
  <c r="H63" i="31"/>
  <c r="I63" i="31"/>
  <c r="E64" i="31"/>
  <c r="F64" i="31"/>
  <c r="H64" i="31"/>
  <c r="I64" i="31"/>
  <c r="E65" i="31"/>
  <c r="F65" i="31"/>
  <c r="H65" i="31"/>
  <c r="I65" i="31"/>
  <c r="E66" i="31"/>
  <c r="F66" i="31"/>
  <c r="H66" i="31"/>
  <c r="I66" i="31"/>
  <c r="E67" i="31"/>
  <c r="F67" i="31"/>
  <c r="H67" i="31"/>
  <c r="I67" i="31"/>
  <c r="E45" i="31"/>
  <c r="F45" i="31"/>
  <c r="H45" i="31"/>
  <c r="I45" i="31"/>
  <c r="E46" i="31"/>
  <c r="F46" i="31"/>
  <c r="H46" i="31"/>
  <c r="I46" i="31"/>
  <c r="E47" i="31"/>
  <c r="F47" i="31"/>
  <c r="H47" i="31"/>
  <c r="I47" i="31"/>
  <c r="E48" i="31"/>
  <c r="F48" i="31"/>
  <c r="H48" i="31"/>
  <c r="I48" i="31"/>
  <c r="E49" i="31"/>
  <c r="F49" i="31"/>
  <c r="H49" i="31"/>
  <c r="I49" i="31"/>
  <c r="E50" i="31"/>
  <c r="F50" i="31"/>
  <c r="H50" i="31"/>
  <c r="I50" i="31"/>
  <c r="E51" i="31"/>
  <c r="F51" i="31"/>
  <c r="H51" i="31"/>
  <c r="I51" i="31"/>
  <c r="E52" i="31"/>
  <c r="F52" i="31"/>
  <c r="H52" i="31"/>
  <c r="I52" i="31"/>
  <c r="E53" i="31"/>
  <c r="F53" i="31"/>
  <c r="H53" i="31"/>
  <c r="I53" i="31"/>
  <c r="F54" i="31"/>
  <c r="H54" i="31"/>
  <c r="I54" i="31"/>
  <c r="E55" i="31"/>
  <c r="F55" i="31"/>
  <c r="H55" i="31"/>
  <c r="I55" i="31"/>
  <c r="E44" i="31"/>
  <c r="F44" i="31"/>
  <c r="H44" i="31"/>
  <c r="I44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5" i="27"/>
  <c r="F26" i="27"/>
  <c r="F27" i="27"/>
  <c r="F24" i="27"/>
  <c r="F21" i="27"/>
  <c r="F22" i="27"/>
  <c r="F23" i="27"/>
  <c r="F20" i="27"/>
  <c r="F17" i="27"/>
  <c r="F18" i="27"/>
  <c r="F19" i="27"/>
  <c r="F16" i="27"/>
  <c r="D6" i="29"/>
  <c r="D10" i="29" s="1"/>
  <c r="C5" i="29"/>
  <c r="D11" i="29" l="1"/>
  <c r="D12" i="29" s="1"/>
  <c r="C6" i="29"/>
  <c r="C10" i="29" s="1"/>
  <c r="G10" i="22"/>
  <c r="G11" i="22" s="1"/>
  <c r="G9" i="22"/>
  <c r="G8" i="22"/>
  <c r="G7" i="22"/>
  <c r="G6" i="22"/>
  <c r="G5" i="22"/>
  <c r="F10" i="22"/>
  <c r="F9" i="22"/>
  <c r="F8" i="22"/>
  <c r="F7" i="22"/>
  <c r="F6" i="22"/>
  <c r="F5" i="22"/>
  <c r="E10" i="22"/>
  <c r="E9" i="22"/>
  <c r="E8" i="22"/>
  <c r="E7" i="22"/>
  <c r="E6" i="22"/>
  <c r="E5" i="22"/>
  <c r="G4" i="22"/>
  <c r="F4" i="22"/>
  <c r="E4" i="22"/>
  <c r="D6" i="28"/>
  <c r="D11" i="28" s="1"/>
  <c r="C5" i="28"/>
  <c r="C6" i="28" s="1"/>
  <c r="C10" i="28" s="1"/>
  <c r="E10" i="27"/>
  <c r="J51" i="27"/>
  <c r="I51" i="27"/>
  <c r="G51" i="27"/>
  <c r="E51" i="27"/>
  <c r="J50" i="27"/>
  <c r="I50" i="27"/>
  <c r="G50" i="27"/>
  <c r="E50" i="27"/>
  <c r="J49" i="27"/>
  <c r="I49" i="27"/>
  <c r="G49" i="27"/>
  <c r="E49" i="27"/>
  <c r="J48" i="27"/>
  <c r="I48" i="27"/>
  <c r="G48" i="27"/>
  <c r="E48" i="27"/>
  <c r="J47" i="27"/>
  <c r="I47" i="27"/>
  <c r="G47" i="27"/>
  <c r="E47" i="27"/>
  <c r="J46" i="27"/>
  <c r="I46" i="27"/>
  <c r="G46" i="27"/>
  <c r="E46" i="27"/>
  <c r="J45" i="27"/>
  <c r="I45" i="27"/>
  <c r="G45" i="27"/>
  <c r="E45" i="27"/>
  <c r="J44" i="27"/>
  <c r="I44" i="27"/>
  <c r="G44" i="27"/>
  <c r="E44" i="27"/>
  <c r="J43" i="27"/>
  <c r="I43" i="27"/>
  <c r="G43" i="27"/>
  <c r="E43" i="27"/>
  <c r="J42" i="27"/>
  <c r="I42" i="27"/>
  <c r="G42" i="27"/>
  <c r="E42" i="27"/>
  <c r="J41" i="27"/>
  <c r="I41" i="27"/>
  <c r="G41" i="27"/>
  <c r="E41" i="27"/>
  <c r="J40" i="27"/>
  <c r="I40" i="27"/>
  <c r="G40" i="27"/>
  <c r="E40" i="27"/>
  <c r="J39" i="27"/>
  <c r="I39" i="27"/>
  <c r="G39" i="27"/>
  <c r="E39" i="27"/>
  <c r="J38" i="27"/>
  <c r="I38" i="27"/>
  <c r="G38" i="27"/>
  <c r="E38" i="27"/>
  <c r="J37" i="27"/>
  <c r="I37" i="27"/>
  <c r="G37" i="27"/>
  <c r="E37" i="27"/>
  <c r="J36" i="27"/>
  <c r="I36" i="27"/>
  <c r="G36" i="27"/>
  <c r="E36" i="27"/>
  <c r="J35" i="27"/>
  <c r="I35" i="27"/>
  <c r="G35" i="27"/>
  <c r="E35" i="27"/>
  <c r="J34" i="27"/>
  <c r="I34" i="27"/>
  <c r="G34" i="27"/>
  <c r="E34" i="27"/>
  <c r="J33" i="27"/>
  <c r="I33" i="27"/>
  <c r="G33" i="27"/>
  <c r="E33" i="27"/>
  <c r="J32" i="27"/>
  <c r="I32" i="27"/>
  <c r="G32" i="27"/>
  <c r="E32" i="27"/>
  <c r="J31" i="27"/>
  <c r="I31" i="27"/>
  <c r="G31" i="27"/>
  <c r="E31" i="27"/>
  <c r="J30" i="27"/>
  <c r="I30" i="27"/>
  <c r="G30" i="27"/>
  <c r="E30" i="27"/>
  <c r="J29" i="27"/>
  <c r="I29" i="27"/>
  <c r="G29" i="27"/>
  <c r="E29" i="27"/>
  <c r="J28" i="27"/>
  <c r="I28" i="27"/>
  <c r="H16" i="31" s="1"/>
  <c r="G28" i="27"/>
  <c r="E28" i="27"/>
  <c r="J27" i="27"/>
  <c r="I27" i="27"/>
  <c r="G27" i="27"/>
  <c r="E27" i="27"/>
  <c r="J26" i="27"/>
  <c r="I26" i="27"/>
  <c r="G26" i="27"/>
  <c r="E26" i="27"/>
  <c r="J25" i="27"/>
  <c r="I25" i="27"/>
  <c r="G25" i="27"/>
  <c r="E25" i="27"/>
  <c r="J24" i="27"/>
  <c r="I24" i="27"/>
  <c r="G24" i="27"/>
  <c r="E24" i="27"/>
  <c r="J23" i="27"/>
  <c r="I23" i="27"/>
  <c r="G23" i="27"/>
  <c r="E23" i="27"/>
  <c r="J22" i="27"/>
  <c r="I22" i="27"/>
  <c r="G22" i="27"/>
  <c r="E22" i="27"/>
  <c r="J21" i="27"/>
  <c r="I21" i="27"/>
  <c r="G21" i="27"/>
  <c r="E21" i="27"/>
  <c r="J20" i="27"/>
  <c r="I20" i="27"/>
  <c r="G20" i="27"/>
  <c r="E20" i="27"/>
  <c r="J19" i="27"/>
  <c r="I19" i="27"/>
  <c r="G19" i="27"/>
  <c r="E19" i="27"/>
  <c r="J18" i="27"/>
  <c r="I6" i="31" s="1"/>
  <c r="I18" i="27"/>
  <c r="G18" i="27"/>
  <c r="E18" i="27"/>
  <c r="J17" i="27"/>
  <c r="I17" i="27"/>
  <c r="G17" i="27"/>
  <c r="E17" i="27"/>
  <c r="J16" i="27"/>
  <c r="I4" i="31" s="1"/>
  <c r="I16" i="27"/>
  <c r="G16" i="27"/>
  <c r="E4" i="31"/>
  <c r="K11" i="27"/>
  <c r="K51" i="27" s="1"/>
  <c r="K10" i="27"/>
  <c r="K47" i="27" s="1"/>
  <c r="K9" i="27"/>
  <c r="K43" i="27" s="1"/>
  <c r="C5" i="26"/>
  <c r="E7" i="26"/>
  <c r="D6" i="26"/>
  <c r="C6" i="26"/>
  <c r="C5" i="25"/>
  <c r="F34" i="22"/>
  <c r="F35" i="22"/>
  <c r="F36" i="22"/>
  <c r="F33" i="22"/>
  <c r="E34" i="22"/>
  <c r="E35" i="22"/>
  <c r="E36" i="22"/>
  <c r="E33" i="22"/>
  <c r="E26" i="22"/>
  <c r="E27" i="22"/>
  <c r="E28" i="22"/>
  <c r="E25" i="22"/>
  <c r="F26" i="22"/>
  <c r="F27" i="22"/>
  <c r="F28" i="22"/>
  <c r="F25" i="22"/>
  <c r="F19" i="22"/>
  <c r="F11" i="22"/>
  <c r="F20" i="22"/>
  <c r="F18" i="22"/>
  <c r="F17" i="22"/>
  <c r="E20" i="22"/>
  <c r="E19" i="22"/>
  <c r="E18" i="22"/>
  <c r="E17" i="22"/>
  <c r="H6" i="31" l="1"/>
  <c r="H10" i="31"/>
  <c r="H26" i="31"/>
  <c r="H34" i="31"/>
  <c r="H36" i="31"/>
  <c r="H38" i="31"/>
  <c r="I8" i="31"/>
  <c r="I12" i="31"/>
  <c r="I16" i="31"/>
  <c r="I18" i="31"/>
  <c r="I20" i="31"/>
  <c r="I24" i="31"/>
  <c r="I26" i="31"/>
  <c r="I30" i="31"/>
  <c r="I34" i="31"/>
  <c r="I36" i="31"/>
  <c r="I38" i="31"/>
  <c r="G36" i="22"/>
  <c r="G18" i="22"/>
  <c r="G17" i="22"/>
  <c r="H16" i="27" s="1"/>
  <c r="G33" i="22"/>
  <c r="H40" i="27" s="1"/>
  <c r="G26" i="22"/>
  <c r="H29" i="27" s="1"/>
  <c r="G25" i="22"/>
  <c r="H28" i="27" s="1"/>
  <c r="G35" i="22"/>
  <c r="H42" i="27" s="1"/>
  <c r="G28" i="22"/>
  <c r="G34" i="22"/>
  <c r="H41" i="27" s="1"/>
  <c r="G19" i="22"/>
  <c r="G27" i="22"/>
  <c r="H30" i="27" s="1"/>
  <c r="G20" i="22"/>
  <c r="H19" i="27" s="1"/>
  <c r="E5" i="31"/>
  <c r="E7" i="31"/>
  <c r="E9" i="31"/>
  <c r="E11" i="31"/>
  <c r="E13" i="31"/>
  <c r="E15" i="31"/>
  <c r="E17" i="31"/>
  <c r="E19" i="31"/>
  <c r="E21" i="31"/>
  <c r="E23" i="31"/>
  <c r="E25" i="31"/>
  <c r="E27" i="31"/>
  <c r="E29" i="31"/>
  <c r="E31" i="31"/>
  <c r="E33" i="31"/>
  <c r="E35" i="31"/>
  <c r="E37" i="31"/>
  <c r="E39" i="31"/>
  <c r="H33" i="22"/>
  <c r="H44" i="27" s="1"/>
  <c r="H17" i="22"/>
  <c r="H20" i="27" s="1"/>
  <c r="H26" i="22"/>
  <c r="H35" i="22"/>
  <c r="H46" i="27" s="1"/>
  <c r="H18" i="22"/>
  <c r="H21" i="27" s="1"/>
  <c r="H25" i="22"/>
  <c r="H32" i="27" s="1"/>
  <c r="H20" i="22"/>
  <c r="H23" i="27" s="1"/>
  <c r="H28" i="22"/>
  <c r="H35" i="27" s="1"/>
  <c r="H19" i="22"/>
  <c r="H22" i="27" s="1"/>
  <c r="H27" i="22"/>
  <c r="H34" i="27" s="1"/>
  <c r="H36" i="22"/>
  <c r="H47" i="27" s="1"/>
  <c r="H34" i="22"/>
  <c r="H45" i="27" s="1"/>
  <c r="I10" i="31"/>
  <c r="I14" i="31"/>
  <c r="I22" i="31"/>
  <c r="I28" i="31"/>
  <c r="I32" i="31"/>
  <c r="I26" i="22"/>
  <c r="H37" i="27" s="1"/>
  <c r="I20" i="22"/>
  <c r="H27" i="27" s="1"/>
  <c r="I35" i="22"/>
  <c r="I17" i="22"/>
  <c r="H24" i="27" s="1"/>
  <c r="I28" i="22"/>
  <c r="H39" i="27" s="1"/>
  <c r="I34" i="22"/>
  <c r="H49" i="27" s="1"/>
  <c r="I25" i="22"/>
  <c r="H36" i="27" s="1"/>
  <c r="I27" i="22"/>
  <c r="H38" i="27" s="1"/>
  <c r="I36" i="22"/>
  <c r="H51" i="27" s="1"/>
  <c r="I18" i="22"/>
  <c r="I33" i="22"/>
  <c r="H48" i="27" s="1"/>
  <c r="I19" i="22"/>
  <c r="H26" i="27" s="1"/>
  <c r="H8" i="31"/>
  <c r="H14" i="31"/>
  <c r="H20" i="31"/>
  <c r="H30" i="31"/>
  <c r="H5" i="31"/>
  <c r="H7" i="31"/>
  <c r="H13" i="31"/>
  <c r="H17" i="31"/>
  <c r="H23" i="31"/>
  <c r="H31" i="31"/>
  <c r="H35" i="31"/>
  <c r="I9" i="31"/>
  <c r="I23" i="31"/>
  <c r="H4" i="31"/>
  <c r="H18" i="31"/>
  <c r="H24" i="31"/>
  <c r="H32" i="31"/>
  <c r="H11" i="31"/>
  <c r="H15" i="31"/>
  <c r="H21" i="31"/>
  <c r="H27" i="31"/>
  <c r="H33" i="31"/>
  <c r="H39" i="31"/>
  <c r="I5" i="31"/>
  <c r="I11" i="31"/>
  <c r="I15" i="31"/>
  <c r="I17" i="31"/>
  <c r="I21" i="31"/>
  <c r="I27" i="31"/>
  <c r="I29" i="31"/>
  <c r="I33" i="31"/>
  <c r="I35" i="31"/>
  <c r="I37" i="31"/>
  <c r="I39" i="31"/>
  <c r="E6" i="31"/>
  <c r="E8" i="31"/>
  <c r="E10" i="31"/>
  <c r="E12" i="31"/>
  <c r="E14" i="31"/>
  <c r="E16" i="31"/>
  <c r="E18" i="31"/>
  <c r="E20" i="31"/>
  <c r="E22" i="31"/>
  <c r="E24" i="31"/>
  <c r="E26" i="31"/>
  <c r="E28" i="31"/>
  <c r="E30" i="31"/>
  <c r="E32" i="31"/>
  <c r="E34" i="31"/>
  <c r="E36" i="31"/>
  <c r="E38" i="31"/>
  <c r="H12" i="31"/>
  <c r="H22" i="31"/>
  <c r="H28" i="31"/>
  <c r="H9" i="31"/>
  <c r="H19" i="31"/>
  <c r="H25" i="31"/>
  <c r="H29" i="31"/>
  <c r="H37" i="31"/>
  <c r="I7" i="31"/>
  <c r="I13" i="31"/>
  <c r="I19" i="31"/>
  <c r="I25" i="31"/>
  <c r="I31" i="31"/>
  <c r="C11" i="29"/>
  <c r="C17" i="29" s="1"/>
  <c r="D12" i="30" s="1"/>
  <c r="C16" i="29"/>
  <c r="D11" i="30" s="1"/>
  <c r="C12" i="29"/>
  <c r="D10" i="28"/>
  <c r="D12" i="28" s="1"/>
  <c r="C11" i="28"/>
  <c r="C17" i="28" s="1"/>
  <c r="D9" i="30" s="1"/>
  <c r="K18" i="27"/>
  <c r="K22" i="27"/>
  <c r="K26" i="27"/>
  <c r="K30" i="27"/>
  <c r="K34" i="27"/>
  <c r="K38" i="27"/>
  <c r="K42" i="27"/>
  <c r="K46" i="27"/>
  <c r="K50" i="27"/>
  <c r="K17" i="27"/>
  <c r="K21" i="27"/>
  <c r="K25" i="27"/>
  <c r="K29" i="27"/>
  <c r="K33" i="27"/>
  <c r="K37" i="27"/>
  <c r="K41" i="27"/>
  <c r="K45" i="27"/>
  <c r="J33" i="31" s="1"/>
  <c r="K49" i="27"/>
  <c r="K16" i="27"/>
  <c r="J39" i="31" s="1"/>
  <c r="K20" i="27"/>
  <c r="K24" i="27"/>
  <c r="K28" i="27"/>
  <c r="K32" i="27"/>
  <c r="K36" i="27"/>
  <c r="K40" i="27"/>
  <c r="J28" i="31" s="1"/>
  <c r="K44" i="27"/>
  <c r="K48" i="27"/>
  <c r="K19" i="27"/>
  <c r="K23" i="27"/>
  <c r="K27" i="27"/>
  <c r="K31" i="27"/>
  <c r="K35" i="27"/>
  <c r="K39" i="27"/>
  <c r="E12" i="26"/>
  <c r="E11" i="26"/>
  <c r="E13" i="26"/>
  <c r="D7" i="26"/>
  <c r="C7" i="26"/>
  <c r="C11" i="26" s="1"/>
  <c r="D6" i="25"/>
  <c r="D11" i="25" s="1"/>
  <c r="C6" i="25"/>
  <c r="C11" i="25" s="1"/>
  <c r="H33" i="27"/>
  <c r="H17" i="27"/>
  <c r="H50" i="27"/>
  <c r="H43" i="27"/>
  <c r="H31" i="27"/>
  <c r="H25" i="27"/>
  <c r="H18" i="27"/>
  <c r="E11" i="22"/>
  <c r="G10" i="31" l="1"/>
  <c r="G50" i="31" s="1"/>
  <c r="G30" i="31"/>
  <c r="G70" i="31" s="1"/>
  <c r="G16" i="31"/>
  <c r="G56" i="31" s="1"/>
  <c r="G27" i="31"/>
  <c r="G67" i="31" s="1"/>
  <c r="G17" i="31"/>
  <c r="G57" i="31" s="1"/>
  <c r="G11" i="31"/>
  <c r="G51" i="31" s="1"/>
  <c r="G12" i="31"/>
  <c r="G52" i="31" s="1"/>
  <c r="G32" i="31"/>
  <c r="G72" i="31" s="1"/>
  <c r="G23" i="31"/>
  <c r="G63" i="31" s="1"/>
  <c r="G15" i="31"/>
  <c r="G55" i="31" s="1"/>
  <c r="G36" i="31"/>
  <c r="G76" i="31" s="1"/>
  <c r="J27" i="31"/>
  <c r="J6" i="31"/>
  <c r="J23" i="31"/>
  <c r="G7" i="31"/>
  <c r="G47" i="31" s="1"/>
  <c r="J30" i="31"/>
  <c r="G9" i="31"/>
  <c r="G49" i="31" s="1"/>
  <c r="J21" i="31"/>
  <c r="G38" i="31"/>
  <c r="G78" i="31" s="1"/>
  <c r="J38" i="31"/>
  <c r="G34" i="31"/>
  <c r="G74" i="31" s="1"/>
  <c r="J34" i="31"/>
  <c r="J20" i="31"/>
  <c r="J35" i="31"/>
  <c r="J15" i="31"/>
  <c r="G20" i="31"/>
  <c r="G60" i="31" s="1"/>
  <c r="G37" i="31"/>
  <c r="G77" i="31" s="1"/>
  <c r="G25" i="31"/>
  <c r="G65" i="31" s="1"/>
  <c r="J11" i="31"/>
  <c r="J12" i="31"/>
  <c r="J17" i="31"/>
  <c r="J22" i="31"/>
  <c r="G14" i="31"/>
  <c r="G54" i="31" s="1"/>
  <c r="J16" i="31"/>
  <c r="G8" i="31"/>
  <c r="G48" i="31" s="1"/>
  <c r="G19" i="31"/>
  <c r="G59" i="31" s="1"/>
  <c r="G26" i="31"/>
  <c r="G66" i="31" s="1"/>
  <c r="G22" i="31"/>
  <c r="G62" i="31" s="1"/>
  <c r="J7" i="31"/>
  <c r="J8" i="31"/>
  <c r="J13" i="31"/>
  <c r="J18" i="31"/>
  <c r="G5" i="31"/>
  <c r="G45" i="31" s="1"/>
  <c r="J24" i="31"/>
  <c r="J25" i="31"/>
  <c r="G35" i="31"/>
  <c r="G75" i="31" s="1"/>
  <c r="J26" i="31"/>
  <c r="G4" i="31"/>
  <c r="G33" i="31"/>
  <c r="G73" i="31" s="1"/>
  <c r="G21" i="31"/>
  <c r="G61" i="31" s="1"/>
  <c r="J4" i="31"/>
  <c r="J9" i="31"/>
  <c r="J14" i="31"/>
  <c r="G6" i="31"/>
  <c r="G46" i="31" s="1"/>
  <c r="G18" i="31"/>
  <c r="G58" i="31" s="1"/>
  <c r="G13" i="31"/>
  <c r="G53" i="31" s="1"/>
  <c r="J29" i="31"/>
  <c r="J19" i="31"/>
  <c r="G39" i="31"/>
  <c r="G79" i="31" s="1"/>
  <c r="G28" i="31"/>
  <c r="G68" i="31" s="1"/>
  <c r="G29" i="31"/>
  <c r="G69" i="31" s="1"/>
  <c r="J36" i="31"/>
  <c r="G31" i="31"/>
  <c r="G71" i="31" s="1"/>
  <c r="G24" i="31"/>
  <c r="G64" i="31" s="1"/>
  <c r="J32" i="31"/>
  <c r="J37" i="31"/>
  <c r="J5" i="31"/>
  <c r="J10" i="31"/>
  <c r="J31" i="31"/>
  <c r="C23" i="29" a="1"/>
  <c r="C23" i="29" s="1"/>
  <c r="C22" i="29" a="1"/>
  <c r="C22" i="29" s="1"/>
  <c r="C18" i="29"/>
  <c r="C12" i="28"/>
  <c r="C16" i="28"/>
  <c r="D8" i="30" s="1"/>
  <c r="C17" i="25"/>
  <c r="D6" i="30" s="1"/>
  <c r="D12" i="26"/>
  <c r="D11" i="26"/>
  <c r="D13" i="26"/>
  <c r="C13" i="26"/>
  <c r="C12" i="26"/>
  <c r="E14" i="26"/>
  <c r="D10" i="25"/>
  <c r="C10" i="25"/>
  <c r="C19" i="26" l="1"/>
  <c r="C7" i="30" s="1"/>
  <c r="C24" i="29"/>
  <c r="E22" i="29" s="1"/>
  <c r="F22" i="29" s="1"/>
  <c r="C23" i="28" a="1"/>
  <c r="C23" i="28" s="1"/>
  <c r="C22" i="28" a="1"/>
  <c r="C22" i="28" s="1"/>
  <c r="C18" i="28"/>
  <c r="C16" i="25"/>
  <c r="D5" i="30" s="1"/>
  <c r="C20" i="26"/>
  <c r="C10" i="30" s="1"/>
  <c r="C18" i="26"/>
  <c r="C4" i="30" s="1"/>
  <c r="D14" i="26"/>
  <c r="C14" i="26"/>
  <c r="D12" i="25"/>
  <c r="C12" i="25"/>
  <c r="E5" i="30" l="1"/>
  <c r="E82" i="31" s="1"/>
  <c r="E84" i="31" s="1"/>
  <c r="E6" i="30"/>
  <c r="F82" i="31" s="1"/>
  <c r="E12" i="30"/>
  <c r="J82" i="31" s="1"/>
  <c r="E11" i="30"/>
  <c r="I82" i="31" s="1"/>
  <c r="E9" i="30"/>
  <c r="H82" i="31" s="1"/>
  <c r="E8" i="30"/>
  <c r="G82" i="31" s="1"/>
  <c r="G84" i="31" s="1"/>
  <c r="C13" i="30"/>
  <c r="C24" i="28"/>
  <c r="E22" i="28" s="1"/>
  <c r="F22" i="28" s="1"/>
  <c r="C23" i="25" a="1"/>
  <c r="C23" i="25" s="1"/>
  <c r="C22" i="25" a="1"/>
  <c r="C22" i="25" s="1"/>
  <c r="C26" i="26" a="1"/>
  <c r="C26" i="26" s="1"/>
  <c r="C27" i="26" a="1"/>
  <c r="C27" i="26" s="1"/>
  <c r="C21" i="26"/>
  <c r="C25" i="26" a="1"/>
  <c r="C25" i="26" s="1"/>
  <c r="C18" i="25"/>
  <c r="E92" i="31" l="1"/>
  <c r="E100" i="31"/>
  <c r="E108" i="31"/>
  <c r="E116" i="31"/>
  <c r="E114" i="31"/>
  <c r="E91" i="31"/>
  <c r="E85" i="31"/>
  <c r="E93" i="31"/>
  <c r="E101" i="31"/>
  <c r="E109" i="31"/>
  <c r="E117" i="31"/>
  <c r="E99" i="31"/>
  <c r="E86" i="31"/>
  <c r="E94" i="31"/>
  <c r="E102" i="31"/>
  <c r="E110" i="31"/>
  <c r="E118" i="31"/>
  <c r="E96" i="31"/>
  <c r="E112" i="31"/>
  <c r="E97" i="31"/>
  <c r="E113" i="31"/>
  <c r="E98" i="31"/>
  <c r="E107" i="31"/>
  <c r="E87" i="31"/>
  <c r="E95" i="31"/>
  <c r="E103" i="31"/>
  <c r="E111" i="31"/>
  <c r="E119" i="31"/>
  <c r="E88" i="31"/>
  <c r="E104" i="31"/>
  <c r="E89" i="31"/>
  <c r="E105" i="31"/>
  <c r="E90" i="31"/>
  <c r="E106" i="31"/>
  <c r="E115" i="31"/>
  <c r="J88" i="31"/>
  <c r="J96" i="31"/>
  <c r="J104" i="31"/>
  <c r="J112" i="31"/>
  <c r="J84" i="31"/>
  <c r="I92" i="31"/>
  <c r="I100" i="31"/>
  <c r="I108" i="31"/>
  <c r="I116" i="31"/>
  <c r="J102" i="31"/>
  <c r="J95" i="31"/>
  <c r="J111" i="31"/>
  <c r="I99" i="31"/>
  <c r="I115" i="31"/>
  <c r="J89" i="31"/>
  <c r="J97" i="31"/>
  <c r="J105" i="31"/>
  <c r="J113" i="31"/>
  <c r="I85" i="31"/>
  <c r="I93" i="31"/>
  <c r="I101" i="31"/>
  <c r="I109" i="31"/>
  <c r="I117" i="31"/>
  <c r="J94" i="31"/>
  <c r="J87" i="31"/>
  <c r="J119" i="31"/>
  <c r="I107" i="31"/>
  <c r="J90" i="31"/>
  <c r="J98" i="31"/>
  <c r="J106" i="31"/>
  <c r="J114" i="31"/>
  <c r="I86" i="31"/>
  <c r="I94" i="31"/>
  <c r="I102" i="31"/>
  <c r="I110" i="31"/>
  <c r="I118" i="31"/>
  <c r="I112" i="31"/>
  <c r="J85" i="31"/>
  <c r="J101" i="31"/>
  <c r="J117" i="31"/>
  <c r="I97" i="31"/>
  <c r="I113" i="31"/>
  <c r="J118" i="31"/>
  <c r="I98" i="31"/>
  <c r="I114" i="31"/>
  <c r="I91" i="31"/>
  <c r="J91" i="31"/>
  <c r="J99" i="31"/>
  <c r="J107" i="31"/>
  <c r="J115" i="31"/>
  <c r="I87" i="31"/>
  <c r="I95" i="31"/>
  <c r="I103" i="31"/>
  <c r="I111" i="31"/>
  <c r="I119" i="31"/>
  <c r="J92" i="31"/>
  <c r="J100" i="31"/>
  <c r="J108" i="31"/>
  <c r="J116" i="31"/>
  <c r="I88" i="31"/>
  <c r="I96" i="31"/>
  <c r="I104" i="31"/>
  <c r="I84" i="31"/>
  <c r="J93" i="31"/>
  <c r="J109" i="31"/>
  <c r="I89" i="31"/>
  <c r="I105" i="31"/>
  <c r="J86" i="31"/>
  <c r="J110" i="31"/>
  <c r="I90" i="31"/>
  <c r="I106" i="31"/>
  <c r="J103" i="31"/>
  <c r="F88" i="31"/>
  <c r="F96" i="31"/>
  <c r="F104" i="31"/>
  <c r="F112" i="31"/>
  <c r="F84" i="31"/>
  <c r="D4" i="32" s="1"/>
  <c r="J19" i="32" s="1"/>
  <c r="F86" i="31"/>
  <c r="F103" i="31"/>
  <c r="F89" i="31"/>
  <c r="F97" i="31"/>
  <c r="F105" i="31"/>
  <c r="F113" i="31"/>
  <c r="F102" i="31"/>
  <c r="F95" i="31"/>
  <c r="F90" i="31"/>
  <c r="F98" i="31"/>
  <c r="F106" i="31"/>
  <c r="F114" i="31"/>
  <c r="F92" i="31"/>
  <c r="F100" i="31"/>
  <c r="F116" i="31"/>
  <c r="F85" i="31"/>
  <c r="F101" i="31"/>
  <c r="F117" i="31"/>
  <c r="F94" i="31"/>
  <c r="F118" i="31"/>
  <c r="F87" i="31"/>
  <c r="F119" i="31"/>
  <c r="F91" i="31"/>
  <c r="F99" i="31"/>
  <c r="F107" i="31"/>
  <c r="F115" i="31"/>
  <c r="F108" i="31"/>
  <c r="F93" i="31"/>
  <c r="F109" i="31"/>
  <c r="F110" i="31"/>
  <c r="F111" i="31"/>
  <c r="G92" i="31"/>
  <c r="G100" i="31"/>
  <c r="G108" i="31"/>
  <c r="G116" i="31"/>
  <c r="G99" i="31"/>
  <c r="G85" i="31"/>
  <c r="G93" i="31"/>
  <c r="G101" i="31"/>
  <c r="G109" i="31"/>
  <c r="G117" i="31"/>
  <c r="G107" i="31"/>
  <c r="G86" i="31"/>
  <c r="G94" i="31"/>
  <c r="G102" i="31"/>
  <c r="G110" i="31"/>
  <c r="G118" i="31"/>
  <c r="G88" i="31"/>
  <c r="G112" i="31"/>
  <c r="G89" i="31"/>
  <c r="G105" i="31"/>
  <c r="G90" i="31"/>
  <c r="G106" i="31"/>
  <c r="G91" i="31"/>
  <c r="G87" i="31"/>
  <c r="G95" i="31"/>
  <c r="G103" i="31"/>
  <c r="G111" i="31"/>
  <c r="G119" i="31"/>
  <c r="G96" i="31"/>
  <c r="G104" i="31"/>
  <c r="G97" i="31"/>
  <c r="G113" i="31"/>
  <c r="G98" i="31"/>
  <c r="G114" i="31"/>
  <c r="G115" i="31"/>
  <c r="H88" i="31"/>
  <c r="H96" i="31"/>
  <c r="H104" i="31"/>
  <c r="H112" i="31"/>
  <c r="H84" i="31"/>
  <c r="H103" i="31"/>
  <c r="H89" i="31"/>
  <c r="H97" i="31"/>
  <c r="H105" i="31"/>
  <c r="H113" i="31"/>
  <c r="H87" i="31"/>
  <c r="H119" i="31"/>
  <c r="H90" i="31"/>
  <c r="H98" i="31"/>
  <c r="H106" i="31"/>
  <c r="H114" i="31"/>
  <c r="H93" i="31"/>
  <c r="H109" i="31"/>
  <c r="H94" i="31"/>
  <c r="H110" i="31"/>
  <c r="H95" i="31"/>
  <c r="H91" i="31"/>
  <c r="H99" i="31"/>
  <c r="H107" i="31"/>
  <c r="H115" i="31"/>
  <c r="H92" i="31"/>
  <c r="H100" i="31"/>
  <c r="H108" i="31"/>
  <c r="H116" i="31"/>
  <c r="H85" i="31"/>
  <c r="H101" i="31"/>
  <c r="H117" i="31"/>
  <c r="H86" i="31"/>
  <c r="H102" i="31"/>
  <c r="H118" i="31"/>
  <c r="H111" i="31"/>
  <c r="E13" i="30"/>
  <c r="C28" i="26"/>
  <c r="C24" i="25"/>
  <c r="B40" i="25" s="1"/>
  <c r="C40" i="25" s="1"/>
  <c r="D11" i="32" l="1"/>
  <c r="J26" i="32" s="1"/>
  <c r="E15" i="32"/>
  <c r="K30" i="32" s="1"/>
  <c r="F13" i="32"/>
  <c r="L28" i="32" s="1"/>
  <c r="D9" i="32"/>
  <c r="J24" i="32" s="1"/>
  <c r="E5" i="32"/>
  <c r="K20" i="32" s="1"/>
  <c r="F11" i="32"/>
  <c r="L26" i="32" s="1"/>
  <c r="D5" i="32"/>
  <c r="J20" i="32" s="1"/>
  <c r="F8" i="32"/>
  <c r="L23" i="32" s="1"/>
  <c r="D10" i="32"/>
  <c r="J25" i="32" s="1"/>
  <c r="F6" i="32"/>
  <c r="L21" i="32" s="1"/>
  <c r="E4" i="32"/>
  <c r="D6" i="32"/>
  <c r="J21" i="32" s="1"/>
  <c r="E14" i="32"/>
  <c r="K29" i="32" s="1"/>
  <c r="D12" i="32"/>
  <c r="J27" i="32" s="1"/>
  <c r="E7" i="32"/>
  <c r="K22" i="32" s="1"/>
  <c r="E12" i="32"/>
  <c r="K27" i="32" s="1"/>
  <c r="E11" i="32"/>
  <c r="K26" i="32" s="1"/>
  <c r="D8" i="32"/>
  <c r="J23" i="32" s="1"/>
  <c r="D13" i="32"/>
  <c r="J28" i="32" s="1"/>
  <c r="E8" i="32"/>
  <c r="K23" i="32" s="1"/>
  <c r="E10" i="32"/>
  <c r="K25" i="32" s="1"/>
  <c r="E13" i="32"/>
  <c r="K28" i="32" s="1"/>
  <c r="F15" i="32"/>
  <c r="L30" i="32" s="1"/>
  <c r="D15" i="32"/>
  <c r="J30" i="32" s="1"/>
  <c r="E6" i="32"/>
  <c r="K21" i="32" s="1"/>
  <c r="F7" i="32"/>
  <c r="L22" i="32" s="1"/>
  <c r="F14" i="32"/>
  <c r="L29" i="32" s="1"/>
  <c r="E9" i="32"/>
  <c r="K24" i="32" s="1"/>
  <c r="F4" i="32"/>
  <c r="L19" i="32" s="1"/>
  <c r="F12" i="32"/>
  <c r="L27" i="32" s="1"/>
  <c r="F10" i="32"/>
  <c r="L25" i="32" s="1"/>
  <c r="F9" i="32"/>
  <c r="L24" i="32" s="1"/>
  <c r="D7" i="32"/>
  <c r="J22" i="32" s="1"/>
  <c r="D14" i="32"/>
  <c r="J29" i="32" s="1"/>
  <c r="F5" i="32"/>
  <c r="L20" i="32" s="1"/>
  <c r="E25" i="26"/>
  <c r="F25" i="26" s="1"/>
  <c r="M23" i="32" l="1"/>
  <c r="M27" i="32"/>
  <c r="K19" i="32"/>
  <c r="M19" i="32" s="1"/>
  <c r="M31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<sst xmlns="http://schemas.openxmlformats.org/spreadsheetml/2006/main" count="525" uniqueCount="128">
  <si>
    <t>ALTERNATIVAS</t>
  </si>
  <si>
    <t>LINHAS</t>
  </si>
  <si>
    <t>(E1) Custos operacionais</t>
  </si>
  <si>
    <t>(S1) Conforto do passageiro</t>
  </si>
  <si>
    <t>(S2) Tempo de espera</t>
  </si>
  <si>
    <t>(A1) Emissão de CO2</t>
  </si>
  <si>
    <t>(A2) Mobilidade urbana</t>
  </si>
  <si>
    <t>Linha 1</t>
  </si>
  <si>
    <t>Linha 2</t>
  </si>
  <si>
    <t>Linha 3</t>
  </si>
  <si>
    <t>MATRIZ DE JULGAMENTO PARA CRITÉRIOS</t>
  </si>
  <si>
    <t>Média</t>
  </si>
  <si>
    <t>Diesel</t>
  </si>
  <si>
    <t>Gás Natural</t>
  </si>
  <si>
    <t>Elétrico</t>
  </si>
  <si>
    <t>LINHA 1</t>
  </si>
  <si>
    <t>LINHA 2</t>
  </si>
  <si>
    <t>LINHA 3</t>
  </si>
  <si>
    <t>Resultado</t>
  </si>
  <si>
    <t>Soma</t>
  </si>
  <si>
    <t>DISTÂNCIA</t>
  </si>
  <si>
    <t>AUTOCARRO</t>
  </si>
  <si>
    <t>CUSTO DE COMBUSTÍVEL</t>
  </si>
  <si>
    <t>CUSTO DE INVESTIMENTO</t>
  </si>
  <si>
    <t>TAXA DE CONSUMO</t>
  </si>
  <si>
    <t>TAXA DE EMISSÃO</t>
  </si>
  <si>
    <t>VIDA ÚTIL</t>
  </si>
  <si>
    <t>FREQUÊNCIA</t>
  </si>
  <si>
    <t>MOBILIDADE</t>
  </si>
  <si>
    <t>CAPACIDADE (SENTADO)</t>
  </si>
  <si>
    <t>CAPACIDADE (EM PÉ)</t>
  </si>
  <si>
    <t>CONFORTO</t>
  </si>
  <si>
    <t>DADOS EMPÍRICOS</t>
  </si>
  <si>
    <t>APLICAÇÃO</t>
  </si>
  <si>
    <t>TEMPO DE ESPERA (-)</t>
  </si>
  <si>
    <t>CUSTOS DE INVESTIMENTO (-)</t>
  </si>
  <si>
    <t>CUSTOS OPERACIONAIS (-)</t>
  </si>
  <si>
    <t>EMISSÕES (-)</t>
  </si>
  <si>
    <t>MOBILIDADE (+)</t>
  </si>
  <si>
    <t>A</t>
  </si>
  <si>
    <t>B</t>
  </si>
  <si>
    <t>C</t>
  </si>
  <si>
    <t>D</t>
  </si>
  <si>
    <t>E</t>
  </si>
  <si>
    <t>F</t>
  </si>
  <si>
    <t>DIESEL</t>
  </si>
  <si>
    <t>GÁS NATURAL</t>
  </si>
  <si>
    <t>ELÉTRICO</t>
  </si>
  <si>
    <t>EMBARQUES</t>
  </si>
  <si>
    <t>MÁXIMA OCUPAÇÃO</t>
  </si>
  <si>
    <t>PASSAGEIRO/VIAGEM</t>
  </si>
  <si>
    <t>LOTAÇÃO/VIAGEM</t>
  </si>
  <si>
    <t>-A</t>
  </si>
  <si>
    <t>Da metade até a lotação de bancos</t>
  </si>
  <si>
    <t>Lotação de bancos + 25% em pé</t>
  </si>
  <si>
    <t>Lotação de bancos + 50% em pé</t>
  </si>
  <si>
    <t>Lotação de bancos + 75% em pé</t>
  </si>
  <si>
    <t>Lotação de bancos + 100% em pé</t>
  </si>
  <si>
    <t>Lotação de bancos + 120% em pé</t>
  </si>
  <si>
    <t>F+</t>
  </si>
  <si>
    <t>Superior a 120% em pé</t>
  </si>
  <si>
    <t>Metade da lotação de bancos</t>
  </si>
  <si>
    <t>NÍVEL DE SERVIÇO</t>
  </si>
  <si>
    <t>DESCRIÇÃO</t>
  </si>
  <si>
    <t>λ</t>
  </si>
  <si>
    <t>RAZÃO DE CONSISTÊNCIA</t>
  </si>
  <si>
    <t>IR</t>
  </si>
  <si>
    <t>N</t>
  </si>
  <si>
    <t>ANÁLISE DE CONSISTÊNCIA</t>
  </si>
  <si>
    <t>Status</t>
  </si>
  <si>
    <t>ÍNDICE RANDÔMICO MÉDIO DO AHP (SAATY, 1987)</t>
  </si>
  <si>
    <t>* valores estimados</t>
  </si>
  <si>
    <t>CONFORTO (+)</t>
  </si>
  <si>
    <t>PESO (%)</t>
  </si>
  <si>
    <t>NORMALIZAÇÃO DAS COMPARAÇÕES PAIRWISE</t>
  </si>
  <si>
    <t>Linha de autocarro 1</t>
  </si>
  <si>
    <t>Linha de autocarro 2</t>
  </si>
  <si>
    <t>Linha de autocarro 3</t>
  </si>
  <si>
    <t>(E) Dimensão econômica</t>
  </si>
  <si>
    <t>(S) Dimensão social</t>
  </si>
  <si>
    <t>(A) Dimensão ambiental</t>
  </si>
  <si>
    <t>ESCALA</t>
  </si>
  <si>
    <t>Pontuação numérica</t>
  </si>
  <si>
    <t>Julgamento verbal ou preferência</t>
  </si>
  <si>
    <t>Mesma importância</t>
  </si>
  <si>
    <t>Importância pequena de uma sobre a outra</t>
  </si>
  <si>
    <t>Importância grande ou essencial</t>
  </si>
  <si>
    <t>Importância muito grande ou demonstrada</t>
  </si>
  <si>
    <t>Importância absoluta</t>
  </si>
  <si>
    <t>(E2) Custos de manutenção</t>
  </si>
  <si>
    <t>CUSTO DE MANUTENÇÃO</t>
  </si>
  <si>
    <t>MATRIZ DE JULGAMENTO PARA SUBCRITÉRIOS DA DIMENSÃO ECONÔMICA</t>
  </si>
  <si>
    <t>MATRIZ DE JULGAMENTO PARA SUBCRITÉRIOS DA DIMENSÃO SOCIAL</t>
  </si>
  <si>
    <t>MATRIZ DE JULGAMENTO PARA SUBCRITÉRIOS DA DIMENSÃO AMBIENTAL</t>
  </si>
  <si>
    <t>MATRIZ DE PESOS DOS SUBCRITÉRIOS APÓS AGREGAÇÃO</t>
  </si>
  <si>
    <t>Critérios</t>
  </si>
  <si>
    <t>Nível 1</t>
  </si>
  <si>
    <t>Nível 2</t>
  </si>
  <si>
    <t>Peso</t>
  </si>
  <si>
    <t>Econômica</t>
  </si>
  <si>
    <t>Social</t>
  </si>
  <si>
    <t>DADOS NORMALIZADOS</t>
  </si>
  <si>
    <t>AGREGAÇÃO DOS DADOS</t>
  </si>
  <si>
    <t>CUSTOS DE MANUTENÇÃO (-)</t>
  </si>
  <si>
    <t>DADOS NORMALIZADOS (ENTRE 1 E 5)</t>
  </si>
  <si>
    <t>LINHA</t>
  </si>
  <si>
    <t>DISPONIBILIDADE</t>
  </si>
  <si>
    <t>TOTAL</t>
  </si>
  <si>
    <t>VARIÁVEIS</t>
  </si>
  <si>
    <t>TECNOLOGIA</t>
  </si>
  <si>
    <t>CUSTO</t>
  </si>
  <si>
    <t>VIAGEM (Y/N)</t>
  </si>
  <si>
    <t>PARÂMETROS</t>
  </si>
  <si>
    <t>VALOR</t>
  </si>
  <si>
    <t>FOBJ</t>
  </si>
  <si>
    <t>OPÇÃO</t>
  </si>
  <si>
    <t>RASCUNHO IDEIA</t>
  </si>
  <si>
    <t>%</t>
  </si>
  <si>
    <t>1ª</t>
  </si>
  <si>
    <t>2ª</t>
  </si>
  <si>
    <t>3ª</t>
  </si>
  <si>
    <t>4ª</t>
  </si>
  <si>
    <t>GAS NATURAL</t>
  </si>
  <si>
    <t>ELETRICO</t>
  </si>
  <si>
    <t>Linhas</t>
  </si>
  <si>
    <t>Frequencias</t>
  </si>
  <si>
    <t>FREQUENCIAS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</si>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</sst>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0.0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i/>
      <sz val="11"/>
      <color theme="5" tint="-0.249977111117893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ED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43" fontId="0" fillId="0" borderId="2" xfId="3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2" fontId="0" fillId="0" borderId="0" xfId="0" applyNumberFormat="1"/>
    <xf numFmtId="165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2" fontId="0" fillId="0" borderId="1" xfId="3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4">
    <cellStyle name="Moeda" xfId="2" builtinId="4"/>
    <cellStyle name="Normal" xfId="0" builtinId="0"/>
    <cellStyle name="Porcentagem" xfId="1" builtinId="5"/>
    <cellStyle name="Vírgula" xfId="3" builtinId="3"/>
  </cellStyles>
  <dxfs count="0"/>
  <tableStyles count="0" defaultTableStyle="TableStyleMedium2" defaultPivotStyle="PivotStyleLight16"/>
  <colors>
    <mruColors>
      <color rgb="FFFFFFCC"/>
      <color rgb="FFC9EDDB"/>
      <color rgb="FFFD6779"/>
      <color rgb="FF3EBC7D"/>
      <color rgb="FF3CB679"/>
      <color rgb="FFFF373C"/>
      <color rgb="FFD4B326"/>
      <color rgb="FF660066"/>
      <color rgb="FFC1A119"/>
      <color rgb="FFE7F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998-67F3-4A65-A1DC-0B4BE784DD81}">
  <sheetPr codeName="Planilha1">
    <tabColor rgb="FFD4B326"/>
  </sheetPr>
  <dimension ref="B2:L51"/>
  <sheetViews>
    <sheetView showGridLines="0" zoomScaleNormal="100" workbookViewId="0"/>
  </sheetViews>
  <sheetFormatPr defaultColWidth="8.85546875" defaultRowHeight="15" x14ac:dyDescent="0.25"/>
  <cols>
    <col min="1" max="1" width="8.85546875" style="9"/>
    <col min="2" max="2" width="17.7109375" style="5" bestFit="1" customWidth="1"/>
    <col min="3" max="3" width="23.28515625" style="5" bestFit="1" customWidth="1"/>
    <col min="4" max="4" width="22.5703125" style="1" bestFit="1" customWidth="1"/>
    <col min="5" max="5" width="23.7109375" style="1" bestFit="1" customWidth="1"/>
    <col min="6" max="7" width="26.140625" style="1" bestFit="1" customWidth="1"/>
    <col min="8" max="8" width="13.28515625" style="1" bestFit="1" customWidth="1"/>
    <col min="9" max="9" width="21.85546875" style="1" bestFit="1" customWidth="1"/>
    <col min="10" max="10" width="18.7109375" style="1" bestFit="1" customWidth="1"/>
    <col min="11" max="11" width="14.28515625" style="9" bestFit="1" customWidth="1"/>
    <col min="12" max="16384" width="8.85546875" style="9"/>
  </cols>
  <sheetData>
    <row r="2" spans="2:12" x14ac:dyDescent="0.25">
      <c r="B2" s="3" t="s">
        <v>32</v>
      </c>
    </row>
    <row r="3" spans="2:12" x14ac:dyDescent="0.25">
      <c r="B3" s="6" t="s">
        <v>1</v>
      </c>
      <c r="C3" s="30" t="s">
        <v>20</v>
      </c>
    </row>
    <row r="4" spans="2:12" x14ac:dyDescent="0.25">
      <c r="B4" s="5" t="s">
        <v>75</v>
      </c>
      <c r="C4" s="1">
        <v>15</v>
      </c>
    </row>
    <row r="5" spans="2:12" x14ac:dyDescent="0.25">
      <c r="B5" s="5" t="s">
        <v>76</v>
      </c>
      <c r="C5" s="1">
        <v>20</v>
      </c>
    </row>
    <row r="6" spans="2:12" x14ac:dyDescent="0.25">
      <c r="B6" s="7" t="s">
        <v>77</v>
      </c>
      <c r="C6" s="15">
        <v>25</v>
      </c>
    </row>
    <row r="7" spans="2:12" x14ac:dyDescent="0.25">
      <c r="B7" s="3"/>
    </row>
    <row r="8" spans="2:12" x14ac:dyDescent="0.25">
      <c r="B8" s="6" t="s">
        <v>21</v>
      </c>
      <c r="C8" s="30" t="s">
        <v>22</v>
      </c>
      <c r="D8" s="30" t="s">
        <v>23</v>
      </c>
      <c r="E8" s="30" t="s">
        <v>90</v>
      </c>
      <c r="F8" s="30" t="s">
        <v>24</v>
      </c>
      <c r="G8" s="30" t="s">
        <v>25</v>
      </c>
      <c r="H8" s="30" t="s">
        <v>26</v>
      </c>
      <c r="I8" s="30" t="s">
        <v>29</v>
      </c>
      <c r="J8" s="30" t="s">
        <v>30</v>
      </c>
      <c r="K8" s="30" t="s">
        <v>28</v>
      </c>
      <c r="L8" s="1"/>
    </row>
    <row r="9" spans="2:12" x14ac:dyDescent="0.25">
      <c r="B9" s="5" t="s">
        <v>12</v>
      </c>
      <c r="C9" s="11">
        <v>1.43</v>
      </c>
      <c r="D9" s="12">
        <v>215000</v>
      </c>
      <c r="E9" s="12">
        <v>12900</v>
      </c>
      <c r="F9" s="1">
        <v>0.45</v>
      </c>
      <c r="G9" s="1">
        <v>2.6030000000000002</v>
      </c>
      <c r="H9" s="1">
        <v>10</v>
      </c>
      <c r="I9" s="25">
        <v>38</v>
      </c>
      <c r="J9" s="25">
        <v>42</v>
      </c>
      <c r="K9" s="18">
        <f>SUM(I9:J9)/2</f>
        <v>40</v>
      </c>
      <c r="L9" s="1"/>
    </row>
    <row r="10" spans="2:12" x14ac:dyDescent="0.25">
      <c r="B10" s="5" t="s">
        <v>13</v>
      </c>
      <c r="C10" s="11">
        <v>0.46</v>
      </c>
      <c r="D10" s="12">
        <v>153000</v>
      </c>
      <c r="E10" s="44">
        <f>E11*1.16296415886341</f>
        <v>8501.268001291528</v>
      </c>
      <c r="F10" s="1">
        <v>0.5</v>
      </c>
      <c r="G10" s="1">
        <v>2.38</v>
      </c>
      <c r="H10" s="1">
        <v>13</v>
      </c>
      <c r="I10" s="25">
        <v>42</v>
      </c>
      <c r="J10" s="25">
        <v>36</v>
      </c>
      <c r="K10" s="18">
        <f>SUM(I10:J10)/2</f>
        <v>39</v>
      </c>
      <c r="L10" s="1"/>
    </row>
    <row r="11" spans="2:12" x14ac:dyDescent="0.25">
      <c r="B11" s="7" t="s">
        <v>14</v>
      </c>
      <c r="C11" s="13">
        <v>0.22</v>
      </c>
      <c r="D11" s="14">
        <v>537500</v>
      </c>
      <c r="E11" s="14">
        <v>7310</v>
      </c>
      <c r="F11" s="15">
        <v>1.3</v>
      </c>
      <c r="G11" s="15">
        <v>0</v>
      </c>
      <c r="H11" s="15">
        <v>15</v>
      </c>
      <c r="I11" s="26">
        <v>40</v>
      </c>
      <c r="J11" s="26">
        <v>41</v>
      </c>
      <c r="K11" s="19">
        <f>SUM(I11:J11)/2</f>
        <v>40.5</v>
      </c>
      <c r="L11" s="1"/>
    </row>
    <row r="12" spans="2:12" x14ac:dyDescent="0.25">
      <c r="B12" s="28" t="s">
        <v>71</v>
      </c>
    </row>
    <row r="13" spans="2:12" x14ac:dyDescent="0.25">
      <c r="B13" s="28"/>
      <c r="E13" s="11"/>
      <c r="F13" s="11"/>
      <c r="G13" s="11"/>
      <c r="I13" s="16"/>
    </row>
    <row r="14" spans="2:12" x14ac:dyDescent="0.25">
      <c r="B14" s="3" t="s">
        <v>33</v>
      </c>
      <c r="E14" s="11"/>
      <c r="F14" s="11"/>
      <c r="G14" s="11"/>
      <c r="I14" s="16"/>
    </row>
    <row r="15" spans="2:12" x14ac:dyDescent="0.25">
      <c r="B15" s="6" t="s">
        <v>1</v>
      </c>
      <c r="C15" s="6" t="s">
        <v>0</v>
      </c>
      <c r="D15" s="30" t="s">
        <v>27</v>
      </c>
      <c r="E15" s="30" t="s">
        <v>36</v>
      </c>
      <c r="F15" s="30" t="s">
        <v>103</v>
      </c>
      <c r="G15" s="30" t="s">
        <v>35</v>
      </c>
      <c r="H15" s="30" t="s">
        <v>72</v>
      </c>
      <c r="I15" s="30" t="s">
        <v>34</v>
      </c>
      <c r="J15" s="30" t="s">
        <v>37</v>
      </c>
      <c r="K15" s="30" t="s">
        <v>38</v>
      </c>
      <c r="L15" s="1"/>
    </row>
    <row r="16" spans="2:12" x14ac:dyDescent="0.25">
      <c r="B16" s="65" t="s">
        <v>7</v>
      </c>
      <c r="C16" s="5" t="s">
        <v>12</v>
      </c>
      <c r="D16" s="1">
        <v>1</v>
      </c>
      <c r="E16" s="11">
        <f>$C$4*$F$9*$C$9*D16</f>
        <v>9.6524999999999999</v>
      </c>
      <c r="F16" s="51">
        <f>$E$9*D16</f>
        <v>12900</v>
      </c>
      <c r="G16" s="11">
        <f>$D$9*D16</f>
        <v>215000</v>
      </c>
      <c r="H16" s="16">
        <f>'AHP (1) - Conforto'!G17</f>
        <v>1</v>
      </c>
      <c r="I16" s="18">
        <f>(60/D16)/2</f>
        <v>30</v>
      </c>
      <c r="J16" s="16">
        <f>$C$4*$F$9*$G$9*D16</f>
        <v>17.570250000000001</v>
      </c>
      <c r="K16" s="1">
        <f>D16*$K$9</f>
        <v>40</v>
      </c>
      <c r="L16" s="1"/>
    </row>
    <row r="17" spans="2:12" x14ac:dyDescent="0.25">
      <c r="B17" s="66"/>
      <c r="C17" s="5" t="s">
        <v>12</v>
      </c>
      <c r="D17" s="1">
        <v>2</v>
      </c>
      <c r="E17" s="11">
        <f>$C$4*$F$9*$C$9*D17</f>
        <v>19.305</v>
      </c>
      <c r="F17" s="11">
        <f t="shared" ref="F17:F31" si="0">$E$9*D17</f>
        <v>25800</v>
      </c>
      <c r="G17" s="11">
        <f t="shared" ref="G17:G19" si="1">$D$9*D17</f>
        <v>430000</v>
      </c>
      <c r="H17" s="16">
        <f>'AHP (1) - Conforto'!G18</f>
        <v>1</v>
      </c>
      <c r="I17" s="18">
        <f t="shared" ref="I17:I51" si="2">(60/D17)/2</f>
        <v>15</v>
      </c>
      <c r="J17" s="16">
        <f>$C$4*$F$9*$G$9*D17</f>
        <v>35.140500000000003</v>
      </c>
      <c r="K17" s="1">
        <f>D17*$K$9</f>
        <v>80</v>
      </c>
      <c r="L17" s="1"/>
    </row>
    <row r="18" spans="2:12" x14ac:dyDescent="0.25">
      <c r="B18" s="66"/>
      <c r="C18" s="5" t="s">
        <v>12</v>
      </c>
      <c r="D18" s="1">
        <v>4</v>
      </c>
      <c r="E18" s="11">
        <f>$C$4*$F$9*$C$9*D18</f>
        <v>38.61</v>
      </c>
      <c r="F18" s="11">
        <f t="shared" si="0"/>
        <v>51600</v>
      </c>
      <c r="G18" s="11">
        <f t="shared" si="1"/>
        <v>860000</v>
      </c>
      <c r="H18" s="16">
        <f>'AHP (1) - Conforto'!G19</f>
        <v>5</v>
      </c>
      <c r="I18" s="18">
        <f t="shared" si="2"/>
        <v>7.5</v>
      </c>
      <c r="J18" s="16">
        <f>$C$4*$F$9*$G$9*D18</f>
        <v>70.281000000000006</v>
      </c>
      <c r="K18" s="1">
        <f>D18*$K$9</f>
        <v>160</v>
      </c>
      <c r="L18" s="1"/>
    </row>
    <row r="19" spans="2:12" x14ac:dyDescent="0.25">
      <c r="B19" s="66"/>
      <c r="C19" s="5" t="s">
        <v>12</v>
      </c>
      <c r="D19" s="1">
        <v>6</v>
      </c>
      <c r="E19" s="11">
        <f>$C$4*$F$9*$C$9*D19</f>
        <v>57.914999999999999</v>
      </c>
      <c r="F19" s="11">
        <f t="shared" si="0"/>
        <v>77400</v>
      </c>
      <c r="G19" s="11">
        <f t="shared" si="1"/>
        <v>1290000</v>
      </c>
      <c r="H19" s="16">
        <f>'AHP (1) - Conforto'!G20</f>
        <v>7</v>
      </c>
      <c r="I19" s="18">
        <f t="shared" si="2"/>
        <v>5</v>
      </c>
      <c r="J19" s="16">
        <f>$C$4*$F$9*$G$9*D19</f>
        <v>105.42150000000001</v>
      </c>
      <c r="K19" s="1">
        <f>D19*$K$9</f>
        <v>240</v>
      </c>
      <c r="L19" s="1"/>
    </row>
    <row r="20" spans="2:12" x14ac:dyDescent="0.25">
      <c r="B20" s="66"/>
      <c r="C20" s="5" t="s">
        <v>13</v>
      </c>
      <c r="D20" s="1">
        <v>1</v>
      </c>
      <c r="E20" s="11">
        <f>$C$4*$F$10*$C$10*D20</f>
        <v>3.45</v>
      </c>
      <c r="F20" s="11">
        <f>$E$10*D20</f>
        <v>8501.268001291528</v>
      </c>
      <c r="G20" s="11">
        <f>$D$10*D20</f>
        <v>153000</v>
      </c>
      <c r="H20" s="16">
        <f>'AHP (1) - Conforto'!H17</f>
        <v>1</v>
      </c>
      <c r="I20" s="18">
        <f t="shared" si="2"/>
        <v>30</v>
      </c>
      <c r="J20" s="16">
        <f>$C$4*$F$10*$G$10*D20</f>
        <v>17.849999999999998</v>
      </c>
      <c r="K20" s="1">
        <f>D20*$K$10</f>
        <v>39</v>
      </c>
      <c r="L20" s="1"/>
    </row>
    <row r="21" spans="2:12" x14ac:dyDescent="0.25">
      <c r="B21" s="66"/>
      <c r="C21" s="5" t="s">
        <v>13</v>
      </c>
      <c r="D21" s="1">
        <v>2</v>
      </c>
      <c r="E21" s="11">
        <f>$C$4*$F$10*$C$10*D21</f>
        <v>6.9</v>
      </c>
      <c r="F21" s="11">
        <f t="shared" ref="F21:F23" si="3">$E$10*D21</f>
        <v>17002.536002583056</v>
      </c>
      <c r="G21" s="11">
        <f t="shared" ref="G21:G23" si="4">$D$10*D21</f>
        <v>306000</v>
      </c>
      <c r="H21" s="16">
        <f>'AHP (1) - Conforto'!H18</f>
        <v>1</v>
      </c>
      <c r="I21" s="18">
        <f t="shared" si="2"/>
        <v>15</v>
      </c>
      <c r="J21" s="16">
        <f>$C$4*$F$10*$G$10*D21</f>
        <v>35.699999999999996</v>
      </c>
      <c r="K21" s="1">
        <f>D21*$K$10</f>
        <v>78</v>
      </c>
      <c r="L21" s="1"/>
    </row>
    <row r="22" spans="2:12" x14ac:dyDescent="0.25">
      <c r="B22" s="66"/>
      <c r="C22" s="5" t="s">
        <v>13</v>
      </c>
      <c r="D22" s="1">
        <v>4</v>
      </c>
      <c r="E22" s="11">
        <f>$C$4*$F$10*$C$10*D22</f>
        <v>13.8</v>
      </c>
      <c r="F22" s="11">
        <f t="shared" si="3"/>
        <v>34005.072005166112</v>
      </c>
      <c r="G22" s="11">
        <f t="shared" si="4"/>
        <v>612000</v>
      </c>
      <c r="H22" s="16">
        <f>'AHP (1) - Conforto'!H19</f>
        <v>6</v>
      </c>
      <c r="I22" s="18">
        <f t="shared" si="2"/>
        <v>7.5</v>
      </c>
      <c r="J22" s="16">
        <f>$C$4*$F$10*$G$10*D22</f>
        <v>71.399999999999991</v>
      </c>
      <c r="K22" s="1">
        <f>D22*$K$10</f>
        <v>156</v>
      </c>
      <c r="L22" s="1"/>
    </row>
    <row r="23" spans="2:12" x14ac:dyDescent="0.25">
      <c r="B23" s="66"/>
      <c r="C23" s="5" t="s">
        <v>13</v>
      </c>
      <c r="D23" s="1">
        <v>6</v>
      </c>
      <c r="E23" s="11">
        <f>$C$4*$F$10*$C$10*D23</f>
        <v>20.700000000000003</v>
      </c>
      <c r="F23" s="11">
        <f t="shared" si="3"/>
        <v>51007.608007749164</v>
      </c>
      <c r="G23" s="11">
        <f t="shared" si="4"/>
        <v>918000</v>
      </c>
      <c r="H23" s="16">
        <f>'AHP (1) - Conforto'!H20</f>
        <v>7</v>
      </c>
      <c r="I23" s="18">
        <f t="shared" si="2"/>
        <v>5</v>
      </c>
      <c r="J23" s="16">
        <f>$C$4*$F$10*$G$10*D23</f>
        <v>107.1</v>
      </c>
      <c r="K23" s="1">
        <f>D23*$K$10</f>
        <v>234</v>
      </c>
      <c r="L23" s="1"/>
    </row>
    <row r="24" spans="2:12" x14ac:dyDescent="0.25">
      <c r="B24" s="66"/>
      <c r="C24" s="5" t="s">
        <v>14</v>
      </c>
      <c r="D24" s="1">
        <v>1</v>
      </c>
      <c r="E24" s="11">
        <f>$C$4*$F$11*$C$11*D24</f>
        <v>4.29</v>
      </c>
      <c r="F24" s="11">
        <f>$E$11*D24</f>
        <v>7310</v>
      </c>
      <c r="G24" s="11">
        <f>$D$11*D24</f>
        <v>537500</v>
      </c>
      <c r="H24" s="16">
        <f>'AHP (1) - Conforto'!I17</f>
        <v>1</v>
      </c>
      <c r="I24" s="18">
        <f t="shared" si="2"/>
        <v>30</v>
      </c>
      <c r="J24" s="16">
        <f>$C$4*$F$11*$G$11*D24</f>
        <v>0</v>
      </c>
      <c r="K24" s="1">
        <f>D24*$K$11</f>
        <v>40.5</v>
      </c>
      <c r="L24" s="1"/>
    </row>
    <row r="25" spans="2:12" x14ac:dyDescent="0.25">
      <c r="B25" s="66"/>
      <c r="C25" s="5" t="s">
        <v>14</v>
      </c>
      <c r="D25" s="1">
        <v>2</v>
      </c>
      <c r="E25" s="11">
        <f>$C$4*$F$11*$C$11*D25</f>
        <v>8.58</v>
      </c>
      <c r="F25" s="11">
        <f t="shared" ref="F25:F27" si="5">$E$11*D25</f>
        <v>14620</v>
      </c>
      <c r="G25" s="11">
        <f t="shared" ref="G25:G27" si="6">$D$11*D25</f>
        <v>1075000</v>
      </c>
      <c r="H25" s="16">
        <f>'AHP (1) - Conforto'!I18</f>
        <v>1</v>
      </c>
      <c r="I25" s="18">
        <f t="shared" si="2"/>
        <v>15</v>
      </c>
      <c r="J25" s="16">
        <f>$C$4*$F$11*$G$11*D25</f>
        <v>0</v>
      </c>
      <c r="K25" s="1">
        <f>D25*$K$11</f>
        <v>81</v>
      </c>
      <c r="L25" s="1"/>
    </row>
    <row r="26" spans="2:12" x14ac:dyDescent="0.25">
      <c r="B26" s="66"/>
      <c r="C26" s="5" t="s">
        <v>14</v>
      </c>
      <c r="D26" s="1">
        <v>4</v>
      </c>
      <c r="E26" s="11">
        <f>$C$4*$F$11*$C$11*D26</f>
        <v>17.16</v>
      </c>
      <c r="F26" s="11">
        <f t="shared" si="5"/>
        <v>29240</v>
      </c>
      <c r="G26" s="11">
        <f t="shared" si="6"/>
        <v>2150000</v>
      </c>
      <c r="H26" s="16">
        <f>'AHP (1) - Conforto'!I19</f>
        <v>5</v>
      </c>
      <c r="I26" s="18">
        <f t="shared" si="2"/>
        <v>7.5</v>
      </c>
      <c r="J26" s="16">
        <f>$C$4*$F$11*$G$11*D26</f>
        <v>0</v>
      </c>
      <c r="K26" s="1">
        <f>D26*$K$11</f>
        <v>162</v>
      </c>
      <c r="L26" s="1"/>
    </row>
    <row r="27" spans="2:12" x14ac:dyDescent="0.25">
      <c r="B27" s="67"/>
      <c r="C27" s="7" t="s">
        <v>14</v>
      </c>
      <c r="D27" s="15">
        <v>6</v>
      </c>
      <c r="E27" s="13">
        <f>$C$4*$F$11*$C$11*D27</f>
        <v>25.740000000000002</v>
      </c>
      <c r="F27" s="13">
        <f t="shared" si="5"/>
        <v>43860</v>
      </c>
      <c r="G27" s="13">
        <f t="shared" si="6"/>
        <v>3225000</v>
      </c>
      <c r="H27" s="17">
        <f>'AHP (1) - Conforto'!I20</f>
        <v>7</v>
      </c>
      <c r="I27" s="19">
        <f t="shared" si="2"/>
        <v>5</v>
      </c>
      <c r="J27" s="17">
        <f>$C$4*$F$11*$G$11*D27</f>
        <v>0</v>
      </c>
      <c r="K27" s="15">
        <f>D27*$K$11</f>
        <v>243</v>
      </c>
      <c r="L27" s="1"/>
    </row>
    <row r="28" spans="2:12" x14ac:dyDescent="0.25">
      <c r="B28" s="65" t="s">
        <v>8</v>
      </c>
      <c r="C28" s="5" t="s">
        <v>12</v>
      </c>
      <c r="D28" s="1">
        <v>1</v>
      </c>
      <c r="E28" s="11">
        <f>$C$5*$F$9*$C$9*D28</f>
        <v>12.87</v>
      </c>
      <c r="F28" s="51">
        <f>$E$9*D28</f>
        <v>12900</v>
      </c>
      <c r="G28" s="11">
        <f>$D$9*D28</f>
        <v>215000</v>
      </c>
      <c r="H28" s="16">
        <f>'AHP (1) - Conforto'!G25</f>
        <v>1</v>
      </c>
      <c r="I28" s="18">
        <f t="shared" si="2"/>
        <v>30</v>
      </c>
      <c r="J28" s="16">
        <f>$C$5*$F$9*$G$9*D28</f>
        <v>23.427000000000003</v>
      </c>
      <c r="K28" s="1">
        <f>D28*$K$9</f>
        <v>40</v>
      </c>
    </row>
    <row r="29" spans="2:12" x14ac:dyDescent="0.25">
      <c r="B29" s="66"/>
      <c r="C29" s="5" t="s">
        <v>12</v>
      </c>
      <c r="D29" s="1">
        <v>2</v>
      </c>
      <c r="E29" s="11">
        <f>$C$5*$F$9*$C$9*D29</f>
        <v>25.74</v>
      </c>
      <c r="F29" s="11">
        <f t="shared" si="0"/>
        <v>25800</v>
      </c>
      <c r="G29" s="11">
        <f t="shared" ref="G29:G31" si="7">$D$9*D29</f>
        <v>430000</v>
      </c>
      <c r="H29" s="16">
        <f>'AHP (1) - Conforto'!G26</f>
        <v>3</v>
      </c>
      <c r="I29" s="18">
        <f t="shared" si="2"/>
        <v>15</v>
      </c>
      <c r="J29" s="16">
        <f>$C$5*$F$9*$G$9*D29</f>
        <v>46.854000000000006</v>
      </c>
      <c r="K29" s="1">
        <f>D29*$K$9</f>
        <v>80</v>
      </c>
    </row>
    <row r="30" spans="2:12" x14ac:dyDescent="0.25">
      <c r="B30" s="66"/>
      <c r="C30" s="5" t="s">
        <v>12</v>
      </c>
      <c r="D30" s="1">
        <v>4</v>
      </c>
      <c r="E30" s="11">
        <f>$C$5*$F$9*$C$9*D30</f>
        <v>51.48</v>
      </c>
      <c r="F30" s="11">
        <f t="shared" si="0"/>
        <v>51600</v>
      </c>
      <c r="G30" s="11">
        <f t="shared" si="7"/>
        <v>860000</v>
      </c>
      <c r="H30" s="16">
        <f>'AHP (1) - Conforto'!G27</f>
        <v>6</v>
      </c>
      <c r="I30" s="18">
        <f t="shared" si="2"/>
        <v>7.5</v>
      </c>
      <c r="J30" s="16">
        <f>$C$5*$F$9*$G$9*D30</f>
        <v>93.708000000000013</v>
      </c>
      <c r="K30" s="1">
        <f>D30*$K$9</f>
        <v>160</v>
      </c>
    </row>
    <row r="31" spans="2:12" x14ac:dyDescent="0.25">
      <c r="B31" s="66"/>
      <c r="C31" s="5" t="s">
        <v>12</v>
      </c>
      <c r="D31" s="1">
        <v>6</v>
      </c>
      <c r="E31" s="11">
        <f>$C$5*$F$9*$C$9*D31</f>
        <v>77.22</v>
      </c>
      <c r="F31" s="11">
        <f t="shared" si="0"/>
        <v>77400</v>
      </c>
      <c r="G31" s="11">
        <f t="shared" si="7"/>
        <v>1290000</v>
      </c>
      <c r="H31" s="16">
        <f>'AHP (1) - Conforto'!G28</f>
        <v>7</v>
      </c>
      <c r="I31" s="18">
        <f t="shared" si="2"/>
        <v>5</v>
      </c>
      <c r="J31" s="16">
        <f>$C$5*$F$9*$G$9*D31</f>
        <v>140.56200000000001</v>
      </c>
      <c r="K31" s="1">
        <f>D31*$K$9</f>
        <v>240</v>
      </c>
    </row>
    <row r="32" spans="2:12" x14ac:dyDescent="0.25">
      <c r="B32" s="66"/>
      <c r="C32" s="5" t="s">
        <v>13</v>
      </c>
      <c r="D32" s="1">
        <v>1</v>
      </c>
      <c r="E32" s="11">
        <f>$C$5*$F$10*$C$10*D32</f>
        <v>4.6000000000000005</v>
      </c>
      <c r="F32" s="11">
        <f>$E$10*D32</f>
        <v>8501.268001291528</v>
      </c>
      <c r="G32" s="11">
        <f>$D$10*D32</f>
        <v>153000</v>
      </c>
      <c r="H32" s="16">
        <f>'AHP (1) - Conforto'!H25</f>
        <v>1</v>
      </c>
      <c r="I32" s="18">
        <f t="shared" si="2"/>
        <v>30</v>
      </c>
      <c r="J32" s="16">
        <f>$C$5*$F$10*$G$10*D32</f>
        <v>23.799999999999997</v>
      </c>
      <c r="K32" s="1">
        <f>D32*$K$10</f>
        <v>39</v>
      </c>
    </row>
    <row r="33" spans="2:11" x14ac:dyDescent="0.25">
      <c r="B33" s="66"/>
      <c r="C33" s="5" t="s">
        <v>13</v>
      </c>
      <c r="D33" s="1">
        <v>2</v>
      </c>
      <c r="E33" s="11">
        <f>$C$5*$F$10*$C$10*D33</f>
        <v>9.2000000000000011</v>
      </c>
      <c r="F33" s="11">
        <f t="shared" ref="F33:F35" si="8">$E$10*D33</f>
        <v>17002.536002583056</v>
      </c>
      <c r="G33" s="11">
        <f t="shared" ref="G33:G35" si="9">$D$10*D33</f>
        <v>306000</v>
      </c>
      <c r="H33" s="16">
        <f>'AHP (1) - Conforto'!H26</f>
        <v>3</v>
      </c>
      <c r="I33" s="18">
        <f t="shared" si="2"/>
        <v>15</v>
      </c>
      <c r="J33" s="16">
        <f>$C$5*$F$10*$G$10*D33</f>
        <v>47.599999999999994</v>
      </c>
      <c r="K33" s="1">
        <f>D33*$K$10</f>
        <v>78</v>
      </c>
    </row>
    <row r="34" spans="2:11" x14ac:dyDescent="0.25">
      <c r="B34" s="66"/>
      <c r="C34" s="5" t="s">
        <v>13</v>
      </c>
      <c r="D34" s="1">
        <v>4</v>
      </c>
      <c r="E34" s="11">
        <f>$C$5*$F$10*$C$10*D34</f>
        <v>18.400000000000002</v>
      </c>
      <c r="F34" s="11">
        <f t="shared" si="8"/>
        <v>34005.072005166112</v>
      </c>
      <c r="G34" s="11">
        <f t="shared" si="9"/>
        <v>612000</v>
      </c>
      <c r="H34" s="16">
        <f>'AHP (1) - Conforto'!H27</f>
        <v>7</v>
      </c>
      <c r="I34" s="18">
        <f t="shared" si="2"/>
        <v>7.5</v>
      </c>
      <c r="J34" s="16">
        <f>$C$5*$F$10*$G$10*D34</f>
        <v>95.199999999999989</v>
      </c>
      <c r="K34" s="1">
        <f>D34*$K$10</f>
        <v>156</v>
      </c>
    </row>
    <row r="35" spans="2:11" x14ac:dyDescent="0.25">
      <c r="B35" s="66"/>
      <c r="C35" s="5" t="s">
        <v>13</v>
      </c>
      <c r="D35" s="1">
        <v>6</v>
      </c>
      <c r="E35" s="11">
        <f>$C$5*$F$10*$C$10*D35</f>
        <v>27.6</v>
      </c>
      <c r="F35" s="11">
        <f t="shared" si="8"/>
        <v>51007.608007749164</v>
      </c>
      <c r="G35" s="11">
        <f t="shared" si="9"/>
        <v>918000</v>
      </c>
      <c r="H35" s="16">
        <f>'AHP (1) - Conforto'!H28</f>
        <v>7</v>
      </c>
      <c r="I35" s="18">
        <f t="shared" si="2"/>
        <v>5</v>
      </c>
      <c r="J35" s="16">
        <f>$C$5*$F$10*$G$10*D35</f>
        <v>142.79999999999998</v>
      </c>
      <c r="K35" s="1">
        <f>D35*$K$10</f>
        <v>234</v>
      </c>
    </row>
    <row r="36" spans="2:11" x14ac:dyDescent="0.25">
      <c r="B36" s="66"/>
      <c r="C36" s="5" t="s">
        <v>14</v>
      </c>
      <c r="D36" s="1">
        <v>1</v>
      </c>
      <c r="E36" s="11">
        <f>$C$5*$F$11*$C$11*D36</f>
        <v>5.72</v>
      </c>
      <c r="F36" s="11">
        <f>$E$11*D36</f>
        <v>7310</v>
      </c>
      <c r="G36" s="11">
        <f>$D$11*D36</f>
        <v>537500</v>
      </c>
      <c r="H36" s="16">
        <f>'AHP (1) - Conforto'!I25</f>
        <v>1</v>
      </c>
      <c r="I36" s="18">
        <f t="shared" si="2"/>
        <v>30</v>
      </c>
      <c r="J36" s="16">
        <f>$C$5*$F$11*$G$11*D36</f>
        <v>0</v>
      </c>
      <c r="K36" s="1">
        <f>D36*$K$11</f>
        <v>40.5</v>
      </c>
    </row>
    <row r="37" spans="2:11" x14ac:dyDescent="0.25">
      <c r="B37" s="66"/>
      <c r="C37" s="5" t="s">
        <v>14</v>
      </c>
      <c r="D37" s="1">
        <v>2</v>
      </c>
      <c r="E37" s="11">
        <f>$C$5*$F$11*$C$11*D37</f>
        <v>11.44</v>
      </c>
      <c r="F37" s="11">
        <f t="shared" ref="F37:F39" si="10">$E$11*D37</f>
        <v>14620</v>
      </c>
      <c r="G37" s="11">
        <f t="shared" ref="G37:G39" si="11">$D$11*D37</f>
        <v>1075000</v>
      </c>
      <c r="H37" s="16">
        <f>'AHP (1) - Conforto'!I26</f>
        <v>3</v>
      </c>
      <c r="I37" s="18">
        <f t="shared" si="2"/>
        <v>15</v>
      </c>
      <c r="J37" s="16">
        <f>$C$5*$F$11*$G$11*D37</f>
        <v>0</v>
      </c>
      <c r="K37" s="1">
        <f>D37*$K$11</f>
        <v>81</v>
      </c>
    </row>
    <row r="38" spans="2:11" x14ac:dyDescent="0.25">
      <c r="B38" s="66"/>
      <c r="C38" s="5" t="s">
        <v>14</v>
      </c>
      <c r="D38" s="1">
        <v>4</v>
      </c>
      <c r="E38" s="11">
        <f>$C$5*$F$11*$C$11*D38</f>
        <v>22.88</v>
      </c>
      <c r="F38" s="11">
        <f t="shared" si="10"/>
        <v>29240</v>
      </c>
      <c r="G38" s="11">
        <f t="shared" si="11"/>
        <v>2150000</v>
      </c>
      <c r="H38" s="16">
        <f>'AHP (1) - Conforto'!I27</f>
        <v>7</v>
      </c>
      <c r="I38" s="18">
        <f t="shared" si="2"/>
        <v>7.5</v>
      </c>
      <c r="J38" s="16">
        <f>$C$5*$F$11*$G$11*D38</f>
        <v>0</v>
      </c>
      <c r="K38" s="1">
        <f>D38*$K$11</f>
        <v>162</v>
      </c>
    </row>
    <row r="39" spans="2:11" x14ac:dyDescent="0.25">
      <c r="B39" s="67"/>
      <c r="C39" s="7" t="s">
        <v>14</v>
      </c>
      <c r="D39" s="15">
        <v>6</v>
      </c>
      <c r="E39" s="13">
        <f>$C$5*$F$11*$C$11*D39</f>
        <v>34.32</v>
      </c>
      <c r="F39" s="13">
        <f t="shared" si="10"/>
        <v>43860</v>
      </c>
      <c r="G39" s="13">
        <f t="shared" si="11"/>
        <v>3225000</v>
      </c>
      <c r="H39" s="17">
        <f>'AHP (1) - Conforto'!I28</f>
        <v>7</v>
      </c>
      <c r="I39" s="19">
        <f t="shared" si="2"/>
        <v>5</v>
      </c>
      <c r="J39" s="17">
        <f>$C$5*$F$11*$G$11*D39</f>
        <v>0</v>
      </c>
      <c r="K39" s="15">
        <f>D39*$K$11</f>
        <v>243</v>
      </c>
    </row>
    <row r="40" spans="2:11" x14ac:dyDescent="0.25">
      <c r="B40" s="65" t="s">
        <v>9</v>
      </c>
      <c r="C40" s="5" t="s">
        <v>12</v>
      </c>
      <c r="D40" s="1">
        <v>1</v>
      </c>
      <c r="E40" s="11">
        <f>$C$6*$F$9*$C$9*D40</f>
        <v>16.087499999999999</v>
      </c>
      <c r="F40" s="51">
        <f>$E$9*D40</f>
        <v>12900</v>
      </c>
      <c r="G40" s="11">
        <f>$D$9*D40</f>
        <v>215000</v>
      </c>
      <c r="H40" s="16">
        <f>'AHP (1) - Conforto'!G33</f>
        <v>1</v>
      </c>
      <c r="I40" s="18">
        <f t="shared" si="2"/>
        <v>30</v>
      </c>
      <c r="J40" s="16">
        <f>$C$6*$F$9*$G$9*D40</f>
        <v>29.283750000000001</v>
      </c>
      <c r="K40" s="1">
        <f>D40*$K$9</f>
        <v>40</v>
      </c>
    </row>
    <row r="41" spans="2:11" x14ac:dyDescent="0.25">
      <c r="B41" s="66"/>
      <c r="C41" s="5" t="s">
        <v>12</v>
      </c>
      <c r="D41" s="1">
        <v>2</v>
      </c>
      <c r="E41" s="11">
        <f>$C$6*$F$9*$C$9*D41</f>
        <v>32.174999999999997</v>
      </c>
      <c r="F41" s="11">
        <f t="shared" ref="F41:F43" si="12">$E$9*D41</f>
        <v>25800</v>
      </c>
      <c r="G41" s="11">
        <f t="shared" ref="G41:G43" si="13">$D$9*D41</f>
        <v>430000</v>
      </c>
      <c r="H41" s="16">
        <f>'AHP (1) - Conforto'!G34</f>
        <v>1</v>
      </c>
      <c r="I41" s="18">
        <f t="shared" si="2"/>
        <v>15</v>
      </c>
      <c r="J41" s="16">
        <f>$C$6*$F$9*$G$9*D41</f>
        <v>58.567500000000003</v>
      </c>
      <c r="K41" s="1">
        <f>D41*$K$9</f>
        <v>80</v>
      </c>
    </row>
    <row r="42" spans="2:11" x14ac:dyDescent="0.25">
      <c r="B42" s="66"/>
      <c r="C42" s="5" t="s">
        <v>12</v>
      </c>
      <c r="D42" s="1">
        <v>4</v>
      </c>
      <c r="E42" s="11">
        <f>$C$6*$F$9*$C$9*D42</f>
        <v>64.349999999999994</v>
      </c>
      <c r="F42" s="11">
        <f t="shared" si="12"/>
        <v>51600</v>
      </c>
      <c r="G42" s="11">
        <f t="shared" si="13"/>
        <v>860000</v>
      </c>
      <c r="H42" s="16">
        <f>'AHP (1) - Conforto'!G35</f>
        <v>6</v>
      </c>
      <c r="I42" s="18">
        <f t="shared" si="2"/>
        <v>7.5</v>
      </c>
      <c r="J42" s="16">
        <f>$C$6*$F$9*$G$9*D42</f>
        <v>117.13500000000001</v>
      </c>
      <c r="K42" s="1">
        <f>D42*$K$9</f>
        <v>160</v>
      </c>
    </row>
    <row r="43" spans="2:11" x14ac:dyDescent="0.25">
      <c r="B43" s="66"/>
      <c r="C43" s="5" t="s">
        <v>12</v>
      </c>
      <c r="D43" s="1">
        <v>6</v>
      </c>
      <c r="E43" s="11">
        <f>$C$6*$F$9*$C$9*D43</f>
        <v>96.524999999999991</v>
      </c>
      <c r="F43" s="11">
        <f t="shared" si="12"/>
        <v>77400</v>
      </c>
      <c r="G43" s="11">
        <f t="shared" si="13"/>
        <v>1290000</v>
      </c>
      <c r="H43" s="16">
        <f>'AHP (1) - Conforto'!G36</f>
        <v>7</v>
      </c>
      <c r="I43" s="18">
        <f t="shared" si="2"/>
        <v>5</v>
      </c>
      <c r="J43" s="16">
        <f>$C$6*$F$9*$G$9*D43</f>
        <v>175.70250000000001</v>
      </c>
      <c r="K43" s="1">
        <f>D43*$K$9</f>
        <v>240</v>
      </c>
    </row>
    <row r="44" spans="2:11" x14ac:dyDescent="0.25">
      <c r="B44" s="66"/>
      <c r="C44" s="5" t="s">
        <v>13</v>
      </c>
      <c r="D44" s="1">
        <v>1</v>
      </c>
      <c r="E44" s="11">
        <f>$C$6*$F$10*$C$10*D44</f>
        <v>5.75</v>
      </c>
      <c r="F44" s="11">
        <f>$E$10*D44</f>
        <v>8501.268001291528</v>
      </c>
      <c r="G44" s="11">
        <f>$D$10*D44</f>
        <v>153000</v>
      </c>
      <c r="H44" s="16">
        <f>'AHP (1) - Conforto'!H33</f>
        <v>1</v>
      </c>
      <c r="I44" s="18">
        <f t="shared" si="2"/>
        <v>30</v>
      </c>
      <c r="J44" s="16">
        <f>$C$6*$F$10*$G$10*D44</f>
        <v>29.75</v>
      </c>
      <c r="K44" s="1">
        <f>D44*$K$10</f>
        <v>39</v>
      </c>
    </row>
    <row r="45" spans="2:11" x14ac:dyDescent="0.25">
      <c r="B45" s="66"/>
      <c r="C45" s="5" t="s">
        <v>13</v>
      </c>
      <c r="D45" s="1">
        <v>2</v>
      </c>
      <c r="E45" s="11">
        <f>$C$6*$F$10*$C$10*D45</f>
        <v>11.5</v>
      </c>
      <c r="F45" s="11">
        <f t="shared" ref="F45:F47" si="14">$E$10*D45</f>
        <v>17002.536002583056</v>
      </c>
      <c r="G45" s="11">
        <f t="shared" ref="G45:G47" si="15">$D$10*D45</f>
        <v>306000</v>
      </c>
      <c r="H45" s="16">
        <f>'AHP (1) - Conforto'!H34</f>
        <v>1</v>
      </c>
      <c r="I45" s="18">
        <f t="shared" si="2"/>
        <v>15</v>
      </c>
      <c r="J45" s="16">
        <f>$C$6*$F$10*$G$10*D45</f>
        <v>59.5</v>
      </c>
      <c r="K45" s="1">
        <f>D45*$K$10</f>
        <v>78</v>
      </c>
    </row>
    <row r="46" spans="2:11" x14ac:dyDescent="0.25">
      <c r="B46" s="66"/>
      <c r="C46" s="5" t="s">
        <v>13</v>
      </c>
      <c r="D46" s="1">
        <v>4</v>
      </c>
      <c r="E46" s="11">
        <f>$C$6*$F$10*$C$10*D46</f>
        <v>23</v>
      </c>
      <c r="F46" s="11">
        <f t="shared" si="14"/>
        <v>34005.072005166112</v>
      </c>
      <c r="G46" s="11">
        <f t="shared" si="15"/>
        <v>612000</v>
      </c>
      <c r="H46" s="16">
        <f>'AHP (1) - Conforto'!H35</f>
        <v>6</v>
      </c>
      <c r="I46" s="18">
        <f t="shared" si="2"/>
        <v>7.5</v>
      </c>
      <c r="J46" s="16">
        <f>$C$6*$F$10*$G$10*D46</f>
        <v>119</v>
      </c>
      <c r="K46" s="1">
        <f>D46*$K$10</f>
        <v>156</v>
      </c>
    </row>
    <row r="47" spans="2:11" x14ac:dyDescent="0.25">
      <c r="B47" s="66"/>
      <c r="C47" s="5" t="s">
        <v>13</v>
      </c>
      <c r="D47" s="1">
        <v>6</v>
      </c>
      <c r="E47" s="11">
        <f>$C$6*$F$10*$C$10*D47</f>
        <v>34.5</v>
      </c>
      <c r="F47" s="11">
        <f t="shared" si="14"/>
        <v>51007.608007749164</v>
      </c>
      <c r="G47" s="11">
        <f t="shared" si="15"/>
        <v>918000</v>
      </c>
      <c r="H47" s="16">
        <f>'AHP (1) - Conforto'!H36</f>
        <v>7</v>
      </c>
      <c r="I47" s="18">
        <f t="shared" si="2"/>
        <v>5</v>
      </c>
      <c r="J47" s="16">
        <f>$C$6*$F$10*$G$10*D47</f>
        <v>178.5</v>
      </c>
      <c r="K47" s="1">
        <f>D47*$K$10</f>
        <v>234</v>
      </c>
    </row>
    <row r="48" spans="2:11" x14ac:dyDescent="0.25">
      <c r="B48" s="66"/>
      <c r="C48" s="5" t="s">
        <v>14</v>
      </c>
      <c r="D48" s="1">
        <v>1</v>
      </c>
      <c r="E48" s="11">
        <f>$C$6*$F$11*$C$11*D48</f>
        <v>7.15</v>
      </c>
      <c r="F48" s="11">
        <f>$E$11*D48</f>
        <v>7310</v>
      </c>
      <c r="G48" s="11">
        <f>$D$11*D48</f>
        <v>537500</v>
      </c>
      <c r="H48" s="16">
        <f>'AHP (1) - Conforto'!I33</f>
        <v>1</v>
      </c>
      <c r="I48" s="18">
        <f t="shared" si="2"/>
        <v>30</v>
      </c>
      <c r="J48" s="16">
        <f>$C$6*$F$11*$G$11*D48</f>
        <v>0</v>
      </c>
      <c r="K48" s="1">
        <f>D48*$K$11</f>
        <v>40.5</v>
      </c>
    </row>
    <row r="49" spans="2:11" x14ac:dyDescent="0.25">
      <c r="B49" s="66"/>
      <c r="C49" s="5" t="s">
        <v>14</v>
      </c>
      <c r="D49" s="1">
        <v>2</v>
      </c>
      <c r="E49" s="11">
        <f>$C$6*$F$11*$C$11*D49</f>
        <v>14.3</v>
      </c>
      <c r="F49" s="11">
        <f t="shared" ref="F49:F51" si="16">$E$11*D49</f>
        <v>14620</v>
      </c>
      <c r="G49" s="11">
        <f t="shared" ref="G49:G51" si="17">$D$11*D49</f>
        <v>1075000</v>
      </c>
      <c r="H49" s="16">
        <f>'AHP (1) - Conforto'!I34</f>
        <v>1</v>
      </c>
      <c r="I49" s="18">
        <f t="shared" si="2"/>
        <v>15</v>
      </c>
      <c r="J49" s="16">
        <f>$C$6*$F$11*$G$11*D49</f>
        <v>0</v>
      </c>
      <c r="K49" s="1">
        <f>D49*$K$11</f>
        <v>81</v>
      </c>
    </row>
    <row r="50" spans="2:11" x14ac:dyDescent="0.25">
      <c r="B50" s="66"/>
      <c r="C50" s="5" t="s">
        <v>14</v>
      </c>
      <c r="D50" s="1">
        <v>4</v>
      </c>
      <c r="E50" s="11">
        <f>$C$6*$F$11*$C$11*D50</f>
        <v>28.6</v>
      </c>
      <c r="F50" s="11">
        <f t="shared" si="16"/>
        <v>29240</v>
      </c>
      <c r="G50" s="11">
        <f t="shared" si="17"/>
        <v>2150000</v>
      </c>
      <c r="H50" s="16">
        <f>'AHP (1) - Conforto'!I35</f>
        <v>6</v>
      </c>
      <c r="I50" s="18">
        <f t="shared" si="2"/>
        <v>7.5</v>
      </c>
      <c r="J50" s="16">
        <f>$C$6*$F$11*$G$11*D50</f>
        <v>0</v>
      </c>
      <c r="K50" s="1">
        <f>D50*$K$11</f>
        <v>162</v>
      </c>
    </row>
    <row r="51" spans="2:11" x14ac:dyDescent="0.25">
      <c r="B51" s="67"/>
      <c r="C51" s="7" t="s">
        <v>14</v>
      </c>
      <c r="D51" s="15">
        <v>6</v>
      </c>
      <c r="E51" s="13">
        <f>$C$6*$F$11*$C$11*D51</f>
        <v>42.900000000000006</v>
      </c>
      <c r="F51" s="13">
        <f t="shared" si="16"/>
        <v>43860</v>
      </c>
      <c r="G51" s="13">
        <f t="shared" si="17"/>
        <v>3225000</v>
      </c>
      <c r="H51" s="17">
        <f>'AHP (1) - Conforto'!I36</f>
        <v>7</v>
      </c>
      <c r="I51" s="19">
        <f t="shared" si="2"/>
        <v>5</v>
      </c>
      <c r="J51" s="17">
        <f>$C$6*$F$11*$G$11*D51</f>
        <v>0</v>
      </c>
      <c r="K51" s="15">
        <f>D51*$K$11</f>
        <v>243</v>
      </c>
    </row>
  </sheetData>
  <mergeCells count="3">
    <mergeCell ref="B16:B27"/>
    <mergeCell ref="B28:B39"/>
    <mergeCell ref="B40:B5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C74B-6F5F-456B-BE32-73BD19C4E5BF}">
  <sheetPr codeName="Planilha2">
    <tabColor theme="0" tint="-4.9989318521683403E-2"/>
  </sheetPr>
  <dimension ref="B2:L126"/>
  <sheetViews>
    <sheetView showGridLines="0" workbookViewId="0"/>
  </sheetViews>
  <sheetFormatPr defaultColWidth="8.85546875" defaultRowHeight="15" x14ac:dyDescent="0.25"/>
  <cols>
    <col min="1" max="1" width="8.85546875" style="9"/>
    <col min="2" max="2" width="20.5703125" style="5" customWidth="1"/>
    <col min="3" max="3" width="17.7109375" style="5" customWidth="1"/>
    <col min="4" max="4" width="29.28515625" style="1" bestFit="1" customWidth="1"/>
    <col min="5" max="5" width="19.28515625" style="1" bestFit="1" customWidth="1"/>
    <col min="6" max="6" width="19.28515625" style="1" customWidth="1"/>
    <col min="7" max="9" width="15.7109375" style="1" customWidth="1"/>
    <col min="10" max="10" width="15.140625" style="1" bestFit="1" customWidth="1"/>
    <col min="11" max="11" width="11.42578125" style="1" bestFit="1" customWidth="1"/>
    <col min="12" max="16384" width="8.85546875" style="9"/>
  </cols>
  <sheetData>
    <row r="2" spans="2:12" x14ac:dyDescent="0.25">
      <c r="B2" s="20" t="s">
        <v>32</v>
      </c>
      <c r="C2" s="7"/>
      <c r="D2" s="15"/>
      <c r="E2" s="15"/>
      <c r="F2" s="15"/>
      <c r="G2" s="15"/>
    </row>
    <row r="3" spans="2:12" x14ac:dyDescent="0.25">
      <c r="B3" s="33" t="s">
        <v>62</v>
      </c>
      <c r="C3" s="33"/>
      <c r="D3" s="40" t="s">
        <v>63</v>
      </c>
      <c r="E3" s="33" t="s">
        <v>45</v>
      </c>
      <c r="F3" s="33" t="s">
        <v>46</v>
      </c>
      <c r="G3" s="33" t="s">
        <v>47</v>
      </c>
      <c r="L3" s="1"/>
    </row>
    <row r="4" spans="2:12" x14ac:dyDescent="0.25">
      <c r="B4" s="1" t="s">
        <v>52</v>
      </c>
      <c r="C4" s="1">
        <v>8</v>
      </c>
      <c r="D4" s="9" t="s">
        <v>61</v>
      </c>
      <c r="E4" s="1">
        <f>'AHP (1) - Dados'!$I9/2</f>
        <v>19</v>
      </c>
      <c r="F4" s="1">
        <f>'AHP (1) - Dados'!$I10/2</f>
        <v>21</v>
      </c>
      <c r="G4" s="1">
        <f>'AHP (1) - Dados'!$I11/2</f>
        <v>20</v>
      </c>
      <c r="L4" s="1"/>
    </row>
    <row r="5" spans="2:12" x14ac:dyDescent="0.25">
      <c r="B5" s="1" t="s">
        <v>39</v>
      </c>
      <c r="C5" s="1">
        <v>7</v>
      </c>
      <c r="D5" s="9" t="s">
        <v>53</v>
      </c>
      <c r="E5" s="1">
        <f>'AHP (1) - Dados'!$I9</f>
        <v>38</v>
      </c>
      <c r="F5" s="1">
        <f>'AHP (1) - Dados'!$I10</f>
        <v>42</v>
      </c>
      <c r="G5" s="1">
        <f>'AHP (1) - Dados'!$I11</f>
        <v>40</v>
      </c>
      <c r="L5" s="1"/>
    </row>
    <row r="6" spans="2:12" x14ac:dyDescent="0.25">
      <c r="B6" s="1" t="s">
        <v>40</v>
      </c>
      <c r="C6" s="1">
        <v>6</v>
      </c>
      <c r="D6" s="9" t="s">
        <v>54</v>
      </c>
      <c r="E6" s="1">
        <f>'AHP (1) - Dados'!$I9+'AHP (1) - Dados'!$J9*0.25</f>
        <v>48.5</v>
      </c>
      <c r="F6" s="1">
        <f>'AHP (1) - Dados'!$I10+'AHP (1) - Dados'!$J10*0.25</f>
        <v>51</v>
      </c>
      <c r="G6" s="1">
        <f>'AHP (1) - Dados'!$I11+'AHP (1) - Dados'!$J11*0.25</f>
        <v>50.25</v>
      </c>
      <c r="L6" s="1"/>
    </row>
    <row r="7" spans="2:12" x14ac:dyDescent="0.25">
      <c r="B7" s="1" t="s">
        <v>41</v>
      </c>
      <c r="C7" s="1">
        <v>5</v>
      </c>
      <c r="D7" s="9" t="s">
        <v>55</v>
      </c>
      <c r="E7" s="1">
        <f>'AHP (1) - Dados'!$I9+'AHP (1) - Dados'!$J9*0.5</f>
        <v>59</v>
      </c>
      <c r="F7" s="1">
        <f>'AHP (1) - Dados'!$I10+'AHP (1) - Dados'!$J10*0.5</f>
        <v>60</v>
      </c>
      <c r="G7" s="1">
        <f>'AHP (1) - Dados'!$I11+'AHP (1) - Dados'!$J11*0.5</f>
        <v>60.5</v>
      </c>
      <c r="L7" s="1"/>
    </row>
    <row r="8" spans="2:12" x14ac:dyDescent="0.25">
      <c r="B8" s="1" t="s">
        <v>42</v>
      </c>
      <c r="C8" s="1">
        <v>4</v>
      </c>
      <c r="D8" s="9" t="s">
        <v>56</v>
      </c>
      <c r="E8" s="1">
        <f>'AHP (1) - Dados'!$I9+'AHP (1) - Dados'!$J9*0.75</f>
        <v>69.5</v>
      </c>
      <c r="F8" s="1">
        <f>'AHP (1) - Dados'!$I10+'AHP (1) - Dados'!$J10*0.75</f>
        <v>69</v>
      </c>
      <c r="G8" s="1">
        <f>'AHP (1) - Dados'!$I11+'AHP (1) - Dados'!$J11*0.75</f>
        <v>70.75</v>
      </c>
      <c r="L8" s="1"/>
    </row>
    <row r="9" spans="2:12" x14ac:dyDescent="0.25">
      <c r="B9" s="1" t="s">
        <v>43</v>
      </c>
      <c r="C9" s="1">
        <v>3</v>
      </c>
      <c r="D9" s="9" t="s">
        <v>57</v>
      </c>
      <c r="E9" s="1">
        <f>'AHP (1) - Dados'!$I9+'AHP (1) - Dados'!$J9</f>
        <v>80</v>
      </c>
      <c r="F9" s="1">
        <f>'AHP (1) - Dados'!$I10+'AHP (1) - Dados'!$J10</f>
        <v>78</v>
      </c>
      <c r="G9" s="1">
        <f>'AHP (1) - Dados'!$I11+'AHP (1) - Dados'!$J11</f>
        <v>81</v>
      </c>
      <c r="L9" s="1"/>
    </row>
    <row r="10" spans="2:12" x14ac:dyDescent="0.25">
      <c r="B10" s="1" t="s">
        <v>44</v>
      </c>
      <c r="C10" s="1">
        <v>2</v>
      </c>
      <c r="D10" s="9" t="s">
        <v>58</v>
      </c>
      <c r="E10" s="1">
        <f>'AHP (1) - Dados'!$I9+'AHP (1) - Dados'!$J9*1.2</f>
        <v>88.4</v>
      </c>
      <c r="F10" s="1">
        <f>'AHP (1) - Dados'!$I10+'AHP (1) - Dados'!$J10*1.2</f>
        <v>85.199999999999989</v>
      </c>
      <c r="G10" s="1">
        <f>'AHP (1) - Dados'!$I11+'AHP (1) - Dados'!$J11*1.2</f>
        <v>89.199999999999989</v>
      </c>
      <c r="L10" s="1"/>
    </row>
    <row r="11" spans="2:12" x14ac:dyDescent="0.25">
      <c r="B11" s="15" t="s">
        <v>59</v>
      </c>
      <c r="C11" s="15">
        <v>1</v>
      </c>
      <c r="D11" s="10" t="s">
        <v>60</v>
      </c>
      <c r="E11" s="15">
        <f>E10</f>
        <v>88.4</v>
      </c>
      <c r="F11" s="15">
        <f>F10</f>
        <v>85.199999999999989</v>
      </c>
      <c r="G11" s="15">
        <f>G10</f>
        <v>89.199999999999989</v>
      </c>
      <c r="L11" s="1"/>
    </row>
    <row r="12" spans="2:12" x14ac:dyDescent="0.25">
      <c r="B12" s="1"/>
      <c r="C12" s="1"/>
    </row>
    <row r="13" spans="2:12" x14ac:dyDescent="0.25">
      <c r="B13" s="20"/>
      <c r="C13" s="7"/>
      <c r="D13" s="15"/>
      <c r="E13" s="15"/>
      <c r="F13" s="15"/>
    </row>
    <row r="14" spans="2:12" x14ac:dyDescent="0.25">
      <c r="B14" s="37" t="s">
        <v>15</v>
      </c>
      <c r="C14" s="38"/>
      <c r="D14" s="39"/>
      <c r="E14" s="39"/>
      <c r="F14" s="39"/>
      <c r="G14" s="36"/>
      <c r="H14" s="36"/>
      <c r="I14" s="36"/>
    </row>
    <row r="15" spans="2:12" x14ac:dyDescent="0.25">
      <c r="B15" s="21"/>
      <c r="C15" s="22"/>
      <c r="D15" s="23"/>
      <c r="E15" s="23"/>
      <c r="F15" s="23"/>
      <c r="G15" s="71" t="s">
        <v>31</v>
      </c>
      <c r="H15" s="71"/>
      <c r="I15" s="71"/>
    </row>
    <row r="16" spans="2:12" x14ac:dyDescent="0.25">
      <c r="B16" s="33" t="s">
        <v>48</v>
      </c>
      <c r="C16" s="33" t="s">
        <v>49</v>
      </c>
      <c r="D16" s="33" t="s">
        <v>27</v>
      </c>
      <c r="E16" s="30" t="s">
        <v>50</v>
      </c>
      <c r="F16" s="33" t="s">
        <v>51</v>
      </c>
      <c r="G16" s="30" t="s">
        <v>45</v>
      </c>
      <c r="H16" s="30" t="s">
        <v>46</v>
      </c>
      <c r="I16" s="30" t="s">
        <v>47</v>
      </c>
    </row>
    <row r="17" spans="2:11" x14ac:dyDescent="0.25">
      <c r="B17" s="68">
        <v>260</v>
      </c>
      <c r="C17" s="68">
        <v>204</v>
      </c>
      <c r="D17" s="24">
        <v>1</v>
      </c>
      <c r="E17" s="16">
        <f>IF($B$17&lt;&gt;0,$B$17/$D17,"")</f>
        <v>260</v>
      </c>
      <c r="F17" s="16">
        <f>IF($C$17&lt;&gt;0,$C$17/$D17,"")</f>
        <v>204</v>
      </c>
      <c r="G17" s="1">
        <f>IF(F17&lt;=$E$4,$C$4,IF(F17&lt;=$E$5,$C$5,IF(F17&lt;=$E$6,$C$6,IF(F17&lt;=$E$7,$C$7,IF(F17&lt;=$E$8,$C$8,IF(F17&lt;=$E$9,$C$9,IF(F17&lt;=$E$10,$C$10,$C$11)))))))</f>
        <v>1</v>
      </c>
      <c r="H17" s="1">
        <f>IF(F17&lt;=$F$4,$C$4,IF(F17&lt;=$F$5,$C$5,IF(F17&lt;=$F$6,$C$6,IF(F17&lt;=$F$7,$C$7,IF(F17&lt;=$F$8,$C$8,IF(F17&lt;=$F$9,$C$9,IF(F17&lt;=$F$10,$C$10,$C$11)))))))</f>
        <v>1</v>
      </c>
      <c r="I17" s="1">
        <f>IF(F17&lt;=$G$4,$C$4,IF(F17&lt;=$G$5,$C$5,IF(F17&lt;=$G$6,$C$6,IF(F17&lt;=$G$7,$C$7,IF(F17&lt;=$G$8,$C$8,IF(F17&lt;=$G$9,$C$9,IF(F17&lt;=$G$10,$C$10,$C$11)))))))</f>
        <v>1</v>
      </c>
      <c r="J17" s="9"/>
      <c r="K17" s="9"/>
    </row>
    <row r="18" spans="2:11" x14ac:dyDescent="0.25">
      <c r="B18" s="69"/>
      <c r="C18" s="69"/>
      <c r="D18" s="1">
        <v>2</v>
      </c>
      <c r="E18" s="16">
        <f>IF($B$17&lt;&gt;0,$B$17/$D18,"")</f>
        <v>130</v>
      </c>
      <c r="F18" s="16">
        <f>IF($C$17&lt;&gt;0,$C$17/$D18,"")</f>
        <v>102</v>
      </c>
      <c r="G18" s="1">
        <f>IF(F18&lt;=$E$4,$C$4,IF(F18&lt;=$E$5,$C$5,IF(F18&lt;=$E$6,$C$6,IF(F18&lt;=$E$7,$C$7,IF(F18&lt;=$E$8,$C$8,IF(F18&lt;=$E$9,$C$9,IF(F18&lt;=$E$10,$C$10,$C$11)))))))</f>
        <v>1</v>
      </c>
      <c r="H18" s="1">
        <f t="shared" ref="H18:H20" si="0">IF(F18&lt;=$F$4,$C$4,IF(F18&lt;=$F$5,$C$5,IF(F18&lt;=$F$6,$C$6,IF(F18&lt;=$F$7,$C$7,IF(F18&lt;=$F$8,$C$8,IF(F18&lt;=$F$9,$C$9,IF(F18&lt;=$F$10,$C$10,$C$11)))))))</f>
        <v>1</v>
      </c>
      <c r="I18" s="1">
        <f t="shared" ref="I18:I20" si="1">IF(F18&lt;=$G$4,$C$4,IF(F18&lt;=$G$5,$C$5,IF(F18&lt;=$G$6,$C$6,IF(F18&lt;=$G$7,$C$7,IF(F18&lt;=$G$8,$C$8,IF(F18&lt;=$G$9,$C$9,IF(F18&lt;=$G$10,$C$10,$C$11)))))))</f>
        <v>1</v>
      </c>
      <c r="J18" s="9"/>
      <c r="K18" s="9"/>
    </row>
    <row r="19" spans="2:11" x14ac:dyDescent="0.25">
      <c r="B19" s="69"/>
      <c r="C19" s="69"/>
      <c r="D19" s="1">
        <v>4</v>
      </c>
      <c r="E19" s="16">
        <f>IF($B$17&lt;&gt;0,$B$17/$D19,"")</f>
        <v>65</v>
      </c>
      <c r="F19" s="16">
        <f>IF($C$17&lt;&gt;0,$C$17/$D19,"")</f>
        <v>51</v>
      </c>
      <c r="G19" s="1">
        <f>IF(F19&lt;=$E$4,$C$4,IF(F19&lt;=$E$5,$C$5,IF(F19&lt;=$E$6,$C$6,IF(F19&lt;=$E$7,$C$7,IF(F19&lt;=$E$8,$C$8,IF(F19&lt;=$E$9,$C$9,IF(F19&lt;=$E$10,$C$10,$C$11)))))))</f>
        <v>5</v>
      </c>
      <c r="H19" s="1">
        <f t="shared" si="0"/>
        <v>6</v>
      </c>
      <c r="I19" s="1">
        <f t="shared" si="1"/>
        <v>5</v>
      </c>
      <c r="J19" s="9"/>
      <c r="K19" s="9"/>
    </row>
    <row r="20" spans="2:11" x14ac:dyDescent="0.25">
      <c r="B20" s="70"/>
      <c r="C20" s="70"/>
      <c r="D20" s="15">
        <v>6</v>
      </c>
      <c r="E20" s="17">
        <f>IF($B$17&lt;&gt;0,$B$17/$D20,"")</f>
        <v>43.333333333333336</v>
      </c>
      <c r="F20" s="17">
        <f>IF($C$17&lt;&gt;0,$C$17/$D20,"")</f>
        <v>34</v>
      </c>
      <c r="G20" s="15">
        <f>IF(F20&lt;=$E$4,$C$4,IF(F20&lt;=$E$5,$C$5,IF(F20&lt;=$E$6,$C$6,IF(F20&lt;=$E$7,$C$7,IF(F20&lt;=$E$8,$C$8,IF(F20&lt;=$E$9,$C$9,IF(F20&lt;=$E$10,$C$10,$C$11)))))))</f>
        <v>7</v>
      </c>
      <c r="H20" s="15">
        <f t="shared" si="0"/>
        <v>7</v>
      </c>
      <c r="I20" s="15">
        <f t="shared" si="1"/>
        <v>7</v>
      </c>
      <c r="J20" s="9"/>
      <c r="K20" s="9"/>
    </row>
    <row r="21" spans="2:11" x14ac:dyDescent="0.25">
      <c r="B21" s="1"/>
      <c r="C21" s="1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34" t="s">
        <v>16</v>
      </c>
      <c r="C22" s="35"/>
      <c r="D22" s="36"/>
      <c r="E22" s="36"/>
      <c r="F22" s="36"/>
      <c r="G22" s="36"/>
      <c r="H22" s="36"/>
      <c r="I22" s="36"/>
      <c r="J22" s="9"/>
      <c r="K22" s="9"/>
    </row>
    <row r="23" spans="2:11" x14ac:dyDescent="0.25">
      <c r="B23" s="21"/>
      <c r="C23" s="22"/>
      <c r="D23" s="23"/>
      <c r="E23" s="23"/>
      <c r="F23" s="23"/>
      <c r="G23" s="71" t="s">
        <v>31</v>
      </c>
      <c r="H23" s="71"/>
      <c r="I23" s="71"/>
      <c r="J23" s="9"/>
      <c r="K23" s="9"/>
    </row>
    <row r="24" spans="2:11" x14ac:dyDescent="0.25">
      <c r="B24" s="33" t="s">
        <v>48</v>
      </c>
      <c r="C24" s="33" t="s">
        <v>49</v>
      </c>
      <c r="D24" s="33" t="s">
        <v>27</v>
      </c>
      <c r="E24" s="30" t="s">
        <v>50</v>
      </c>
      <c r="F24" s="33" t="s">
        <v>51</v>
      </c>
      <c r="G24" s="33" t="s">
        <v>45</v>
      </c>
      <c r="H24" s="33" t="s">
        <v>46</v>
      </c>
      <c r="I24" s="30" t="s">
        <v>47</v>
      </c>
      <c r="J24" s="9"/>
      <c r="K24" s="9"/>
    </row>
    <row r="25" spans="2:11" x14ac:dyDescent="0.25">
      <c r="B25" s="68">
        <v>206</v>
      </c>
      <c r="C25" s="68">
        <v>156</v>
      </c>
      <c r="D25" s="24">
        <v>1</v>
      </c>
      <c r="E25" s="16">
        <f>IF($B$25&lt;&gt;0,$B$25/$D25,"")</f>
        <v>206</v>
      </c>
      <c r="F25" s="16">
        <f>IF($C$25&lt;&gt;0,$C$25/$D25,"")</f>
        <v>156</v>
      </c>
      <c r="G25" s="1">
        <f>IF(F25&lt;=$E$4,$C$4,IF(F25&lt;=$E$5,$C$5,IF(F25&lt;=$E$6,$C$6,IF(F25&lt;=$E$7,$C$7,IF(F25&lt;=$E$8,$C$8,IF(F25&lt;=$E$9,$C$9,IF(F25&lt;=$E$10,$C$10,$C$11)))))))</f>
        <v>1</v>
      </c>
      <c r="H25" s="1">
        <f>IF(F25&lt;=$F$4,$C$4,IF(F25&lt;=$F$5,$C$5,IF(F25&lt;=$F$6,$C$6,IF(F25&lt;=$F$7,$C$7,IF(F25&lt;=$F$8,$C$8,IF(F25&lt;=$F$9,$C$9,IF(F25&lt;=$F$10,$C$10,$C$11)))))))</f>
        <v>1</v>
      </c>
      <c r="I25" s="1">
        <f>IF(F25&lt;=$G$4,$C$4,IF(F25&lt;=$G$5,$C$5,IF(F25&lt;=$G$6,$C$6,IF(F25&lt;=$G$7,$C$7,IF(F25&lt;=$G$8,$C$8,IF(F25&lt;=$G$9,$C$9,IF(F25&lt;=$G$10,$C$10,$C$11)))))))</f>
        <v>1</v>
      </c>
      <c r="J25" s="9"/>
      <c r="K25" s="9"/>
    </row>
    <row r="26" spans="2:11" x14ac:dyDescent="0.25">
      <c r="B26" s="69"/>
      <c r="C26" s="69"/>
      <c r="D26" s="1">
        <v>2</v>
      </c>
      <c r="E26" s="16">
        <f t="shared" ref="E26:E28" si="2">IF($B$25&lt;&gt;0,$B$25/$D26,"")</f>
        <v>103</v>
      </c>
      <c r="F26" s="16">
        <f t="shared" ref="F26:F28" si="3">IF($C$25&lt;&gt;0,$C$25/$D26,"")</f>
        <v>78</v>
      </c>
      <c r="G26" s="1">
        <f>IF(F26&lt;=$E$4,$C$4,IF(F26&lt;=$E$5,$C$5,IF(F26&lt;=$E$6,$C$6,IF(F26&lt;=$E$7,$C$7,IF(F26&lt;=$E$8,$C$8,IF(F26&lt;=$E$9,$C$9,IF(F26&lt;=$E$10,$C$10,$C$11)))))))</f>
        <v>3</v>
      </c>
      <c r="H26" s="1">
        <f t="shared" ref="H26:H28" si="4">IF(F26&lt;=$F$4,$C$4,IF(F26&lt;=$F$5,$C$5,IF(F26&lt;=$F$6,$C$6,IF(F26&lt;=$F$7,$C$7,IF(F26&lt;=$F$8,$C$8,IF(F26&lt;=$F$9,$C$9,IF(F26&lt;=$F$10,$C$10,$C$11)))))))</f>
        <v>3</v>
      </c>
      <c r="I26" s="1">
        <f t="shared" ref="I26:I28" si="5">IF(F26&lt;=$G$4,$C$4,IF(F26&lt;=$G$5,$C$5,IF(F26&lt;=$G$6,$C$6,IF(F26&lt;=$G$7,$C$7,IF(F26&lt;=$G$8,$C$8,IF(F26&lt;=$G$9,$C$9,IF(F26&lt;=$G$10,$C$10,$C$11)))))))</f>
        <v>3</v>
      </c>
      <c r="J26" s="9"/>
      <c r="K26" s="9"/>
    </row>
    <row r="27" spans="2:11" x14ac:dyDescent="0.25">
      <c r="B27" s="69"/>
      <c r="C27" s="69"/>
      <c r="D27" s="1">
        <v>4</v>
      </c>
      <c r="E27" s="16">
        <f t="shared" si="2"/>
        <v>51.5</v>
      </c>
      <c r="F27" s="16">
        <f t="shared" si="3"/>
        <v>39</v>
      </c>
      <c r="G27" s="1">
        <f>IF(F27&lt;=$E$4,$C$4,IF(F27&lt;=$E$5,$C$5,IF(F27&lt;=$E$6,$C$6,IF(F27&lt;=$E$7,$C$7,IF(F27&lt;=$E$8,$C$8,IF(F27&lt;=$E$9,$C$9,IF(F27&lt;=$E$10,$C$10,$C$11)))))))</f>
        <v>6</v>
      </c>
      <c r="H27" s="1">
        <f t="shared" si="4"/>
        <v>7</v>
      </c>
      <c r="I27" s="1">
        <f t="shared" si="5"/>
        <v>7</v>
      </c>
      <c r="J27" s="9"/>
      <c r="K27" s="9"/>
    </row>
    <row r="28" spans="2:11" x14ac:dyDescent="0.25">
      <c r="B28" s="70"/>
      <c r="C28" s="70"/>
      <c r="D28" s="15">
        <v>6</v>
      </c>
      <c r="E28" s="17">
        <f t="shared" si="2"/>
        <v>34.333333333333336</v>
      </c>
      <c r="F28" s="17">
        <f t="shared" si="3"/>
        <v>26</v>
      </c>
      <c r="G28" s="15">
        <f>IF(F28&lt;=$E$4,$C$4,IF(F28&lt;=$E$5,$C$5,IF(F28&lt;=$E$6,$C$6,IF(F28&lt;=$E$7,$C$7,IF(F28&lt;=$E$8,$C$8,IF(F28&lt;=$E$9,$C$9,IF(F28&lt;=$E$10,$C$10,$C$11)))))))</f>
        <v>7</v>
      </c>
      <c r="H28" s="15">
        <f t="shared" si="4"/>
        <v>7</v>
      </c>
      <c r="I28" s="15">
        <f t="shared" si="5"/>
        <v>7</v>
      </c>
      <c r="J28" s="9"/>
      <c r="K28" s="9"/>
    </row>
    <row r="29" spans="2:11" x14ac:dyDescent="0.25">
      <c r="B29" s="1"/>
      <c r="C29" s="1"/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34" t="s">
        <v>17</v>
      </c>
      <c r="C30" s="35"/>
      <c r="D30" s="36"/>
      <c r="E30" s="36"/>
      <c r="F30" s="36"/>
      <c r="G30" s="36"/>
      <c r="H30" s="36"/>
      <c r="I30" s="36"/>
      <c r="J30" s="9"/>
      <c r="K30" s="9"/>
    </row>
    <row r="31" spans="2:11" x14ac:dyDescent="0.25">
      <c r="B31" s="21"/>
      <c r="C31" s="22"/>
      <c r="D31" s="23"/>
      <c r="E31" s="23"/>
      <c r="F31" s="23"/>
      <c r="G31" s="71" t="s">
        <v>31</v>
      </c>
      <c r="H31" s="71"/>
      <c r="I31" s="71"/>
      <c r="J31" s="9"/>
      <c r="K31" s="9"/>
    </row>
    <row r="32" spans="2:11" x14ac:dyDescent="0.25">
      <c r="B32" s="33" t="s">
        <v>48</v>
      </c>
      <c r="C32" s="33" t="s">
        <v>49</v>
      </c>
      <c r="D32" s="33" t="s">
        <v>27</v>
      </c>
      <c r="E32" s="30" t="s">
        <v>50</v>
      </c>
      <c r="F32" s="33" t="s">
        <v>51</v>
      </c>
      <c r="G32" s="33" t="s">
        <v>45</v>
      </c>
      <c r="H32" s="33" t="s">
        <v>46</v>
      </c>
      <c r="I32" s="30" t="s">
        <v>47</v>
      </c>
      <c r="J32" s="9"/>
      <c r="K32" s="9"/>
    </row>
    <row r="33" spans="2:11" x14ac:dyDescent="0.25">
      <c r="B33" s="68">
        <v>401</v>
      </c>
      <c r="C33" s="68">
        <v>192</v>
      </c>
      <c r="D33" s="24">
        <v>1</v>
      </c>
      <c r="E33" s="16">
        <f>IF($B$33&lt;&gt;0,$B$33/$D33,"")</f>
        <v>401</v>
      </c>
      <c r="F33" s="16">
        <f>IF($C$33&lt;&gt;0,$C$33/$D33,"")</f>
        <v>192</v>
      </c>
      <c r="G33" s="1">
        <f>IF(F33&lt;=$E$4,$C$4,IF(F33&lt;=$E$5,$C$5,IF(F33&lt;=$E$6,$C$6,IF(F33&lt;=$E$7,$C$7,IF(F33&lt;=$E$8,$C$8,IF(F33&lt;=$E$9,$C$9,IF(F33&lt;=$E$10,$C$10,$C$11)))))))</f>
        <v>1</v>
      </c>
      <c r="H33" s="1">
        <f>IF(F33&lt;=$F$4,$C$4,IF(F33&lt;=$F$5,$C$5,IF(F33&lt;=$F$6,$C$6,IF(F33&lt;=$F$7,$C$7,IF(F33&lt;=$F$8,$C$8,IF(F33&lt;=$F$9,$C$9,IF(F33&lt;=$F$10,$C$10,$C$11)))))))</f>
        <v>1</v>
      </c>
      <c r="I33" s="1">
        <f>IF(F33&lt;=$G$4,$C$4,IF(F33&lt;=$G$5,$C$5,IF(F33&lt;=$G$6,$C$6,IF(F33&lt;=$G$7,$C$7,IF(F33&lt;=$G$8,$C$8,IF(F33&lt;=$G$9,$C$9,IF(F33&lt;=$G$10,$C$10,$C$11)))))))</f>
        <v>1</v>
      </c>
      <c r="J33" s="9"/>
      <c r="K33" s="9"/>
    </row>
    <row r="34" spans="2:11" x14ac:dyDescent="0.25">
      <c r="B34" s="69"/>
      <c r="C34" s="69"/>
      <c r="D34" s="1">
        <v>2</v>
      </c>
      <c r="E34" s="16">
        <f t="shared" ref="E34:E36" si="6">IF($B$33&lt;&gt;0,$B$33/$D34,"")</f>
        <v>200.5</v>
      </c>
      <c r="F34" s="16">
        <f t="shared" ref="F34:F36" si="7">IF($C$33&lt;&gt;0,$C$33/$D34,"")</f>
        <v>96</v>
      </c>
      <c r="G34" s="1">
        <f>IF(F34&lt;=$E$4,$C$4,IF(F34&lt;=$E$5,$C$5,IF(F34&lt;=$E$6,$C$6,IF(F34&lt;=$E$7,$C$7,IF(F34&lt;=$E$8,$C$8,IF(F34&lt;=$E$9,$C$9,IF(F34&lt;=$E$10,$C$10,$C$11)))))))</f>
        <v>1</v>
      </c>
      <c r="H34" s="1">
        <f t="shared" ref="H34:H36" si="8">IF(F34&lt;=$F$4,$C$4,IF(F34&lt;=$F$5,$C$5,IF(F34&lt;=$F$6,$C$6,IF(F34&lt;=$F$7,$C$7,IF(F34&lt;=$F$8,$C$8,IF(F34&lt;=$F$9,$C$9,IF(F34&lt;=$F$10,$C$10,$C$11)))))))</f>
        <v>1</v>
      </c>
      <c r="I34" s="1">
        <f t="shared" ref="I34:I36" si="9">IF(F34&lt;=$G$4,$C$4,IF(F34&lt;=$G$5,$C$5,IF(F34&lt;=$G$6,$C$6,IF(F34&lt;=$G$7,$C$7,IF(F34&lt;=$G$8,$C$8,IF(F34&lt;=$G$9,$C$9,IF(F34&lt;=$G$10,$C$10,$C$11)))))))</f>
        <v>1</v>
      </c>
      <c r="J34" s="9"/>
      <c r="K34" s="9"/>
    </row>
    <row r="35" spans="2:11" x14ac:dyDescent="0.25">
      <c r="B35" s="69"/>
      <c r="C35" s="69"/>
      <c r="D35" s="1">
        <v>4</v>
      </c>
      <c r="E35" s="16">
        <f t="shared" si="6"/>
        <v>100.25</v>
      </c>
      <c r="F35" s="16">
        <f t="shared" si="7"/>
        <v>48</v>
      </c>
      <c r="G35" s="1">
        <f>IF(F35&lt;=$E$4,$C$4,IF(F35&lt;=$E$5,$C$5,IF(F35&lt;=$E$6,$C$6,IF(F35&lt;=$E$7,$C$7,IF(F35&lt;=$E$8,$C$8,IF(F35&lt;=$E$9,$C$9,IF(F35&lt;=$E$10,$C$10,$C$11)))))))</f>
        <v>6</v>
      </c>
      <c r="H35" s="1">
        <f t="shared" si="8"/>
        <v>6</v>
      </c>
      <c r="I35" s="1">
        <f t="shared" si="9"/>
        <v>6</v>
      </c>
      <c r="J35" s="9"/>
      <c r="K35" s="9"/>
    </row>
    <row r="36" spans="2:11" x14ac:dyDescent="0.25">
      <c r="B36" s="70"/>
      <c r="C36" s="70"/>
      <c r="D36" s="15">
        <v>6</v>
      </c>
      <c r="E36" s="17">
        <f t="shared" si="6"/>
        <v>66.833333333333329</v>
      </c>
      <c r="F36" s="17">
        <f t="shared" si="7"/>
        <v>32</v>
      </c>
      <c r="G36" s="15">
        <f>IF(F36&lt;=$E$4,$C$4,IF(F36&lt;=$E$5,$C$5,IF(F36&lt;=$E$6,$C$6,IF(F36&lt;=$E$7,$C$7,IF(F36&lt;=$E$8,$C$8,IF(F36&lt;=$E$9,$C$9,IF(F36&lt;=$E$10,$C$10,$C$11)))))))</f>
        <v>7</v>
      </c>
      <c r="H36" s="15">
        <f t="shared" si="8"/>
        <v>7</v>
      </c>
      <c r="I36" s="15">
        <f t="shared" si="9"/>
        <v>7</v>
      </c>
      <c r="J36" s="9"/>
      <c r="K36" s="9"/>
    </row>
    <row r="37" spans="2:11" x14ac:dyDescent="0.25">
      <c r="B37" s="1"/>
      <c r="C37" s="1"/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1"/>
      <c r="C38" s="1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1"/>
      <c r="C39" s="9"/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1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1"/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1"/>
      <c r="C42" s="9"/>
      <c r="D42" s="9"/>
      <c r="E42" s="9"/>
      <c r="F42" s="9"/>
      <c r="G42" s="9"/>
      <c r="H42" s="9"/>
      <c r="I42" s="9"/>
      <c r="J42" s="9"/>
      <c r="K42" s="9"/>
    </row>
    <row r="43" spans="2:11" x14ac:dyDescent="0.25">
      <c r="B43" s="1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25">
      <c r="B44" s="1"/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25">
      <c r="B45" s="1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5">
      <c r="B46" s="1"/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1"/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1"/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1"/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1"/>
      <c r="C50" s="9"/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1"/>
      <c r="C51" s="9"/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1"/>
      <c r="C52" s="9"/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1"/>
      <c r="C53" s="9"/>
      <c r="D53" s="9"/>
      <c r="E53" s="9"/>
      <c r="F53" s="9"/>
      <c r="G53" s="9"/>
      <c r="H53" s="9"/>
      <c r="I53" s="9"/>
      <c r="J53" s="9"/>
      <c r="K53" s="9"/>
    </row>
    <row r="54" spans="2:11" x14ac:dyDescent="0.25">
      <c r="B54" s="1"/>
      <c r="C54" s="9"/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1"/>
      <c r="C55" s="9"/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1"/>
      <c r="C56" s="9"/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1"/>
      <c r="C57" s="9"/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1"/>
      <c r="C58" s="9"/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1"/>
      <c r="C59" s="9"/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1"/>
      <c r="C60" s="9"/>
      <c r="D60" s="9"/>
      <c r="E60" s="9"/>
      <c r="F60" s="9"/>
      <c r="G60" s="9"/>
      <c r="H60" s="9"/>
      <c r="I60" s="9"/>
      <c r="J60" s="9"/>
      <c r="K60" s="9"/>
    </row>
    <row r="61" spans="2:11" x14ac:dyDescent="0.25">
      <c r="B61" s="1"/>
      <c r="C61" s="9"/>
      <c r="D61" s="9"/>
      <c r="E61" s="9"/>
      <c r="F61" s="9"/>
      <c r="G61" s="9"/>
      <c r="H61" s="9"/>
      <c r="I61" s="9"/>
      <c r="J61" s="9"/>
      <c r="K61" s="9"/>
    </row>
    <row r="62" spans="2:11" x14ac:dyDescent="0.25">
      <c r="B62" s="1"/>
      <c r="C62" s="9"/>
      <c r="D62" s="9"/>
      <c r="E62" s="9"/>
      <c r="F62" s="9"/>
      <c r="G62" s="9"/>
      <c r="H62" s="9"/>
      <c r="I62" s="9"/>
      <c r="J62" s="9"/>
      <c r="K62" s="9"/>
    </row>
    <row r="63" spans="2:11" x14ac:dyDescent="0.25">
      <c r="B63" s="1"/>
      <c r="C63" s="1"/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1"/>
      <c r="C64" s="1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1"/>
      <c r="C65" s="1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1"/>
      <c r="C66" s="1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1"/>
      <c r="C67" s="1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1"/>
      <c r="C68" s="1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1"/>
      <c r="C69" s="1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1"/>
      <c r="C70" s="1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1"/>
      <c r="C71" s="1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1"/>
      <c r="C72" s="1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1"/>
      <c r="C73" s="1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1"/>
      <c r="C74" s="1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1"/>
      <c r="C75" s="1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1"/>
      <c r="C76" s="1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1"/>
      <c r="C77" s="1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1"/>
      <c r="C78" s="1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1"/>
      <c r="C79" s="1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1"/>
      <c r="C80" s="1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1"/>
      <c r="C81" s="1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1"/>
      <c r="C82" s="1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1"/>
      <c r="C83" s="1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1"/>
      <c r="C84" s="1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1"/>
      <c r="C85" s="1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1"/>
      <c r="C86" s="1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1"/>
      <c r="C87" s="1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1"/>
      <c r="C88" s="1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1"/>
      <c r="C89" s="1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1"/>
      <c r="C90" s="1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1"/>
      <c r="C91" s="1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1"/>
      <c r="C92" s="1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1"/>
      <c r="C93" s="1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1"/>
      <c r="C94" s="1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1"/>
      <c r="C95" s="1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1"/>
      <c r="C96" s="1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1"/>
      <c r="C97" s="1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1"/>
      <c r="C98" s="1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1"/>
      <c r="C99" s="1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1"/>
      <c r="C100" s="1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1"/>
      <c r="C101" s="1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1"/>
      <c r="C102" s="1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1"/>
      <c r="C103" s="1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1"/>
      <c r="C104" s="1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1"/>
      <c r="C105" s="1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1"/>
      <c r="C106" s="1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1"/>
      <c r="C107" s="1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1"/>
      <c r="C108" s="1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1"/>
      <c r="C109" s="1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1"/>
      <c r="C110" s="1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1"/>
      <c r="C111" s="1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1"/>
      <c r="C112" s="1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1"/>
      <c r="C113" s="1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1"/>
      <c r="C114" s="1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1"/>
      <c r="C115" s="1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1"/>
      <c r="C116" s="1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1"/>
      <c r="C117" s="1"/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1"/>
      <c r="C118" s="1"/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1"/>
      <c r="C119" s="1"/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1"/>
      <c r="C120" s="1"/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1"/>
      <c r="C121" s="1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1"/>
      <c r="C122" s="1"/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1"/>
      <c r="C123" s="1"/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1"/>
      <c r="C124" s="1"/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1"/>
      <c r="C125" s="1"/>
      <c r="D125" s="9"/>
      <c r="E125" s="9"/>
      <c r="F125" s="9"/>
      <c r="G125" s="9"/>
      <c r="H125" s="9"/>
      <c r="I125" s="9"/>
      <c r="J125" s="9"/>
      <c r="K125" s="9"/>
    </row>
    <row r="126" spans="2:11" x14ac:dyDescent="0.25">
      <c r="B126" s="1"/>
      <c r="C126" s="1"/>
      <c r="D126" s="9"/>
      <c r="E126" s="9"/>
      <c r="F126" s="9"/>
      <c r="G126" s="9"/>
      <c r="H126" s="9"/>
      <c r="I126" s="9"/>
      <c r="J126" s="9"/>
      <c r="K126" s="9"/>
    </row>
  </sheetData>
  <mergeCells count="9">
    <mergeCell ref="C25:C28"/>
    <mergeCell ref="G31:I31"/>
    <mergeCell ref="B33:B36"/>
    <mergeCell ref="C33:C36"/>
    <mergeCell ref="G15:I15"/>
    <mergeCell ref="B17:B20"/>
    <mergeCell ref="C17:C20"/>
    <mergeCell ref="G23:I23"/>
    <mergeCell ref="B25:B2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5687-F891-42EC-96FC-524FB4EC09EC}">
  <sheetPr codeName="Planilha3">
    <tabColor theme="7" tint="-0.499984740745262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6" width="23.7109375" customWidth="1"/>
    <col min="7" max="7" width="18.28515625" bestFit="1" customWidth="1"/>
    <col min="8" max="8" width="35.7109375" bestFit="1" customWidth="1"/>
  </cols>
  <sheetData>
    <row r="2" spans="2:9" x14ac:dyDescent="0.25">
      <c r="B2" s="3" t="s">
        <v>10</v>
      </c>
      <c r="C2" s="1"/>
      <c r="D2" s="1"/>
      <c r="E2" s="1"/>
      <c r="F2" s="1"/>
      <c r="G2" s="3" t="s">
        <v>81</v>
      </c>
      <c r="H2" s="1"/>
      <c r="I2" s="1"/>
    </row>
    <row r="3" spans="2:9" x14ac:dyDescent="0.25">
      <c r="B3" s="6"/>
      <c r="C3" s="29" t="s">
        <v>78</v>
      </c>
      <c r="D3" s="29" t="s">
        <v>79</v>
      </c>
      <c r="E3" s="29" t="s">
        <v>80</v>
      </c>
      <c r="F3" s="1"/>
      <c r="G3" s="6" t="s">
        <v>82</v>
      </c>
      <c r="H3" s="6" t="s">
        <v>83</v>
      </c>
      <c r="I3" s="1"/>
    </row>
    <row r="4" spans="2:9" x14ac:dyDescent="0.25">
      <c r="B4" s="4" t="s">
        <v>78</v>
      </c>
      <c r="C4" s="2">
        <v>1</v>
      </c>
      <c r="D4" s="2"/>
      <c r="E4" s="2"/>
      <c r="F4" s="1"/>
      <c r="G4" s="4">
        <v>1</v>
      </c>
      <c r="H4" s="4" t="s">
        <v>84</v>
      </c>
      <c r="I4" s="1"/>
    </row>
    <row r="5" spans="2:9" x14ac:dyDescent="0.25">
      <c r="B5" s="4" t="s">
        <v>79</v>
      </c>
      <c r="C5" s="2">
        <f>IFERROR(1/D4,0)</f>
        <v>0</v>
      </c>
      <c r="D5" s="2">
        <v>1</v>
      </c>
      <c r="E5" s="2"/>
      <c r="F5" s="1"/>
      <c r="G5" s="4">
        <v>3</v>
      </c>
      <c r="H5" s="4" t="s">
        <v>85</v>
      </c>
      <c r="I5" s="1"/>
    </row>
    <row r="6" spans="2:9" x14ac:dyDescent="0.25">
      <c r="B6" s="4" t="s">
        <v>80</v>
      </c>
      <c r="C6" s="2">
        <f>IFERROR(1/E4,0)</f>
        <v>0</v>
      </c>
      <c r="D6" s="2">
        <f>IFERROR(1/E5,0)</f>
        <v>0</v>
      </c>
      <c r="E6" s="2">
        <v>1</v>
      </c>
      <c r="F6" s="1"/>
      <c r="G6" s="4">
        <v>5</v>
      </c>
      <c r="H6" s="4" t="s">
        <v>86</v>
      </c>
      <c r="I6" s="1"/>
    </row>
    <row r="7" spans="2:9" x14ac:dyDescent="0.25">
      <c r="B7" s="6" t="s">
        <v>19</v>
      </c>
      <c r="C7" s="29">
        <f>SUM(C4:C6)</f>
        <v>1</v>
      </c>
      <c r="D7" s="29">
        <f>SUM(D4:D6)</f>
        <v>1</v>
      </c>
      <c r="E7" s="29">
        <f>SUM(E4:E6)</f>
        <v>1</v>
      </c>
      <c r="F7" s="1"/>
      <c r="G7" s="4">
        <v>7</v>
      </c>
      <c r="H7" s="4" t="s">
        <v>87</v>
      </c>
      <c r="I7" s="1"/>
    </row>
    <row r="8" spans="2:9" x14ac:dyDescent="0.25">
      <c r="B8" s="5"/>
      <c r="C8" s="1"/>
      <c r="D8" s="1"/>
      <c r="E8" s="1"/>
      <c r="F8" s="1"/>
      <c r="G8" s="4">
        <v>9</v>
      </c>
      <c r="H8" s="4" t="s">
        <v>88</v>
      </c>
      <c r="I8" s="1"/>
    </row>
    <row r="9" spans="2:9" x14ac:dyDescent="0.25">
      <c r="B9" s="3" t="s">
        <v>74</v>
      </c>
      <c r="C9" s="1"/>
      <c r="D9" s="1"/>
      <c r="E9" s="1"/>
      <c r="F9" s="1"/>
      <c r="G9" s="1"/>
      <c r="H9" s="1"/>
      <c r="I9" s="1"/>
    </row>
    <row r="10" spans="2:9" x14ac:dyDescent="0.25">
      <c r="B10" s="6"/>
      <c r="C10" s="29" t="s">
        <v>78</v>
      </c>
      <c r="D10" s="29" t="s">
        <v>79</v>
      </c>
      <c r="E10" s="29" t="s">
        <v>80</v>
      </c>
      <c r="F10" s="1"/>
      <c r="G10" s="1"/>
      <c r="H10" s="1"/>
      <c r="I10" s="1"/>
    </row>
    <row r="11" spans="2:9" x14ac:dyDescent="0.25">
      <c r="B11" s="4" t="s">
        <v>78</v>
      </c>
      <c r="C11" s="27">
        <f t="shared" ref="C11:E13" si="0">C4/C$7</f>
        <v>1</v>
      </c>
      <c r="D11" s="27">
        <f t="shared" si="0"/>
        <v>0</v>
      </c>
      <c r="E11" s="27">
        <f t="shared" si="0"/>
        <v>0</v>
      </c>
      <c r="F11" s="1"/>
      <c r="G11" s="1"/>
      <c r="H11" s="1"/>
      <c r="I11" s="1"/>
    </row>
    <row r="12" spans="2:9" x14ac:dyDescent="0.25">
      <c r="B12" s="4" t="s">
        <v>79</v>
      </c>
      <c r="C12" s="27">
        <f t="shared" si="0"/>
        <v>0</v>
      </c>
      <c r="D12" s="27">
        <f t="shared" si="0"/>
        <v>1</v>
      </c>
      <c r="E12" s="27">
        <f t="shared" si="0"/>
        <v>0</v>
      </c>
      <c r="F12" s="1"/>
      <c r="G12" s="1"/>
      <c r="H12" s="1"/>
      <c r="I12" s="1"/>
    </row>
    <row r="13" spans="2:9" x14ac:dyDescent="0.25">
      <c r="B13" s="4" t="s">
        <v>80</v>
      </c>
      <c r="C13" s="27">
        <f t="shared" si="0"/>
        <v>0</v>
      </c>
      <c r="D13" s="27">
        <f t="shared" si="0"/>
        <v>0</v>
      </c>
      <c r="E13" s="27">
        <f t="shared" si="0"/>
        <v>1</v>
      </c>
      <c r="F13" s="1"/>
      <c r="G13" s="1"/>
      <c r="H13" s="1"/>
      <c r="I13" s="1"/>
    </row>
    <row r="14" spans="2:9" x14ac:dyDescent="0.25">
      <c r="B14" s="6" t="s">
        <v>19</v>
      </c>
      <c r="C14" s="29">
        <f>SUM(C11:C13)</f>
        <v>1</v>
      </c>
      <c r="D14" s="29">
        <f>SUM(D11:D13)</f>
        <v>1</v>
      </c>
      <c r="E14" s="29">
        <f>SUM(E11:E13)</f>
        <v>1</v>
      </c>
      <c r="F14" s="1"/>
      <c r="G14" s="1"/>
      <c r="H14" s="1"/>
      <c r="I14" s="1"/>
    </row>
    <row r="15" spans="2:9" x14ac:dyDescent="0.25">
      <c r="B15" s="5"/>
      <c r="C15" s="1"/>
      <c r="D15" s="1"/>
      <c r="E15" s="1"/>
      <c r="F15" s="1"/>
      <c r="G15" s="1"/>
      <c r="H15" s="1"/>
      <c r="I15" s="1"/>
    </row>
    <row r="16" spans="2:9" x14ac:dyDescent="0.25">
      <c r="B16" s="3" t="s">
        <v>73</v>
      </c>
      <c r="C16" s="1"/>
      <c r="D16" s="1"/>
      <c r="E16" s="1"/>
      <c r="F16" s="1"/>
      <c r="G16" s="1"/>
      <c r="H16" s="1"/>
      <c r="I16" s="1"/>
    </row>
    <row r="17" spans="2:10" x14ac:dyDescent="0.25">
      <c r="B17" s="6"/>
      <c r="C17" s="30" t="s">
        <v>11</v>
      </c>
      <c r="D17" s="1"/>
      <c r="E17" s="1"/>
      <c r="F17" s="1"/>
      <c r="G17" s="1"/>
      <c r="H17" s="1"/>
      <c r="I17" s="1"/>
    </row>
    <row r="18" spans="2:10" x14ac:dyDescent="0.25">
      <c r="B18" s="4" t="s">
        <v>78</v>
      </c>
      <c r="C18" s="8">
        <f>AVERAGE(C11:E11)</f>
        <v>0.33333333333333331</v>
      </c>
      <c r="D18" s="1"/>
      <c r="E18" s="1"/>
      <c r="F18" s="1"/>
      <c r="G18" s="1"/>
      <c r="H18" s="1"/>
      <c r="I18" s="1"/>
    </row>
    <row r="19" spans="2:10" x14ac:dyDescent="0.25">
      <c r="B19" s="4" t="s">
        <v>79</v>
      </c>
      <c r="C19" s="8">
        <f t="shared" ref="C19:C20" si="1">AVERAGE(C12:E12)</f>
        <v>0.33333333333333331</v>
      </c>
      <c r="D19" s="1"/>
      <c r="E19" s="1"/>
      <c r="F19" s="1"/>
      <c r="G19" s="1"/>
      <c r="H19" s="1"/>
      <c r="I19" s="1"/>
    </row>
    <row r="20" spans="2:10" x14ac:dyDescent="0.25">
      <c r="B20" s="4" t="s">
        <v>80</v>
      </c>
      <c r="C20" s="8">
        <f t="shared" si="1"/>
        <v>0.33333333333333331</v>
      </c>
      <c r="D20" s="1"/>
      <c r="E20" s="1"/>
      <c r="F20" s="1"/>
      <c r="G20" s="1"/>
      <c r="H20" s="1"/>
      <c r="I20" s="1"/>
    </row>
    <row r="21" spans="2:10" x14ac:dyDescent="0.25">
      <c r="B21" s="6" t="s">
        <v>19</v>
      </c>
      <c r="C21" s="31">
        <f>SUM(C18:C20)</f>
        <v>1</v>
      </c>
      <c r="D21" s="1"/>
      <c r="E21" s="1"/>
      <c r="F21" s="1"/>
      <c r="G21" s="1"/>
      <c r="H21" s="1"/>
      <c r="I21" s="1"/>
    </row>
    <row r="22" spans="2:10" x14ac:dyDescent="0.25">
      <c r="B22" s="5"/>
      <c r="C22" s="1"/>
      <c r="D22" s="1"/>
      <c r="E22" s="1"/>
      <c r="F22" s="1"/>
      <c r="G22" s="1"/>
      <c r="H22" s="1"/>
      <c r="I22" s="1"/>
    </row>
    <row r="23" spans="2:10" x14ac:dyDescent="0.25">
      <c r="B23" s="3" t="s">
        <v>68</v>
      </c>
      <c r="C23" s="1"/>
      <c r="D23" s="1"/>
      <c r="E23" s="3" t="s">
        <v>65</v>
      </c>
      <c r="F23" s="1"/>
      <c r="G23" s="1"/>
      <c r="H23" s="1"/>
      <c r="I23" s="1"/>
    </row>
    <row r="24" spans="2:10" x14ac:dyDescent="0.25">
      <c r="B24" s="6"/>
      <c r="C24" s="30" t="s">
        <v>64</v>
      </c>
      <c r="D24" s="1"/>
      <c r="E24" s="6" t="s">
        <v>18</v>
      </c>
      <c r="F24" s="6" t="s">
        <v>69</v>
      </c>
      <c r="G24" s="1"/>
      <c r="H24" s="1"/>
      <c r="I24" s="1"/>
      <c r="J24" s="1"/>
    </row>
    <row r="25" spans="2:10" x14ac:dyDescent="0.25">
      <c r="B25" s="4" t="s">
        <v>78</v>
      </c>
      <c r="C25" s="27" cm="1">
        <f t="array" ref="C25">IFERROR(MMULT($C4:$G4,$C$18:$C$20)/$C18,0)</f>
        <v>0</v>
      </c>
      <c r="D25" s="1"/>
      <c r="E25" s="42">
        <f>(($C$28-$B$33)/($B$33-1))/$C$33</f>
        <v>-2.5862068965517242</v>
      </c>
      <c r="F25" s="42" t="str">
        <f>IF(E25&lt;0.1,"OK","Julgamento inconsistente!")</f>
        <v>OK</v>
      </c>
      <c r="G25" s="1"/>
      <c r="H25" s="1"/>
      <c r="I25" s="1"/>
      <c r="J25" s="1"/>
    </row>
    <row r="26" spans="2:10" x14ac:dyDescent="0.25">
      <c r="B26" s="4" t="s">
        <v>79</v>
      </c>
      <c r="C26" s="27" cm="1">
        <f t="array" ref="C26">IFERROR(MMULT($C5:$G5,$C$18:$C$20)/$C19,0)</f>
        <v>0</v>
      </c>
      <c r="D26" s="1"/>
      <c r="E26" s="1"/>
      <c r="F26" s="1"/>
      <c r="G26" s="1"/>
      <c r="H26" s="1"/>
      <c r="I26" s="1"/>
    </row>
    <row r="27" spans="2:10" x14ac:dyDescent="0.25">
      <c r="B27" s="4" t="s">
        <v>80</v>
      </c>
      <c r="C27" s="27" cm="1">
        <f t="array" ref="C27">IFERROR(MMULT($C6:$G6,$C$18:$C$20)/$C20,0)</f>
        <v>0</v>
      </c>
      <c r="D27" s="1"/>
      <c r="E27" s="1"/>
      <c r="F27" s="1"/>
      <c r="G27" s="1"/>
      <c r="H27" s="1"/>
      <c r="I27" s="1"/>
    </row>
    <row r="28" spans="2:10" x14ac:dyDescent="0.25">
      <c r="B28" s="6" t="s">
        <v>19</v>
      </c>
      <c r="C28" s="32">
        <f>AVERAGE(C25:C27)</f>
        <v>0</v>
      </c>
      <c r="D28" s="1"/>
      <c r="E28" s="1"/>
      <c r="F28" s="1"/>
      <c r="G28" s="1"/>
      <c r="H28" s="1"/>
      <c r="I28" s="1"/>
    </row>
    <row r="29" spans="2:10" x14ac:dyDescent="0.25">
      <c r="B29" s="5"/>
      <c r="C29" s="1"/>
      <c r="D29" s="1"/>
    </row>
    <row r="30" spans="2:10" x14ac:dyDescent="0.25">
      <c r="B30" s="3" t="s">
        <v>70</v>
      </c>
      <c r="C30" s="1"/>
      <c r="D30" s="1"/>
    </row>
    <row r="31" spans="2:10" x14ac:dyDescent="0.25">
      <c r="B31" s="6" t="s">
        <v>67</v>
      </c>
      <c r="C31" s="30" t="s">
        <v>66</v>
      </c>
    </row>
    <row r="32" spans="2:10" x14ac:dyDescent="0.25">
      <c r="B32" s="4">
        <v>2</v>
      </c>
      <c r="C32" s="27">
        <v>0</v>
      </c>
    </row>
    <row r="33" spans="2:3" x14ac:dyDescent="0.25">
      <c r="B33" s="4">
        <v>3</v>
      </c>
      <c r="C33" s="27">
        <v>0.57999999999999996</v>
      </c>
    </row>
    <row r="34" spans="2:3" x14ac:dyDescent="0.25">
      <c r="B34" s="4">
        <v>4</v>
      </c>
      <c r="C34" s="27">
        <v>0.9</v>
      </c>
    </row>
    <row r="35" spans="2:3" x14ac:dyDescent="0.25">
      <c r="B35" s="4">
        <v>5</v>
      </c>
      <c r="C35" s="27">
        <v>1.1200000000000001</v>
      </c>
    </row>
    <row r="36" spans="2:3" x14ac:dyDescent="0.25">
      <c r="B36" s="4">
        <v>6</v>
      </c>
      <c r="C36" s="27">
        <v>1.24</v>
      </c>
    </row>
    <row r="37" spans="2:3" x14ac:dyDescent="0.25">
      <c r="B37" s="4">
        <v>7</v>
      </c>
      <c r="C37" s="27">
        <v>1.32</v>
      </c>
    </row>
    <row r="38" spans="2:3" x14ac:dyDescent="0.25">
      <c r="B38" s="4">
        <v>8</v>
      </c>
      <c r="C38" s="27">
        <v>1.41</v>
      </c>
    </row>
    <row r="39" spans="2:3" x14ac:dyDescent="0.25">
      <c r="B39" s="4">
        <v>9</v>
      </c>
      <c r="C39" s="27">
        <v>1.45</v>
      </c>
    </row>
    <row r="40" spans="2:3" x14ac:dyDescent="0.25">
      <c r="B40" s="4">
        <v>10</v>
      </c>
      <c r="C40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B0C-1866-4883-A517-565ABCB4C5C8}">
  <sheetPr codeName="Planilha4">
    <tabColor theme="5" tint="-0.249977111117893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91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2</v>
      </c>
      <c r="D3" s="29" t="s">
        <v>89</v>
      </c>
      <c r="E3" s="1"/>
      <c r="F3" s="1"/>
      <c r="G3" s="1"/>
      <c r="H3" s="1"/>
      <c r="I3" s="1"/>
    </row>
    <row r="4" spans="2:9" x14ac:dyDescent="0.25">
      <c r="B4" s="4" t="s">
        <v>2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89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2</v>
      </c>
      <c r="D9" s="29" t="s">
        <v>89</v>
      </c>
      <c r="E9" s="1"/>
      <c r="F9" s="1"/>
      <c r="G9" s="1"/>
      <c r="H9" s="1"/>
      <c r="I9" s="1"/>
    </row>
    <row r="10" spans="2:9" x14ac:dyDescent="0.25">
      <c r="B10" s="4" t="s">
        <v>2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89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2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89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1"/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1"/>
      <c r="F21" s="1"/>
      <c r="G21" s="1"/>
      <c r="H21" s="1"/>
      <c r="I21" s="1"/>
      <c r="J21" s="1"/>
    </row>
    <row r="22" spans="2:10" x14ac:dyDescent="0.25">
      <c r="B22" s="4" t="s">
        <v>2</v>
      </c>
      <c r="C22" s="27" cm="1">
        <f t="array" ref="C22">IFERROR(MMULT($C4:$D4,$C$16:$C$17)/$C16,0)</f>
        <v>0</v>
      </c>
      <c r="D22" s="1"/>
      <c r="E22" s="1"/>
      <c r="F22" s="1"/>
      <c r="G22" s="1"/>
      <c r="H22" s="1"/>
      <c r="I22" s="1"/>
      <c r="J22" s="1"/>
    </row>
    <row r="23" spans="2:10" x14ac:dyDescent="0.25">
      <c r="B23" s="4" t="s">
        <v>89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  <c r="E25" s="1"/>
      <c r="F25" s="1"/>
    </row>
    <row r="26" spans="2:10" x14ac:dyDescent="0.25">
      <c r="B26" s="3" t="s">
        <v>70</v>
      </c>
      <c r="C26" s="1"/>
      <c r="D26" s="1"/>
      <c r="E26" s="1"/>
      <c r="F26" s="1"/>
    </row>
    <row r="27" spans="2:10" x14ac:dyDescent="0.25">
      <c r="B27" s="6" t="s">
        <v>67</v>
      </c>
      <c r="C27" s="30" t="s">
        <v>66</v>
      </c>
      <c r="E27" s="1"/>
      <c r="F27" s="1"/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  <row r="38" spans="2:3" x14ac:dyDescent="0.25">
      <c r="B38" s="3" t="s">
        <v>65</v>
      </c>
      <c r="C38" s="1"/>
    </row>
    <row r="39" spans="2:3" x14ac:dyDescent="0.25">
      <c r="B39" s="30" t="s">
        <v>18</v>
      </c>
      <c r="C39" s="30" t="s">
        <v>69</v>
      </c>
    </row>
    <row r="40" spans="2:3" x14ac:dyDescent="0.25">
      <c r="B40" s="27" t="e">
        <f>(($C$24-$B$28)/($B$28-1))/$C$28</f>
        <v>#DIV/0!</v>
      </c>
      <c r="C40" s="27" t="e">
        <f>IF(B40&lt;0.1,"OK","Julgamento inconsistente!")</f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CD1D-201E-4250-BDD1-3B7EEE773A51}">
  <sheetPr codeName="Planilha5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92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3</v>
      </c>
      <c r="D3" s="29" t="s">
        <v>4</v>
      </c>
      <c r="E3" s="1"/>
      <c r="F3" s="1"/>
      <c r="G3" s="1"/>
      <c r="H3" s="1"/>
      <c r="I3" s="1"/>
    </row>
    <row r="4" spans="2:9" x14ac:dyDescent="0.25">
      <c r="B4" s="4" t="s">
        <v>3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4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3</v>
      </c>
      <c r="D9" s="29" t="s">
        <v>4</v>
      </c>
      <c r="E9" s="1"/>
      <c r="F9" s="1"/>
      <c r="G9" s="1"/>
      <c r="H9" s="1"/>
      <c r="I9" s="1"/>
    </row>
    <row r="10" spans="2:9" x14ac:dyDescent="0.25">
      <c r="B10" s="4" t="s">
        <v>3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4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3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4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3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4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BF-6A15-4529-98D8-3657DC0AFAF9}">
  <sheetPr codeName="Planilha6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93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5</v>
      </c>
      <c r="D3" s="29" t="s">
        <v>6</v>
      </c>
      <c r="E3" s="1"/>
      <c r="F3" s="1"/>
      <c r="G3" s="1"/>
      <c r="H3" s="1"/>
      <c r="I3" s="1"/>
    </row>
    <row r="4" spans="2:9" x14ac:dyDescent="0.25">
      <c r="B4" s="4" t="s">
        <v>5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6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5</v>
      </c>
      <c r="D9" s="29" t="s">
        <v>6</v>
      </c>
      <c r="E9" s="1"/>
      <c r="F9" s="1"/>
      <c r="G9" s="1"/>
      <c r="H9" s="1"/>
      <c r="I9" s="1"/>
    </row>
    <row r="10" spans="2:9" x14ac:dyDescent="0.25">
      <c r="B10" s="4" t="s">
        <v>5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6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5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6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5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6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589A-E43E-4319-8942-0291CDF38BE8}">
  <sheetPr codeName="Planilha7">
    <tabColor theme="8" tint="-0.249977111117893"/>
  </sheetPr>
  <dimension ref="B2:J38"/>
  <sheetViews>
    <sheetView showGridLines="0" workbookViewId="0"/>
  </sheetViews>
  <sheetFormatPr defaultRowHeight="15" x14ac:dyDescent="0.25"/>
  <cols>
    <col min="2" max="2" width="43.28515625" bestFit="1" customWidth="1"/>
    <col min="3" max="5" width="10.7109375" customWidth="1"/>
    <col min="6" max="7" width="23.7109375" customWidth="1"/>
  </cols>
  <sheetData>
    <row r="2" spans="2:9" x14ac:dyDescent="0.25">
      <c r="B2" s="3" t="s">
        <v>94</v>
      </c>
      <c r="C2" s="1"/>
      <c r="D2" s="1"/>
      <c r="E2" s="1"/>
      <c r="F2" s="1"/>
      <c r="G2" s="1"/>
      <c r="H2" s="1"/>
      <c r="I2" s="1"/>
    </row>
    <row r="3" spans="2:9" x14ac:dyDescent="0.25">
      <c r="B3" s="6" t="s">
        <v>95</v>
      </c>
      <c r="C3" s="29" t="s">
        <v>96</v>
      </c>
      <c r="D3" s="29" t="s">
        <v>97</v>
      </c>
      <c r="E3" s="29" t="s">
        <v>98</v>
      </c>
      <c r="F3" s="1"/>
      <c r="G3" s="1"/>
      <c r="H3" s="1"/>
      <c r="I3" s="1"/>
    </row>
    <row r="4" spans="2:9" x14ac:dyDescent="0.25">
      <c r="B4" s="5" t="s">
        <v>99</v>
      </c>
      <c r="C4" s="27">
        <f>'AHP (1) - Matriz Critérios'!C18</f>
        <v>0.33333333333333331</v>
      </c>
      <c r="D4" s="2"/>
      <c r="E4" s="43"/>
      <c r="F4" s="1"/>
      <c r="G4" s="1"/>
      <c r="H4" s="1"/>
      <c r="I4" s="1"/>
    </row>
    <row r="5" spans="2:9" x14ac:dyDescent="0.25">
      <c r="B5" s="45" t="s">
        <v>2</v>
      </c>
      <c r="C5" s="2"/>
      <c r="D5" s="27">
        <f>'AHP (1) - Matriz Subcritérios E'!C16</f>
        <v>0.5</v>
      </c>
      <c r="E5" s="27">
        <f>C4*D5</f>
        <v>0.16666666666666666</v>
      </c>
      <c r="F5" s="1"/>
      <c r="G5" s="1"/>
      <c r="H5" s="1"/>
      <c r="I5" s="1"/>
    </row>
    <row r="6" spans="2:9" x14ac:dyDescent="0.25">
      <c r="B6" s="45" t="s">
        <v>89</v>
      </c>
      <c r="C6" s="2"/>
      <c r="D6" s="27">
        <f>'AHP (1) - Matriz Subcritérios E'!C17</f>
        <v>0.5</v>
      </c>
      <c r="E6" s="27">
        <f>C4*D6</f>
        <v>0.16666666666666666</v>
      </c>
      <c r="F6" s="1"/>
      <c r="G6" s="1"/>
      <c r="H6" s="1"/>
      <c r="I6" s="1"/>
    </row>
    <row r="7" spans="2:9" x14ac:dyDescent="0.25">
      <c r="B7" s="5" t="s">
        <v>100</v>
      </c>
      <c r="C7" s="27">
        <f>'AHP (1) - Matriz Critérios'!C19</f>
        <v>0.33333333333333331</v>
      </c>
      <c r="D7" s="2"/>
      <c r="E7" s="43"/>
      <c r="F7" s="1"/>
      <c r="G7" s="1"/>
      <c r="H7" s="1"/>
      <c r="I7" s="1"/>
    </row>
    <row r="8" spans="2:9" x14ac:dyDescent="0.25">
      <c r="B8" s="45" t="s">
        <v>3</v>
      </c>
      <c r="C8" s="2"/>
      <c r="D8" s="27">
        <f>'AHP (1) - Matriz Subcritérios S'!C16</f>
        <v>0.5</v>
      </c>
      <c r="E8" s="27">
        <f>C7*D8</f>
        <v>0.16666666666666666</v>
      </c>
      <c r="F8" s="1"/>
      <c r="G8" s="1"/>
      <c r="H8" s="1"/>
      <c r="I8" s="1"/>
    </row>
    <row r="9" spans="2:9" x14ac:dyDescent="0.25">
      <c r="B9" s="45" t="s">
        <v>4</v>
      </c>
      <c r="C9" s="2"/>
      <c r="D9" s="27">
        <f>'AHP (1) - Matriz Subcritérios S'!C17</f>
        <v>0.5</v>
      </c>
      <c r="E9" s="27">
        <f>C7*D9</f>
        <v>0.16666666666666666</v>
      </c>
      <c r="F9" s="1"/>
      <c r="G9" s="1"/>
      <c r="H9" s="1"/>
      <c r="I9" s="1"/>
    </row>
    <row r="10" spans="2:9" x14ac:dyDescent="0.25">
      <c r="B10" s="5" t="s">
        <v>100</v>
      </c>
      <c r="C10" s="27">
        <f>'AHP (1) - Matriz Critérios'!C20</f>
        <v>0.33333333333333331</v>
      </c>
      <c r="D10" s="2"/>
      <c r="E10" s="43"/>
      <c r="F10" s="1"/>
      <c r="G10" s="1"/>
      <c r="H10" s="1"/>
      <c r="I10" s="1"/>
    </row>
    <row r="11" spans="2:9" x14ac:dyDescent="0.25">
      <c r="B11" s="45" t="s">
        <v>3</v>
      </c>
      <c r="C11" s="2"/>
      <c r="D11" s="27">
        <f>'AHP (1) - Matriz Subcritérios A'!C16</f>
        <v>0.5</v>
      </c>
      <c r="E11" s="27">
        <f>C10*D11</f>
        <v>0.16666666666666666</v>
      </c>
      <c r="F11" s="1"/>
      <c r="G11" s="1"/>
      <c r="H11" s="1"/>
      <c r="I11" s="1"/>
    </row>
    <row r="12" spans="2:9" x14ac:dyDescent="0.25">
      <c r="B12" s="45" t="s">
        <v>4</v>
      </c>
      <c r="C12" s="2"/>
      <c r="D12" s="27">
        <f>'AHP (1) - Matriz Subcritérios A'!C17</f>
        <v>0.5</v>
      </c>
      <c r="E12" s="27">
        <f>C10*D12</f>
        <v>0.16666666666666666</v>
      </c>
      <c r="F12" s="1"/>
      <c r="G12" s="1"/>
      <c r="H12" s="1"/>
      <c r="I12" s="1"/>
    </row>
    <row r="13" spans="2:9" x14ac:dyDescent="0.25">
      <c r="B13" s="6" t="s">
        <v>19</v>
      </c>
      <c r="C13" s="32">
        <f>SUM(C4:C12)</f>
        <v>1</v>
      </c>
      <c r="D13" s="31"/>
      <c r="E13" s="32">
        <f>SUM(E4:E12)</f>
        <v>0.99999999999999989</v>
      </c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</row>
    <row r="25" spans="2:10" x14ac:dyDescent="0.25">
      <c r="B25" s="1"/>
      <c r="C25" s="1"/>
      <c r="D25" s="1"/>
      <c r="E25" s="1"/>
      <c r="F25" s="1"/>
    </row>
    <row r="26" spans="2:10" x14ac:dyDescent="0.25">
      <c r="B26" s="1"/>
      <c r="C26" s="1"/>
      <c r="D26" s="1"/>
      <c r="E26" s="1"/>
      <c r="F26" s="1"/>
    </row>
    <row r="27" spans="2:10" x14ac:dyDescent="0.25">
      <c r="B27" s="1"/>
      <c r="C27" s="1"/>
      <c r="D27" s="1"/>
      <c r="E27" s="1"/>
      <c r="F27" s="1"/>
    </row>
    <row r="28" spans="2:10" x14ac:dyDescent="0.25">
      <c r="B28" s="1"/>
      <c r="C28" s="1"/>
      <c r="D28" s="1"/>
      <c r="E28" s="1"/>
      <c r="F28" s="1"/>
    </row>
    <row r="29" spans="2:10" x14ac:dyDescent="0.25">
      <c r="B29" s="1"/>
      <c r="C29" s="1"/>
      <c r="D29" s="1"/>
      <c r="E29" s="1"/>
      <c r="F29" s="1"/>
    </row>
    <row r="30" spans="2:10" x14ac:dyDescent="0.25">
      <c r="B30" s="1"/>
      <c r="C30" s="1"/>
      <c r="D30" s="1"/>
      <c r="E30" s="1"/>
      <c r="F30" s="1"/>
    </row>
    <row r="31" spans="2:10" x14ac:dyDescent="0.25">
      <c r="B31" s="1"/>
      <c r="C31" s="1"/>
      <c r="D31" s="1"/>
      <c r="E31" s="1"/>
      <c r="F31" s="1"/>
    </row>
    <row r="32" spans="2:10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ADF9-FD4A-49FC-8066-976291415870}">
  <sheetPr codeName="Planilha8">
    <tabColor theme="9" tint="-0.249977111117893"/>
  </sheetPr>
  <dimension ref="B1:K119"/>
  <sheetViews>
    <sheetView showGridLines="0" workbookViewId="0"/>
  </sheetViews>
  <sheetFormatPr defaultRowHeight="15" x14ac:dyDescent="0.25"/>
  <cols>
    <col min="2" max="2" width="22.28515625" bestFit="1" customWidth="1"/>
    <col min="3" max="3" width="13.28515625" bestFit="1" customWidth="1"/>
    <col min="4" max="4" width="11.85546875" bestFit="1" customWidth="1"/>
    <col min="5" max="6" width="25.7109375" customWidth="1"/>
    <col min="7" max="7" width="20.7109375" style="46" customWidth="1"/>
    <col min="8" max="10" width="20.7109375" customWidth="1"/>
  </cols>
  <sheetData>
    <row r="1" spans="2:11" x14ac:dyDescent="0.25">
      <c r="G1"/>
    </row>
    <row r="2" spans="2:11" x14ac:dyDescent="0.25">
      <c r="B2" s="3" t="s">
        <v>101</v>
      </c>
      <c r="C2" s="1"/>
      <c r="D2" s="1"/>
      <c r="E2" s="1"/>
      <c r="F2" s="1"/>
      <c r="G2" s="1"/>
      <c r="H2" s="1"/>
      <c r="I2" s="1"/>
    </row>
    <row r="3" spans="2:11" x14ac:dyDescent="0.25">
      <c r="B3" s="6" t="s">
        <v>1</v>
      </c>
      <c r="C3" s="6" t="s">
        <v>0</v>
      </c>
      <c r="D3" s="30" t="s">
        <v>27</v>
      </c>
      <c r="E3" s="30" t="s">
        <v>36</v>
      </c>
      <c r="F3" s="30" t="s">
        <v>103</v>
      </c>
      <c r="G3" s="30" t="s">
        <v>72</v>
      </c>
      <c r="H3" s="30" t="s">
        <v>34</v>
      </c>
      <c r="I3" s="30" t="s">
        <v>37</v>
      </c>
      <c r="J3" s="30" t="s">
        <v>38</v>
      </c>
    </row>
    <row r="4" spans="2:11" x14ac:dyDescent="0.25">
      <c r="B4" s="65" t="s">
        <v>7</v>
      </c>
      <c r="C4" s="5" t="s">
        <v>12</v>
      </c>
      <c r="D4" s="1">
        <v>1</v>
      </c>
      <c r="E4" s="16">
        <f>('AHP (1) - Dados'!$E16-MIN('AHP (1) - Dados'!$E$16:$E$51))/(MAX('AHP (1) - Dados'!$E$16:$E$51)-MIN('AHP (1) - Dados'!$E$16:$E$51))</f>
        <v>6.6639806607574542E-2</v>
      </c>
      <c r="F4" s="16">
        <f>('AHP (1) - Dados'!$F16-MIN('AHP (1) - Dados'!$F$16:$F$51))/(MAX('AHP (1) - Dados'!$F$16:$F$51)-MIN('AHP (1) - Dados'!$F$16:$F$51))</f>
        <v>7.9754601226993863E-2</v>
      </c>
      <c r="G4" s="16">
        <f>('AHP (1) - Dados'!$H16-MIN('AHP (1) - Dados'!$H$16:$H$51))/(MAX('AHP (1) - Dados'!$H$16:$H$51)-MIN('AHP (1) - Dados'!$H$16:$H$51))</f>
        <v>0</v>
      </c>
      <c r="H4" s="47">
        <f>('AHP (1) - Dados'!$I16-MIN('AHP (1) - Dados'!$I$16:$I$51))/(MAX('AHP (1) - Dados'!$I$16:$I$51)-MIN('AHP (1) - Dados'!$I$16:$I$51))</f>
        <v>1</v>
      </c>
      <c r="I4" s="48">
        <f>('AHP (1) - Dados'!$J16-MIN('AHP (1) - Dados'!$J$16:$J$51))/(MAX('AHP (1) - Dados'!$J$16:$J$51)-MIN('AHP (1) - Dados'!$J$16:$J$51))</f>
        <v>9.8432773109243712E-2</v>
      </c>
      <c r="J4" s="49">
        <f>('AHP (1) - Dados'!$K16-MIN('AHP (1) - Dados'!$K$16:$K$51))/(MAX('AHP (1) - Dados'!$K$16:$K$51)-MIN('AHP (1) - Dados'!$K$16:$K$51))</f>
        <v>4.9019607843137254E-3</v>
      </c>
      <c r="K4" s="46"/>
    </row>
    <row r="5" spans="2:11" x14ac:dyDescent="0.25">
      <c r="B5" s="66"/>
      <c r="C5" s="5" t="s">
        <v>12</v>
      </c>
      <c r="D5" s="1">
        <v>2</v>
      </c>
      <c r="E5" s="16">
        <f>('AHP (1) - Dados'!$E17-MIN('AHP (1) - Dados'!$E$16:$E$51))/(MAX('AHP (1) - Dados'!$E$16:$E$51)-MIN('AHP (1) - Dados'!$E$16:$E$51))</f>
        <v>0.1703464947622885</v>
      </c>
      <c r="F5" s="16">
        <f>('AHP (1) - Dados'!$F17-MIN('AHP (1) - Dados'!$F$16:$F$51))/(MAX('AHP (1) - Dados'!$F$16:$F$51)-MIN('AHP (1) - Dados'!$F$16:$F$51))</f>
        <v>0.26380368098159507</v>
      </c>
      <c r="G5" s="16">
        <f>('AHP (1) - Dados'!$H17-MIN('AHP (1) - Dados'!$H$16:$H$51))/(MAX('AHP (1) - Dados'!$H$16:$H$51)-MIN('AHP (1) - Dados'!$H$16:$H$51))</f>
        <v>0</v>
      </c>
      <c r="H5" s="18">
        <f>('AHP (1) - Dados'!$I17-MIN('AHP (1) - Dados'!$I$16:$I$51))/(MAX('AHP (1) - Dados'!$I$16:$I$51)-MIN('AHP (1) - Dados'!$I$16:$I$51))</f>
        <v>0.4</v>
      </c>
      <c r="I5" s="16">
        <f>('AHP (1) - Dados'!$J17-MIN('AHP (1) - Dados'!$J$16:$J$51))/(MAX('AHP (1) - Dados'!$J$16:$J$51)-MIN('AHP (1) - Dados'!$J$16:$J$51))</f>
        <v>0.19686554621848742</v>
      </c>
      <c r="J5" s="49">
        <f>('AHP (1) - Dados'!$K17-MIN('AHP (1) - Dados'!$K$16:$K$51))/(MAX('AHP (1) - Dados'!$K$16:$K$51)-MIN('AHP (1) - Dados'!$K$16:$K$51))</f>
        <v>0.20098039215686275</v>
      </c>
    </row>
    <row r="6" spans="2:11" x14ac:dyDescent="0.25">
      <c r="B6" s="66"/>
      <c r="C6" s="5" t="s">
        <v>12</v>
      </c>
      <c r="D6" s="1">
        <v>4</v>
      </c>
      <c r="E6" s="16">
        <f>('AHP (1) - Dados'!$E18-MIN('AHP (1) - Dados'!$E$16:$E$51))/(MAX('AHP (1) - Dados'!$E$16:$E$51)-MIN('AHP (1) - Dados'!$E$16:$E$51))</f>
        <v>0.37775987107171638</v>
      </c>
      <c r="F6" s="16">
        <f>('AHP (1) - Dados'!$F18-MIN('AHP (1) - Dados'!$F$16:$F$51))/(MAX('AHP (1) - Dados'!$F$16:$F$51)-MIN('AHP (1) - Dados'!$F$16:$F$51))</f>
        <v>0.63190184049079756</v>
      </c>
      <c r="G6" s="16">
        <f>('AHP (1) - Dados'!$H18-MIN('AHP (1) - Dados'!$H$16:$H$51))/(MAX('AHP (1) - Dados'!$H$16:$H$51)-MIN('AHP (1) - Dados'!$H$16:$H$51))</f>
        <v>0.66666666666666663</v>
      </c>
      <c r="H6" s="18">
        <f>('AHP (1) - Dados'!$I18-MIN('AHP (1) - Dados'!$I$16:$I$51))/(MAX('AHP (1) - Dados'!$I$16:$I$51)-MIN('AHP (1) - Dados'!$I$16:$I$51))</f>
        <v>0.1</v>
      </c>
      <c r="I6" s="16">
        <f>('AHP (1) - Dados'!$J18-MIN('AHP (1) - Dados'!$J$16:$J$51))/(MAX('AHP (1) - Dados'!$J$16:$J$51)-MIN('AHP (1) - Dados'!$J$16:$J$51))</f>
        <v>0.39373109243697485</v>
      </c>
      <c r="J6" s="49">
        <f>('AHP (1) - Dados'!$K18-MIN('AHP (1) - Dados'!$K$16:$K$51))/(MAX('AHP (1) - Dados'!$K$16:$K$51)-MIN('AHP (1) - Dados'!$K$16:$K$51))</f>
        <v>0.59313725490196079</v>
      </c>
    </row>
    <row r="7" spans="2:11" x14ac:dyDescent="0.25">
      <c r="B7" s="66"/>
      <c r="C7" s="5" t="s">
        <v>12</v>
      </c>
      <c r="D7" s="1">
        <v>6</v>
      </c>
      <c r="E7" s="16">
        <f>('AHP (1) - Dados'!$E19-MIN('AHP (1) - Dados'!$E$16:$E$51))/(MAX('AHP (1) - Dados'!$E$16:$E$51)-MIN('AHP (1) - Dados'!$E$16:$E$51))</f>
        <v>0.58517324738114429</v>
      </c>
      <c r="F7" s="16">
        <f>('AHP (1) - Dados'!$F19-MIN('AHP (1) - Dados'!$F$16:$F$51))/(MAX('AHP (1) - Dados'!$F$16:$F$51)-MIN('AHP (1) - Dados'!$F$16:$F$51))</f>
        <v>1</v>
      </c>
      <c r="G7" s="16">
        <f>('AHP (1) - Dados'!$H19-MIN('AHP (1) - Dados'!$H$16:$H$51))/(MAX('AHP (1) - Dados'!$H$16:$H$51)-MIN('AHP (1) - Dados'!$H$16:$H$51))</f>
        <v>1</v>
      </c>
      <c r="H7" s="18">
        <f>('AHP (1) - Dados'!$I19-MIN('AHP (1) - Dados'!$I$16:$I$51))/(MAX('AHP (1) - Dados'!$I$16:$I$51)-MIN('AHP (1) - Dados'!$I$16:$I$51))</f>
        <v>0</v>
      </c>
      <c r="I7" s="16">
        <f>('AHP (1) - Dados'!$J19-MIN('AHP (1) - Dados'!$J$16:$J$51))/(MAX('AHP (1) - Dados'!$J$16:$J$51)-MIN('AHP (1) - Dados'!$J$16:$J$51))</f>
        <v>0.59059663865546219</v>
      </c>
      <c r="J7" s="49">
        <f>('AHP (1) - Dados'!$K19-MIN('AHP (1) - Dados'!$K$16:$K$51))/(MAX('AHP (1) - Dados'!$K$16:$K$51)-MIN('AHP (1) - Dados'!$K$16:$K$51))</f>
        <v>0.98529411764705888</v>
      </c>
    </row>
    <row r="8" spans="2:11" x14ac:dyDescent="0.25">
      <c r="B8" s="66"/>
      <c r="C8" s="5" t="s">
        <v>13</v>
      </c>
      <c r="D8" s="1">
        <v>1</v>
      </c>
      <c r="E8" s="16">
        <f>('AHP (1) - Dados'!$E20-MIN('AHP (1) - Dados'!$E$16:$E$51))/(MAX('AHP (1) - Dados'!$E$16:$E$51)-MIN('AHP (1) - Dados'!$E$16:$E$51))</f>
        <v>0</v>
      </c>
      <c r="F8" s="16">
        <f>('AHP (1) - Dados'!$F20-MIN('AHP (1) - Dados'!$F$16:$F$51))/(MAX('AHP (1) - Dados'!$F$16:$F$51)-MIN('AHP (1) - Dados'!$F$16:$F$51))</f>
        <v>1.6996261967349522E-2</v>
      </c>
      <c r="G8" s="16">
        <f>('AHP (1) - Dados'!$H20-MIN('AHP (1) - Dados'!$H$16:$H$51))/(MAX('AHP (1) - Dados'!$H$16:$H$51)-MIN('AHP (1) - Dados'!$H$16:$H$51))</f>
        <v>0</v>
      </c>
      <c r="H8" s="18">
        <f>('AHP (1) - Dados'!$I20-MIN('AHP (1) - Dados'!$I$16:$I$51))/(MAX('AHP (1) - Dados'!$I$16:$I$51)-MIN('AHP (1) - Dados'!$I$16:$I$51))</f>
        <v>1</v>
      </c>
      <c r="I8" s="16">
        <f>('AHP (1) - Dados'!$J20-MIN('AHP (1) - Dados'!$J$16:$J$51))/(MAX('AHP (1) - Dados'!$J$16:$J$51)-MIN('AHP (1) - Dados'!$J$16:$J$51))</f>
        <v>9.9999999999999992E-2</v>
      </c>
      <c r="J8" s="49">
        <f>('AHP (1) - Dados'!$K20-MIN('AHP (1) - Dados'!$K$16:$K$51))/(MAX('AHP (1) - Dados'!$K$16:$K$51)-MIN('AHP (1) - Dados'!$K$16:$K$51))</f>
        <v>0</v>
      </c>
    </row>
    <row r="9" spans="2:11" x14ac:dyDescent="0.25">
      <c r="B9" s="66"/>
      <c r="C9" s="5" t="s">
        <v>13</v>
      </c>
      <c r="D9" s="1">
        <v>2</v>
      </c>
      <c r="E9" s="16">
        <f>('AHP (1) - Dados'!$E21-MIN('AHP (1) - Dados'!$E$16:$E$51))/(MAX('AHP (1) - Dados'!$E$16:$E$51)-MIN('AHP (1) - Dados'!$E$16:$E$51))</f>
        <v>3.7066881547139413E-2</v>
      </c>
      <c r="F9" s="16">
        <f>('AHP (1) - Dados'!$F21-MIN('AHP (1) - Dados'!$F$16:$F$51))/(MAX('AHP (1) - Dados'!$F$16:$F$51)-MIN('AHP (1) - Dados'!$F$16:$F$51))</f>
        <v>0.13828700246230641</v>
      </c>
      <c r="G9" s="16">
        <f>('AHP (1) - Dados'!$H21-MIN('AHP (1) - Dados'!$H$16:$H$51))/(MAX('AHP (1) - Dados'!$H$16:$H$51)-MIN('AHP (1) - Dados'!$H$16:$H$51))</f>
        <v>0</v>
      </c>
      <c r="H9" s="18">
        <f>('AHP (1) - Dados'!$I21-MIN('AHP (1) - Dados'!$I$16:$I$51))/(MAX('AHP (1) - Dados'!$I$16:$I$51)-MIN('AHP (1) - Dados'!$I$16:$I$51))</f>
        <v>0.4</v>
      </c>
      <c r="I9" s="16">
        <f>('AHP (1) - Dados'!$J21-MIN('AHP (1) - Dados'!$J$16:$J$51))/(MAX('AHP (1) - Dados'!$J$16:$J$51)-MIN('AHP (1) - Dados'!$J$16:$J$51))</f>
        <v>0.19999999999999998</v>
      </c>
      <c r="J9" s="49">
        <f>('AHP (1) - Dados'!$K21-MIN('AHP (1) - Dados'!$K$16:$K$51))/(MAX('AHP (1) - Dados'!$K$16:$K$51)-MIN('AHP (1) - Dados'!$K$16:$K$51))</f>
        <v>0.19117647058823528</v>
      </c>
    </row>
    <row r="10" spans="2:11" x14ac:dyDescent="0.25">
      <c r="B10" s="66"/>
      <c r="C10" s="5" t="s">
        <v>13</v>
      </c>
      <c r="D10" s="1">
        <v>4</v>
      </c>
      <c r="E10" s="16">
        <f>('AHP (1) - Dados'!$E22-MIN('AHP (1) - Dados'!$E$16:$E$51))/(MAX('AHP (1) - Dados'!$E$16:$E$51)-MIN('AHP (1) - Dados'!$E$16:$E$51))</f>
        <v>0.11120064464141824</v>
      </c>
      <c r="F10" s="16">
        <f>('AHP (1) - Dados'!$F22-MIN('AHP (1) - Dados'!$F$16:$F$51))/(MAX('AHP (1) - Dados'!$F$16:$F$51)-MIN('AHP (1) - Dados'!$F$16:$F$51))</f>
        <v>0.38086848345222019</v>
      </c>
      <c r="G10" s="16">
        <f>('AHP (1) - Dados'!$H22-MIN('AHP (1) - Dados'!$H$16:$H$51))/(MAX('AHP (1) - Dados'!$H$16:$H$51)-MIN('AHP (1) - Dados'!$H$16:$H$51))</f>
        <v>0.83333333333333337</v>
      </c>
      <c r="H10" s="18">
        <f>('AHP (1) - Dados'!$I22-MIN('AHP (1) - Dados'!$I$16:$I$51))/(MAX('AHP (1) - Dados'!$I$16:$I$51)-MIN('AHP (1) - Dados'!$I$16:$I$51))</f>
        <v>0.1</v>
      </c>
      <c r="I10" s="16">
        <f>('AHP (1) - Dados'!$J22-MIN('AHP (1) - Dados'!$J$16:$J$51))/(MAX('AHP (1) - Dados'!$J$16:$J$51)-MIN('AHP (1) - Dados'!$J$16:$J$51))</f>
        <v>0.39999999999999997</v>
      </c>
      <c r="J10" s="49">
        <f>('AHP (1) - Dados'!$K22-MIN('AHP (1) - Dados'!$K$16:$K$51))/(MAX('AHP (1) - Dados'!$K$16:$K$51)-MIN('AHP (1) - Dados'!$K$16:$K$51))</f>
        <v>0.57352941176470584</v>
      </c>
    </row>
    <row r="11" spans="2:11" x14ac:dyDescent="0.25">
      <c r="B11" s="66"/>
      <c r="C11" s="5" t="s">
        <v>13</v>
      </c>
      <c r="D11" s="1">
        <v>6</v>
      </c>
      <c r="E11" s="16">
        <f>('AHP (1) - Dados'!$E23-MIN('AHP (1) - Dados'!$E$16:$E$51))/(MAX('AHP (1) - Dados'!$E$16:$E$51)-MIN('AHP (1) - Dados'!$E$16:$E$51))</f>
        <v>0.18533440773569709</v>
      </c>
      <c r="F11" s="16">
        <f>('AHP (1) - Dados'!$F23-MIN('AHP (1) - Dados'!$F$16:$F$51))/(MAX('AHP (1) - Dados'!$F$16:$F$51)-MIN('AHP (1) - Dados'!$F$16:$F$51))</f>
        <v>0.62344996444213385</v>
      </c>
      <c r="G11" s="16">
        <f>('AHP (1) - Dados'!$H23-MIN('AHP (1) - Dados'!$H$16:$H$51))/(MAX('AHP (1) - Dados'!$H$16:$H$51)-MIN('AHP (1) - Dados'!$H$16:$H$51))</f>
        <v>1</v>
      </c>
      <c r="H11" s="18">
        <f>('AHP (1) - Dados'!$I23-MIN('AHP (1) - Dados'!$I$16:$I$51))/(MAX('AHP (1) - Dados'!$I$16:$I$51)-MIN('AHP (1) - Dados'!$I$16:$I$51))</f>
        <v>0</v>
      </c>
      <c r="I11" s="16">
        <f>('AHP (1) - Dados'!$J23-MIN('AHP (1) - Dados'!$J$16:$J$51))/(MAX('AHP (1) - Dados'!$J$16:$J$51)-MIN('AHP (1) - Dados'!$J$16:$J$51))</f>
        <v>0.6</v>
      </c>
      <c r="J11" s="49">
        <f>('AHP (1) - Dados'!$K23-MIN('AHP (1) - Dados'!$K$16:$K$51))/(MAX('AHP (1) - Dados'!$K$16:$K$51)-MIN('AHP (1) - Dados'!$K$16:$K$51))</f>
        <v>0.95588235294117652</v>
      </c>
    </row>
    <row r="12" spans="2:11" x14ac:dyDescent="0.25">
      <c r="B12" s="66"/>
      <c r="C12" s="5" t="s">
        <v>14</v>
      </c>
      <c r="D12" s="1">
        <v>1</v>
      </c>
      <c r="E12" s="16">
        <f>('AHP (1) - Dados'!$E24-MIN('AHP (1) - Dados'!$E$16:$E$51))/(MAX('AHP (1) - Dados'!$E$16:$E$51)-MIN('AHP (1) - Dados'!$E$16:$E$51))</f>
        <v>9.0249798549556799E-3</v>
      </c>
      <c r="F12" s="16">
        <f>('AHP (1) - Dados'!$F24-MIN('AHP (1) - Dados'!$F$16:$F$51))/(MAX('AHP (1) - Dados'!$F$16:$F$51)-MIN('AHP (1) - Dados'!$F$16:$F$51))</f>
        <v>0</v>
      </c>
      <c r="G12" s="16">
        <f>('AHP (1) - Dados'!$H24-MIN('AHP (1) - Dados'!$H$16:$H$51))/(MAX('AHP (1) - Dados'!$H$16:$H$51)-MIN('AHP (1) - Dados'!$H$16:$H$51))</f>
        <v>0</v>
      </c>
      <c r="H12" s="18">
        <f>('AHP (1) - Dados'!$I24-MIN('AHP (1) - Dados'!$I$16:$I$51))/(MAX('AHP (1) - Dados'!$I$16:$I$51)-MIN('AHP (1) - Dados'!$I$16:$I$51))</f>
        <v>1</v>
      </c>
      <c r="I12" s="16">
        <f>('AHP (1) - Dados'!$J24-MIN('AHP (1) - Dados'!$J$16:$J$51))/(MAX('AHP (1) - Dados'!$J$16:$J$51)-MIN('AHP (1) - Dados'!$J$16:$J$51))</f>
        <v>0</v>
      </c>
      <c r="J12" s="49">
        <f>('AHP (1) - Dados'!$K24-MIN('AHP (1) - Dados'!$K$16:$K$51))/(MAX('AHP (1) - Dados'!$K$16:$K$51)-MIN('AHP (1) - Dados'!$K$16:$K$51))</f>
        <v>7.3529411764705881E-3</v>
      </c>
    </row>
    <row r="13" spans="2:11" x14ac:dyDescent="0.25">
      <c r="B13" s="66"/>
      <c r="C13" s="5" t="s">
        <v>14</v>
      </c>
      <c r="D13" s="1">
        <v>2</v>
      </c>
      <c r="E13" s="16">
        <f>('AHP (1) - Dados'!$E25-MIN('AHP (1) - Dados'!$E$16:$E$51))/(MAX('AHP (1) - Dados'!$E$16:$E$51)-MIN('AHP (1) - Dados'!$E$16:$E$51))</f>
        <v>5.5116841257050769E-2</v>
      </c>
      <c r="F13" s="16">
        <f>('AHP (1) - Dados'!$F25-MIN('AHP (1) - Dados'!$F$16:$F$51))/(MAX('AHP (1) - Dados'!$F$16:$F$51)-MIN('AHP (1) - Dados'!$F$16:$F$51))</f>
        <v>0.10429447852760736</v>
      </c>
      <c r="G13" s="16">
        <f>('AHP (1) - Dados'!$H25-MIN('AHP (1) - Dados'!$H$16:$H$51))/(MAX('AHP (1) - Dados'!$H$16:$H$51)-MIN('AHP (1) - Dados'!$H$16:$H$51))</f>
        <v>0</v>
      </c>
      <c r="H13" s="18">
        <f>('AHP (1) - Dados'!$I25-MIN('AHP (1) - Dados'!$I$16:$I$51))/(MAX('AHP (1) - Dados'!$I$16:$I$51)-MIN('AHP (1) - Dados'!$I$16:$I$51))</f>
        <v>0.4</v>
      </c>
      <c r="I13" s="16">
        <f>('AHP (1) - Dados'!$J25-MIN('AHP (1) - Dados'!$J$16:$J$51))/(MAX('AHP (1) - Dados'!$J$16:$J$51)-MIN('AHP (1) - Dados'!$J$16:$J$51))</f>
        <v>0</v>
      </c>
      <c r="J13" s="49">
        <f>('AHP (1) - Dados'!$K25-MIN('AHP (1) - Dados'!$K$16:$K$51))/(MAX('AHP (1) - Dados'!$K$16:$K$51)-MIN('AHP (1) - Dados'!$K$16:$K$51))</f>
        <v>0.20588235294117646</v>
      </c>
    </row>
    <row r="14" spans="2:11" x14ac:dyDescent="0.25">
      <c r="B14" s="66"/>
      <c r="C14" s="5" t="s">
        <v>14</v>
      </c>
      <c r="D14" s="1">
        <v>4</v>
      </c>
      <c r="E14" s="16">
        <f>('AHP (1) - Dados'!$E26-MIN('AHP (1) - Dados'!$E$16:$E$51))/(MAX('AHP (1) - Dados'!$E$16:$E$51)-MIN('AHP (1) - Dados'!$E$16:$E$51))</f>
        <v>0.14730056406124095</v>
      </c>
      <c r="F14" s="16">
        <f>('AHP (1) - Dados'!$F26-MIN('AHP (1) - Dados'!$F$16:$F$51))/(MAX('AHP (1) - Dados'!$F$16:$F$51)-MIN('AHP (1) - Dados'!$F$16:$F$51))</f>
        <v>0.31288343558282211</v>
      </c>
      <c r="G14" s="16">
        <f>('AHP (1) - Dados'!$H26-MIN('AHP (1) - Dados'!$H$16:$H$51))/(MAX('AHP (1) - Dados'!$H$16:$H$51)-MIN('AHP (1) - Dados'!$H$16:$H$51))</f>
        <v>0.66666666666666663</v>
      </c>
      <c r="H14" s="18">
        <f>('AHP (1) - Dados'!$I26-MIN('AHP (1) - Dados'!$I$16:$I$51))/(MAX('AHP (1) - Dados'!$I$16:$I$51)-MIN('AHP (1) - Dados'!$I$16:$I$51))</f>
        <v>0.1</v>
      </c>
      <c r="I14" s="16">
        <f>('AHP (1) - Dados'!$J26-MIN('AHP (1) - Dados'!$J$16:$J$51))/(MAX('AHP (1) - Dados'!$J$16:$J$51)-MIN('AHP (1) - Dados'!$J$16:$J$51))</f>
        <v>0</v>
      </c>
      <c r="J14" s="49">
        <f>('AHP (1) - Dados'!$K26-MIN('AHP (1) - Dados'!$K$16:$K$51))/(MAX('AHP (1) - Dados'!$K$16:$K$51)-MIN('AHP (1) - Dados'!$K$16:$K$51))</f>
        <v>0.6029411764705882</v>
      </c>
    </row>
    <row r="15" spans="2:11" x14ac:dyDescent="0.25">
      <c r="B15" s="67"/>
      <c r="C15" s="7" t="s">
        <v>14</v>
      </c>
      <c r="D15" s="15">
        <v>6</v>
      </c>
      <c r="E15" s="17">
        <f>('AHP (1) - Dados'!$E27-MIN('AHP (1) - Dados'!$E$16:$E$51))/(MAX('AHP (1) - Dados'!$E$16:$E$51)-MIN('AHP (1) - Dados'!$E$16:$E$51))</f>
        <v>0.23948428686543116</v>
      </c>
      <c r="F15" s="17">
        <f>('AHP (1) - Dados'!$F27-MIN('AHP (1) - Dados'!$F$16:$F$51))/(MAX('AHP (1) - Dados'!$F$16:$F$51)-MIN('AHP (1) - Dados'!$F$16:$F$51))</f>
        <v>0.5214723926380368</v>
      </c>
      <c r="G15" s="17">
        <f>('AHP (1) - Dados'!$H27-MIN('AHP (1) - Dados'!$H$16:$H$51))/(MAX('AHP (1) - Dados'!$H$16:$H$51)-MIN('AHP (1) - Dados'!$H$16:$H$51))</f>
        <v>1</v>
      </c>
      <c r="H15" s="19">
        <f>('AHP (1) - Dados'!$I27-MIN('AHP (1) - Dados'!$I$16:$I$51))/(MAX('AHP (1) - Dados'!$I$16:$I$51)-MIN('AHP (1) - Dados'!$I$16:$I$51))</f>
        <v>0</v>
      </c>
      <c r="I15" s="17">
        <f>('AHP (1) - Dados'!$J27-MIN('AHP (1) - Dados'!$J$16:$J$51))/(MAX('AHP (1) - Dados'!$J$16:$J$51)-MIN('AHP (1) - Dados'!$J$16:$J$51))</f>
        <v>0</v>
      </c>
      <c r="J15" s="50">
        <f>('AHP (1) - Dados'!$K27-MIN('AHP (1) - Dados'!$K$16:$K$51))/(MAX('AHP (1) - Dados'!$K$16:$K$51)-MIN('AHP (1) - Dados'!$K$16:$K$51))</f>
        <v>1</v>
      </c>
    </row>
    <row r="16" spans="2:11" x14ac:dyDescent="0.25">
      <c r="B16" s="65" t="s">
        <v>8</v>
      </c>
      <c r="C16" s="5" t="s">
        <v>12</v>
      </c>
      <c r="D16" s="1">
        <v>1</v>
      </c>
      <c r="E16" s="16">
        <f>('AHP (1) - Dados'!$E28-MIN('AHP (1) - Dados'!$E$16:$E$51))/(MAX('AHP (1) - Dados'!$E$16:$E$51)-MIN('AHP (1) - Dados'!$E$16:$E$51))</f>
        <v>0.10120870265914585</v>
      </c>
      <c r="F16" s="16">
        <f>('AHP (1) - Dados'!$F28-MIN('AHP (1) - Dados'!$F$16:$F$51))/(MAX('AHP (1) - Dados'!$F$16:$F$51)-MIN('AHP (1) - Dados'!$F$16:$F$51))</f>
        <v>7.9754601226993863E-2</v>
      </c>
      <c r="G16" s="16">
        <f>('AHP (1) - Dados'!$H28-MIN('AHP (1) - Dados'!$H$16:$H$51))/(MAX('AHP (1) - Dados'!$H$16:$H$51)-MIN('AHP (1) - Dados'!$H$16:$H$51))</f>
        <v>0</v>
      </c>
      <c r="H16" s="18">
        <f>('AHP (1) - Dados'!$I28-MIN('AHP (1) - Dados'!$I$16:$I$51))/(MAX('AHP (1) - Dados'!$I$16:$I$51)-MIN('AHP (1) - Dados'!$I$16:$I$51))</f>
        <v>1</v>
      </c>
      <c r="I16" s="16">
        <f>('AHP (1) - Dados'!$J28-MIN('AHP (1) - Dados'!$J$16:$J$51))/(MAX('AHP (1) - Dados'!$J$16:$J$51)-MIN('AHP (1) - Dados'!$J$16:$J$51))</f>
        <v>0.13124369747899162</v>
      </c>
      <c r="J16" s="49">
        <f>('AHP (1) - Dados'!$K28-MIN('AHP (1) - Dados'!$K$16:$K$51))/(MAX('AHP (1) - Dados'!$K$16:$K$51)-MIN('AHP (1) - Dados'!$K$16:$K$51))</f>
        <v>4.9019607843137254E-3</v>
      </c>
    </row>
    <row r="17" spans="2:10" x14ac:dyDescent="0.25">
      <c r="B17" s="66"/>
      <c r="C17" s="5" t="s">
        <v>12</v>
      </c>
      <c r="D17" s="1">
        <v>2</v>
      </c>
      <c r="E17" s="16">
        <f>('AHP (1) - Dados'!$E29-MIN('AHP (1) - Dados'!$E$16:$E$51))/(MAX('AHP (1) - Dados'!$E$16:$E$51)-MIN('AHP (1) - Dados'!$E$16:$E$51))</f>
        <v>0.23948428686543113</v>
      </c>
      <c r="F17" s="16">
        <f>('AHP (1) - Dados'!$F29-MIN('AHP (1) - Dados'!$F$16:$F$51))/(MAX('AHP (1) - Dados'!$F$16:$F$51)-MIN('AHP (1) - Dados'!$F$16:$F$51))</f>
        <v>0.26380368098159507</v>
      </c>
      <c r="G17" s="16">
        <f>('AHP (1) - Dados'!$H29-MIN('AHP (1) - Dados'!$H$16:$H$51))/(MAX('AHP (1) - Dados'!$H$16:$H$51)-MIN('AHP (1) - Dados'!$H$16:$H$51))</f>
        <v>0.33333333333333331</v>
      </c>
      <c r="H17" s="18">
        <f>('AHP (1) - Dados'!$I29-MIN('AHP (1) - Dados'!$I$16:$I$51))/(MAX('AHP (1) - Dados'!$I$16:$I$51)-MIN('AHP (1) - Dados'!$I$16:$I$51))</f>
        <v>0.4</v>
      </c>
      <c r="I17" s="16">
        <f>('AHP (1) - Dados'!$J29-MIN('AHP (1) - Dados'!$J$16:$J$51))/(MAX('AHP (1) - Dados'!$J$16:$J$51)-MIN('AHP (1) - Dados'!$J$16:$J$51))</f>
        <v>0.26248739495798323</v>
      </c>
      <c r="J17" s="49">
        <f>('AHP (1) - Dados'!$K29-MIN('AHP (1) - Dados'!$K$16:$K$51))/(MAX('AHP (1) - Dados'!$K$16:$K$51)-MIN('AHP (1) - Dados'!$K$16:$K$51))</f>
        <v>0.20098039215686275</v>
      </c>
    </row>
    <row r="18" spans="2:10" x14ac:dyDescent="0.25">
      <c r="B18" s="66"/>
      <c r="C18" s="5" t="s">
        <v>12</v>
      </c>
      <c r="D18" s="1">
        <v>4</v>
      </c>
      <c r="E18" s="16">
        <f>('AHP (1) - Dados'!$E30-MIN('AHP (1) - Dados'!$E$16:$E$51))/(MAX('AHP (1) - Dados'!$E$16:$E$51)-MIN('AHP (1) - Dados'!$E$16:$E$51))</f>
        <v>0.51603545527800165</v>
      </c>
      <c r="F18" s="16">
        <f>('AHP (1) - Dados'!$F30-MIN('AHP (1) - Dados'!$F$16:$F$51))/(MAX('AHP (1) - Dados'!$F$16:$F$51)-MIN('AHP (1) - Dados'!$F$16:$F$51))</f>
        <v>0.63190184049079756</v>
      </c>
      <c r="G18" s="16">
        <f>('AHP (1) - Dados'!$H30-MIN('AHP (1) - Dados'!$H$16:$H$51))/(MAX('AHP (1) - Dados'!$H$16:$H$51)-MIN('AHP (1) - Dados'!$H$16:$H$51))</f>
        <v>0.83333333333333337</v>
      </c>
      <c r="H18" s="18">
        <f>('AHP (1) - Dados'!$I30-MIN('AHP (1) - Dados'!$I$16:$I$51))/(MAX('AHP (1) - Dados'!$I$16:$I$51)-MIN('AHP (1) - Dados'!$I$16:$I$51))</f>
        <v>0.1</v>
      </c>
      <c r="I18" s="16">
        <f>('AHP (1) - Dados'!$J30-MIN('AHP (1) - Dados'!$J$16:$J$51))/(MAX('AHP (1) - Dados'!$J$16:$J$51)-MIN('AHP (1) - Dados'!$J$16:$J$51))</f>
        <v>0.52497478991596647</v>
      </c>
      <c r="J18" s="49">
        <f>('AHP (1) - Dados'!$K30-MIN('AHP (1) - Dados'!$K$16:$K$51))/(MAX('AHP (1) - Dados'!$K$16:$K$51)-MIN('AHP (1) - Dados'!$K$16:$K$51))</f>
        <v>0.59313725490196079</v>
      </c>
    </row>
    <row r="19" spans="2:10" x14ac:dyDescent="0.25">
      <c r="B19" s="66"/>
      <c r="C19" s="5" t="s">
        <v>12</v>
      </c>
      <c r="D19" s="1">
        <v>6</v>
      </c>
      <c r="E19" s="16">
        <f>('AHP (1) - Dados'!$E31-MIN('AHP (1) - Dados'!$E$16:$E$51))/(MAX('AHP (1) - Dados'!$E$16:$E$51)-MIN('AHP (1) - Dados'!$E$16:$E$51))</f>
        <v>0.7925866236905722</v>
      </c>
      <c r="F19" s="16">
        <f>('AHP (1) - Dados'!$F31-MIN('AHP (1) - Dados'!$F$16:$F$51))/(MAX('AHP (1) - Dados'!$F$16:$F$51)-MIN('AHP (1) - Dados'!$F$16:$F$51))</f>
        <v>1</v>
      </c>
      <c r="G19" s="16">
        <f>('AHP (1) - Dados'!$H31-MIN('AHP (1) - Dados'!$H$16:$H$51))/(MAX('AHP (1) - Dados'!$H$16:$H$51)-MIN('AHP (1) - Dados'!$H$16:$H$51))</f>
        <v>1</v>
      </c>
      <c r="H19" s="18">
        <f>('AHP (1) - Dados'!$I31-MIN('AHP (1) - Dados'!$I$16:$I$51))/(MAX('AHP (1) - Dados'!$I$16:$I$51)-MIN('AHP (1) - Dados'!$I$16:$I$51))</f>
        <v>0</v>
      </c>
      <c r="I19" s="16">
        <f>('AHP (1) - Dados'!$J31-MIN('AHP (1) - Dados'!$J$16:$J$51))/(MAX('AHP (1) - Dados'!$J$16:$J$51)-MIN('AHP (1) - Dados'!$J$16:$J$51))</f>
        <v>0.7874621848739497</v>
      </c>
      <c r="J19" s="49">
        <f>('AHP (1) - Dados'!$K31-MIN('AHP (1) - Dados'!$K$16:$K$51))/(MAX('AHP (1) - Dados'!$K$16:$K$51)-MIN('AHP (1) - Dados'!$K$16:$K$51))</f>
        <v>0.98529411764705888</v>
      </c>
    </row>
    <row r="20" spans="2:10" x14ac:dyDescent="0.25">
      <c r="B20" s="66"/>
      <c r="C20" s="5" t="s">
        <v>13</v>
      </c>
      <c r="D20" s="1">
        <v>1</v>
      </c>
      <c r="E20" s="16">
        <f>('AHP (1) - Dados'!$E32-MIN('AHP (1) - Dados'!$E$16:$E$51))/(MAX('AHP (1) - Dados'!$E$16:$E$51)-MIN('AHP (1) - Dados'!$E$16:$E$51))</f>
        <v>1.2355627182379807E-2</v>
      </c>
      <c r="F20" s="16">
        <f>('AHP (1) - Dados'!$F32-MIN('AHP (1) - Dados'!$F$16:$F$51))/(MAX('AHP (1) - Dados'!$F$16:$F$51)-MIN('AHP (1) - Dados'!$F$16:$F$51))</f>
        <v>1.6996261967349522E-2</v>
      </c>
      <c r="G20" s="16">
        <f>('AHP (1) - Dados'!$H32-MIN('AHP (1) - Dados'!$H$16:$H$51))/(MAX('AHP (1) - Dados'!$H$16:$H$51)-MIN('AHP (1) - Dados'!$H$16:$H$51))</f>
        <v>0</v>
      </c>
      <c r="H20" s="18">
        <f>('AHP (1) - Dados'!$I32-MIN('AHP (1) - Dados'!$I$16:$I$51))/(MAX('AHP (1) - Dados'!$I$16:$I$51)-MIN('AHP (1) - Dados'!$I$16:$I$51))</f>
        <v>1</v>
      </c>
      <c r="I20" s="16">
        <f>('AHP (1) - Dados'!$J32-MIN('AHP (1) - Dados'!$J$16:$J$51))/(MAX('AHP (1) - Dados'!$J$16:$J$51)-MIN('AHP (1) - Dados'!$J$16:$J$51))</f>
        <v>0.1333333333333333</v>
      </c>
      <c r="J20" s="49">
        <f>('AHP (1) - Dados'!$K32-MIN('AHP (1) - Dados'!$K$16:$K$51))/(MAX('AHP (1) - Dados'!$K$16:$K$51)-MIN('AHP (1) - Dados'!$K$16:$K$51))</f>
        <v>0</v>
      </c>
    </row>
    <row r="21" spans="2:10" x14ac:dyDescent="0.25">
      <c r="B21" s="66"/>
      <c r="C21" s="5" t="s">
        <v>13</v>
      </c>
      <c r="D21" s="1">
        <v>2</v>
      </c>
      <c r="E21" s="16">
        <f>('AHP (1) - Dados'!$E33-MIN('AHP (1) - Dados'!$E$16:$E$51))/(MAX('AHP (1) - Dados'!$E$16:$E$51)-MIN('AHP (1) - Dados'!$E$16:$E$51))</f>
        <v>6.1778135911899026E-2</v>
      </c>
      <c r="F21" s="16">
        <f>('AHP (1) - Dados'!$F33-MIN('AHP (1) - Dados'!$F$16:$F$51))/(MAX('AHP (1) - Dados'!$F$16:$F$51)-MIN('AHP (1) - Dados'!$F$16:$F$51))</f>
        <v>0.13828700246230641</v>
      </c>
      <c r="G21" s="16">
        <f>('AHP (1) - Dados'!$H33-MIN('AHP (1) - Dados'!$H$16:$H$51))/(MAX('AHP (1) - Dados'!$H$16:$H$51)-MIN('AHP (1) - Dados'!$H$16:$H$51))</f>
        <v>0.33333333333333331</v>
      </c>
      <c r="H21" s="18">
        <f>('AHP (1) - Dados'!$I33-MIN('AHP (1) - Dados'!$I$16:$I$51))/(MAX('AHP (1) - Dados'!$I$16:$I$51)-MIN('AHP (1) - Dados'!$I$16:$I$51))</f>
        <v>0.4</v>
      </c>
      <c r="I21" s="16">
        <f>('AHP (1) - Dados'!$J33-MIN('AHP (1) - Dados'!$J$16:$J$51))/(MAX('AHP (1) - Dados'!$J$16:$J$51)-MIN('AHP (1) - Dados'!$J$16:$J$51))</f>
        <v>0.26666666666666661</v>
      </c>
      <c r="J21" s="49">
        <f>('AHP (1) - Dados'!$K33-MIN('AHP (1) - Dados'!$K$16:$K$51))/(MAX('AHP (1) - Dados'!$K$16:$K$51)-MIN('AHP (1) - Dados'!$K$16:$K$51))</f>
        <v>0.19117647058823528</v>
      </c>
    </row>
    <row r="22" spans="2:10" x14ac:dyDescent="0.25">
      <c r="B22" s="66"/>
      <c r="C22" s="5" t="s">
        <v>13</v>
      </c>
      <c r="D22" s="1">
        <v>4</v>
      </c>
      <c r="E22" s="16">
        <f>('AHP (1) - Dados'!$E34-MIN('AHP (1) - Dados'!$E$16:$E$51))/(MAX('AHP (1) - Dados'!$E$16:$E$51)-MIN('AHP (1) - Dados'!$E$16:$E$51))</f>
        <v>0.16062315337093747</v>
      </c>
      <c r="F22" s="16">
        <f>('AHP (1) - Dados'!$F34-MIN('AHP (1) - Dados'!$F$16:$F$51))/(MAX('AHP (1) - Dados'!$F$16:$F$51)-MIN('AHP (1) - Dados'!$F$16:$F$51))</f>
        <v>0.38086848345222019</v>
      </c>
      <c r="G22" s="16">
        <f>('AHP (1) - Dados'!$H34-MIN('AHP (1) - Dados'!$H$16:$H$51))/(MAX('AHP (1) - Dados'!$H$16:$H$51)-MIN('AHP (1) - Dados'!$H$16:$H$51))</f>
        <v>1</v>
      </c>
      <c r="H22" s="18">
        <f>('AHP (1) - Dados'!$I34-MIN('AHP (1) - Dados'!$I$16:$I$51))/(MAX('AHP (1) - Dados'!$I$16:$I$51)-MIN('AHP (1) - Dados'!$I$16:$I$51))</f>
        <v>0.1</v>
      </c>
      <c r="I22" s="16">
        <f>('AHP (1) - Dados'!$J34-MIN('AHP (1) - Dados'!$J$16:$J$51))/(MAX('AHP (1) - Dados'!$J$16:$J$51)-MIN('AHP (1) - Dados'!$J$16:$J$51))</f>
        <v>0.53333333333333321</v>
      </c>
      <c r="J22" s="49">
        <f>('AHP (1) - Dados'!$K34-MIN('AHP (1) - Dados'!$K$16:$K$51))/(MAX('AHP (1) - Dados'!$K$16:$K$51)-MIN('AHP (1) - Dados'!$K$16:$K$51))</f>
        <v>0.57352941176470584</v>
      </c>
    </row>
    <row r="23" spans="2:10" x14ac:dyDescent="0.25">
      <c r="B23" s="66"/>
      <c r="C23" s="5" t="s">
        <v>13</v>
      </c>
      <c r="D23" s="1">
        <v>6</v>
      </c>
      <c r="E23" s="16">
        <f>('AHP (1) - Dados'!$E35-MIN('AHP (1) - Dados'!$E$16:$E$51))/(MAX('AHP (1) - Dados'!$E$16:$E$51)-MIN('AHP (1) - Dados'!$E$16:$E$51))</f>
        <v>0.25946817082997586</v>
      </c>
      <c r="F23" s="16">
        <f>('AHP (1) - Dados'!$F35-MIN('AHP (1) - Dados'!$F$16:$F$51))/(MAX('AHP (1) - Dados'!$F$16:$F$51)-MIN('AHP (1) - Dados'!$F$16:$F$51))</f>
        <v>0.62344996444213385</v>
      </c>
      <c r="G23" s="16">
        <f>('AHP (1) - Dados'!$H35-MIN('AHP (1) - Dados'!$H$16:$H$51))/(MAX('AHP (1) - Dados'!$H$16:$H$51)-MIN('AHP (1) - Dados'!$H$16:$H$51))</f>
        <v>1</v>
      </c>
      <c r="H23" s="18">
        <f>('AHP (1) - Dados'!$I35-MIN('AHP (1) - Dados'!$I$16:$I$51))/(MAX('AHP (1) - Dados'!$I$16:$I$51)-MIN('AHP (1) - Dados'!$I$16:$I$51))</f>
        <v>0</v>
      </c>
      <c r="I23" s="16">
        <f>('AHP (1) - Dados'!$J35-MIN('AHP (1) - Dados'!$J$16:$J$51))/(MAX('AHP (1) - Dados'!$J$16:$J$51)-MIN('AHP (1) - Dados'!$J$16:$J$51))</f>
        <v>0.79999999999999993</v>
      </c>
      <c r="J23" s="49">
        <f>('AHP (1) - Dados'!$K35-MIN('AHP (1) - Dados'!$K$16:$K$51))/(MAX('AHP (1) - Dados'!$K$16:$K$51)-MIN('AHP (1) - Dados'!$K$16:$K$51))</f>
        <v>0.95588235294117652</v>
      </c>
    </row>
    <row r="24" spans="2:10" x14ac:dyDescent="0.25">
      <c r="B24" s="66"/>
      <c r="C24" s="5" t="s">
        <v>14</v>
      </c>
      <c r="D24" s="1">
        <v>1</v>
      </c>
      <c r="E24" s="16">
        <f>('AHP (1) - Dados'!$E36-MIN('AHP (1) - Dados'!$E$16:$E$51))/(MAX('AHP (1) - Dados'!$E$16:$E$51)-MIN('AHP (1) - Dados'!$E$16:$E$51))</f>
        <v>2.438893365565404E-2</v>
      </c>
      <c r="F24" s="16">
        <f>('AHP (1) - Dados'!$F36-MIN('AHP (1) - Dados'!$F$16:$F$51))/(MAX('AHP (1) - Dados'!$F$16:$F$51)-MIN('AHP (1) - Dados'!$F$16:$F$51))</f>
        <v>0</v>
      </c>
      <c r="G24" s="16">
        <f>('AHP (1) - Dados'!$H36-MIN('AHP (1) - Dados'!$H$16:$H$51))/(MAX('AHP (1) - Dados'!$H$16:$H$51)-MIN('AHP (1) - Dados'!$H$16:$H$51))</f>
        <v>0</v>
      </c>
      <c r="H24" s="18">
        <f>('AHP (1) - Dados'!$I36-MIN('AHP (1) - Dados'!$I$16:$I$51))/(MAX('AHP (1) - Dados'!$I$16:$I$51)-MIN('AHP (1) - Dados'!$I$16:$I$51))</f>
        <v>1</v>
      </c>
      <c r="I24" s="16">
        <f>('AHP (1) - Dados'!$J36-MIN('AHP (1) - Dados'!$J$16:$J$51))/(MAX('AHP (1) - Dados'!$J$16:$J$51)-MIN('AHP (1) - Dados'!$J$16:$J$51))</f>
        <v>0</v>
      </c>
      <c r="J24" s="49">
        <f>('AHP (1) - Dados'!$K36-MIN('AHP (1) - Dados'!$K$16:$K$51))/(MAX('AHP (1) - Dados'!$K$16:$K$51)-MIN('AHP (1) - Dados'!$K$16:$K$51))</f>
        <v>7.3529411764705881E-3</v>
      </c>
    </row>
    <row r="25" spans="2:10" x14ac:dyDescent="0.25">
      <c r="B25" s="66"/>
      <c r="C25" s="5" t="s">
        <v>14</v>
      </c>
      <c r="D25" s="1">
        <v>2</v>
      </c>
      <c r="E25" s="16">
        <f>('AHP (1) - Dados'!$E37-MIN('AHP (1) - Dados'!$E$16:$E$51))/(MAX('AHP (1) - Dados'!$E$16:$E$51)-MIN('AHP (1) - Dados'!$E$16:$E$51))</f>
        <v>8.5844748858447492E-2</v>
      </c>
      <c r="F25" s="16">
        <f>('AHP (1) - Dados'!$F37-MIN('AHP (1) - Dados'!$F$16:$F$51))/(MAX('AHP (1) - Dados'!$F$16:$F$51)-MIN('AHP (1) - Dados'!$F$16:$F$51))</f>
        <v>0.10429447852760736</v>
      </c>
      <c r="G25" s="16">
        <f>('AHP (1) - Dados'!$H37-MIN('AHP (1) - Dados'!$H$16:$H$51))/(MAX('AHP (1) - Dados'!$H$16:$H$51)-MIN('AHP (1) - Dados'!$H$16:$H$51))</f>
        <v>0.33333333333333331</v>
      </c>
      <c r="H25" s="18">
        <f>('AHP (1) - Dados'!$I37-MIN('AHP (1) - Dados'!$I$16:$I$51))/(MAX('AHP (1) - Dados'!$I$16:$I$51)-MIN('AHP (1) - Dados'!$I$16:$I$51))</f>
        <v>0.4</v>
      </c>
      <c r="I25" s="16">
        <f>('AHP (1) - Dados'!$J37-MIN('AHP (1) - Dados'!$J$16:$J$51))/(MAX('AHP (1) - Dados'!$J$16:$J$51)-MIN('AHP (1) - Dados'!$J$16:$J$51))</f>
        <v>0</v>
      </c>
      <c r="J25" s="49">
        <f>('AHP (1) - Dados'!$K37-MIN('AHP (1) - Dados'!$K$16:$K$51))/(MAX('AHP (1) - Dados'!$K$16:$K$51)-MIN('AHP (1) - Dados'!$K$16:$K$51))</f>
        <v>0.20588235294117646</v>
      </c>
    </row>
    <row r="26" spans="2:10" x14ac:dyDescent="0.25">
      <c r="B26" s="66"/>
      <c r="C26" s="5" t="s">
        <v>14</v>
      </c>
      <c r="D26" s="1">
        <v>4</v>
      </c>
      <c r="E26" s="16">
        <f>('AHP (1) - Dados'!$E38-MIN('AHP (1) - Dados'!$E$16:$E$51))/(MAX('AHP (1) - Dados'!$E$16:$E$51)-MIN('AHP (1) - Dados'!$E$16:$E$51))</f>
        <v>0.2087563792640344</v>
      </c>
      <c r="F26" s="16">
        <f>('AHP (1) - Dados'!$F38-MIN('AHP (1) - Dados'!$F$16:$F$51))/(MAX('AHP (1) - Dados'!$F$16:$F$51)-MIN('AHP (1) - Dados'!$F$16:$F$51))</f>
        <v>0.31288343558282211</v>
      </c>
      <c r="G26" s="16">
        <f>('AHP (1) - Dados'!$H38-MIN('AHP (1) - Dados'!$H$16:$H$51))/(MAX('AHP (1) - Dados'!$H$16:$H$51)-MIN('AHP (1) - Dados'!$H$16:$H$51))</f>
        <v>1</v>
      </c>
      <c r="H26" s="18">
        <f>('AHP (1) - Dados'!$I38-MIN('AHP (1) - Dados'!$I$16:$I$51))/(MAX('AHP (1) - Dados'!$I$16:$I$51)-MIN('AHP (1) - Dados'!$I$16:$I$51))</f>
        <v>0.1</v>
      </c>
      <c r="I26" s="16">
        <f>('AHP (1) - Dados'!$J38-MIN('AHP (1) - Dados'!$J$16:$J$51))/(MAX('AHP (1) - Dados'!$J$16:$J$51)-MIN('AHP (1) - Dados'!$J$16:$J$51))</f>
        <v>0</v>
      </c>
      <c r="J26" s="49">
        <f>('AHP (1) - Dados'!$K38-MIN('AHP (1) - Dados'!$K$16:$K$51))/(MAX('AHP (1) - Dados'!$K$16:$K$51)-MIN('AHP (1) - Dados'!$K$16:$K$51))</f>
        <v>0.6029411764705882</v>
      </c>
    </row>
    <row r="27" spans="2:10" x14ac:dyDescent="0.25">
      <c r="B27" s="67"/>
      <c r="C27" s="7" t="s">
        <v>14</v>
      </c>
      <c r="D27" s="15">
        <v>6</v>
      </c>
      <c r="E27" s="17">
        <f>('AHP (1) - Dados'!$E39-MIN('AHP (1) - Dados'!$E$16:$E$51))/(MAX('AHP (1) - Dados'!$E$16:$E$51)-MIN('AHP (1) - Dados'!$E$16:$E$51))</f>
        <v>0.33166800966962134</v>
      </c>
      <c r="F27" s="17">
        <f>('AHP (1) - Dados'!$F39-MIN('AHP (1) - Dados'!$F$16:$F$51))/(MAX('AHP (1) - Dados'!$F$16:$F$51)-MIN('AHP (1) - Dados'!$F$16:$F$51))</f>
        <v>0.5214723926380368</v>
      </c>
      <c r="G27" s="17">
        <f>('AHP (1) - Dados'!$H39-MIN('AHP (1) - Dados'!$H$16:$H$51))/(MAX('AHP (1) - Dados'!$H$16:$H$51)-MIN('AHP (1) - Dados'!$H$16:$H$51))</f>
        <v>1</v>
      </c>
      <c r="H27" s="19">
        <f>('AHP (1) - Dados'!$I39-MIN('AHP (1) - Dados'!$I$16:$I$51))/(MAX('AHP (1) - Dados'!$I$16:$I$51)-MIN('AHP (1) - Dados'!$I$16:$I$51))</f>
        <v>0</v>
      </c>
      <c r="I27" s="17">
        <f>('AHP (1) - Dados'!$J39-MIN('AHP (1) - Dados'!$J$16:$J$51))/(MAX('AHP (1) - Dados'!$J$16:$J$51)-MIN('AHP (1) - Dados'!$J$16:$J$51))</f>
        <v>0</v>
      </c>
      <c r="J27" s="50">
        <f>('AHP (1) - Dados'!$K39-MIN('AHP (1) - Dados'!$K$16:$K$51))/(MAX('AHP (1) - Dados'!$K$16:$K$51)-MIN('AHP (1) - Dados'!$K$16:$K$51))</f>
        <v>1</v>
      </c>
    </row>
    <row r="28" spans="2:10" x14ac:dyDescent="0.25">
      <c r="B28" s="65" t="s">
        <v>9</v>
      </c>
      <c r="C28" s="5" t="s">
        <v>12</v>
      </c>
      <c r="D28" s="1">
        <v>1</v>
      </c>
      <c r="E28" s="16">
        <f>('AHP (1) - Dados'!$E40-MIN('AHP (1) - Dados'!$E$16:$E$51))/(MAX('AHP (1) - Dados'!$E$16:$E$51)-MIN('AHP (1) - Dados'!$E$16:$E$51))</f>
        <v>0.13577759871071718</v>
      </c>
      <c r="F28" s="16">
        <f>('AHP (1) - Dados'!$F40-MIN('AHP (1) - Dados'!$F$16:$F$51))/(MAX('AHP (1) - Dados'!$F$16:$F$51)-MIN('AHP (1) - Dados'!$F$16:$F$51))</f>
        <v>7.9754601226993863E-2</v>
      </c>
      <c r="G28" s="16">
        <f>('AHP (1) - Dados'!$H40-MIN('AHP (1) - Dados'!$H$16:$H$51))/(MAX('AHP (1) - Dados'!$H$16:$H$51)-MIN('AHP (1) - Dados'!$H$16:$H$51))</f>
        <v>0</v>
      </c>
      <c r="H28" s="18">
        <f>('AHP (1) - Dados'!$I40-MIN('AHP (1) - Dados'!$I$16:$I$51))/(MAX('AHP (1) - Dados'!$I$16:$I$51)-MIN('AHP (1) - Dados'!$I$16:$I$51))</f>
        <v>1</v>
      </c>
      <c r="I28" s="16">
        <f>('AHP (1) - Dados'!$J40-MIN('AHP (1) - Dados'!$J$16:$J$51))/(MAX('AHP (1) - Dados'!$J$16:$J$51)-MIN('AHP (1) - Dados'!$J$16:$J$51))</f>
        <v>0.16405462184873951</v>
      </c>
      <c r="J28" s="49">
        <f>('AHP (1) - Dados'!$K40-MIN('AHP (1) - Dados'!$K$16:$K$51))/(MAX('AHP (1) - Dados'!$K$16:$K$51)-MIN('AHP (1) - Dados'!$K$16:$K$51))</f>
        <v>4.9019607843137254E-3</v>
      </c>
    </row>
    <row r="29" spans="2:10" x14ac:dyDescent="0.25">
      <c r="B29" s="66"/>
      <c r="C29" s="5" t="s">
        <v>12</v>
      </c>
      <c r="D29" s="1">
        <v>2</v>
      </c>
      <c r="E29" s="16">
        <f>('AHP (1) - Dados'!$E41-MIN('AHP (1) - Dados'!$E$16:$E$51))/(MAX('AHP (1) - Dados'!$E$16:$E$51)-MIN('AHP (1) - Dados'!$E$16:$E$51))</f>
        <v>0.30862207896857374</v>
      </c>
      <c r="F29" s="16">
        <f>('AHP (1) - Dados'!$F41-MIN('AHP (1) - Dados'!$F$16:$F$51))/(MAX('AHP (1) - Dados'!$F$16:$F$51)-MIN('AHP (1) - Dados'!$F$16:$F$51))</f>
        <v>0.26380368098159507</v>
      </c>
      <c r="G29" s="16">
        <f>('AHP (1) - Dados'!$H41-MIN('AHP (1) - Dados'!$H$16:$H$51))/(MAX('AHP (1) - Dados'!$H$16:$H$51)-MIN('AHP (1) - Dados'!$H$16:$H$51))</f>
        <v>0</v>
      </c>
      <c r="H29" s="18">
        <f>('AHP (1) - Dados'!$I41-MIN('AHP (1) - Dados'!$I$16:$I$51))/(MAX('AHP (1) - Dados'!$I$16:$I$51)-MIN('AHP (1) - Dados'!$I$16:$I$51))</f>
        <v>0.4</v>
      </c>
      <c r="I29" s="16">
        <f>('AHP (1) - Dados'!$J41-MIN('AHP (1) - Dados'!$J$16:$J$51))/(MAX('AHP (1) - Dados'!$J$16:$J$51)-MIN('AHP (1) - Dados'!$J$16:$J$51))</f>
        <v>0.32810924369747901</v>
      </c>
      <c r="J29" s="49">
        <f>('AHP (1) - Dados'!$K41-MIN('AHP (1) - Dados'!$K$16:$K$51))/(MAX('AHP (1) - Dados'!$K$16:$K$51)-MIN('AHP (1) - Dados'!$K$16:$K$51))</f>
        <v>0.20098039215686275</v>
      </c>
    </row>
    <row r="30" spans="2:10" x14ac:dyDescent="0.25">
      <c r="B30" s="66"/>
      <c r="C30" s="5" t="s">
        <v>12</v>
      </c>
      <c r="D30" s="1">
        <v>4</v>
      </c>
      <c r="E30" s="16">
        <f>('AHP (1) - Dados'!$E42-MIN('AHP (1) - Dados'!$E$16:$E$51))/(MAX('AHP (1) - Dados'!$E$16:$E$51)-MIN('AHP (1) - Dados'!$E$16:$E$51))</f>
        <v>0.65431103948428682</v>
      </c>
      <c r="F30" s="16">
        <f>('AHP (1) - Dados'!$F42-MIN('AHP (1) - Dados'!$F$16:$F$51))/(MAX('AHP (1) - Dados'!$F$16:$F$51)-MIN('AHP (1) - Dados'!$F$16:$F$51))</f>
        <v>0.63190184049079756</v>
      </c>
      <c r="G30" s="16">
        <f>('AHP (1) - Dados'!$H42-MIN('AHP (1) - Dados'!$H$16:$H$51))/(MAX('AHP (1) - Dados'!$H$16:$H$51)-MIN('AHP (1) - Dados'!$H$16:$H$51))</f>
        <v>0.83333333333333337</v>
      </c>
      <c r="H30" s="18">
        <f>('AHP (1) - Dados'!$I42-MIN('AHP (1) - Dados'!$I$16:$I$51))/(MAX('AHP (1) - Dados'!$I$16:$I$51)-MIN('AHP (1) - Dados'!$I$16:$I$51))</f>
        <v>0.1</v>
      </c>
      <c r="I30" s="16">
        <f>('AHP (1) - Dados'!$J42-MIN('AHP (1) - Dados'!$J$16:$J$51))/(MAX('AHP (1) - Dados'!$J$16:$J$51)-MIN('AHP (1) - Dados'!$J$16:$J$51))</f>
        <v>0.65621848739495803</v>
      </c>
      <c r="J30" s="49">
        <f>('AHP (1) - Dados'!$K42-MIN('AHP (1) - Dados'!$K$16:$K$51))/(MAX('AHP (1) - Dados'!$K$16:$K$51)-MIN('AHP (1) - Dados'!$K$16:$K$51))</f>
        <v>0.59313725490196079</v>
      </c>
    </row>
    <row r="31" spans="2:10" x14ac:dyDescent="0.25">
      <c r="B31" s="66"/>
      <c r="C31" s="5" t="s">
        <v>12</v>
      </c>
      <c r="D31" s="1">
        <v>6</v>
      </c>
      <c r="E31" s="16">
        <f>('AHP (1) - Dados'!$E43-MIN('AHP (1) - Dados'!$E$16:$E$51))/(MAX('AHP (1) - Dados'!$E$16:$E$51)-MIN('AHP (1) - Dados'!$E$16:$E$51))</f>
        <v>1</v>
      </c>
      <c r="F31" s="16">
        <f>('AHP (1) - Dados'!$F43-MIN('AHP (1) - Dados'!$F$16:$F$51))/(MAX('AHP (1) - Dados'!$F$16:$F$51)-MIN('AHP (1) - Dados'!$F$16:$F$51))</f>
        <v>1</v>
      </c>
      <c r="G31" s="16">
        <f>('AHP (1) - Dados'!$H43-MIN('AHP (1) - Dados'!$H$16:$H$51))/(MAX('AHP (1) - Dados'!$H$16:$H$51)-MIN('AHP (1) - Dados'!$H$16:$H$51))</f>
        <v>1</v>
      </c>
      <c r="H31" s="18">
        <f>('AHP (1) - Dados'!$I43-MIN('AHP (1) - Dados'!$I$16:$I$51))/(MAX('AHP (1) - Dados'!$I$16:$I$51)-MIN('AHP (1) - Dados'!$I$16:$I$51))</f>
        <v>0</v>
      </c>
      <c r="I31" s="16">
        <f>('AHP (1) - Dados'!$J43-MIN('AHP (1) - Dados'!$J$16:$J$51))/(MAX('AHP (1) - Dados'!$J$16:$J$51)-MIN('AHP (1) - Dados'!$J$16:$J$51))</f>
        <v>0.9843277310924371</v>
      </c>
      <c r="J31" s="49">
        <f>('AHP (1) - Dados'!$K43-MIN('AHP (1) - Dados'!$K$16:$K$51))/(MAX('AHP (1) - Dados'!$K$16:$K$51)-MIN('AHP (1) - Dados'!$K$16:$K$51))</f>
        <v>0.98529411764705888</v>
      </c>
    </row>
    <row r="32" spans="2:10" x14ac:dyDescent="0.25">
      <c r="B32" s="66"/>
      <c r="C32" s="5" t="s">
        <v>13</v>
      </c>
      <c r="D32" s="1">
        <v>1</v>
      </c>
      <c r="E32" s="16">
        <f>('AHP (1) - Dados'!$E44-MIN('AHP (1) - Dados'!$E$16:$E$51))/(MAX('AHP (1) - Dados'!$E$16:$E$51)-MIN('AHP (1) - Dados'!$E$16:$E$51))</f>
        <v>2.4711254364759603E-2</v>
      </c>
      <c r="F32" s="16">
        <f>('AHP (1) - Dados'!$F44-MIN('AHP (1) - Dados'!$F$16:$F$51))/(MAX('AHP (1) - Dados'!$F$16:$F$51)-MIN('AHP (1) - Dados'!$F$16:$F$51))</f>
        <v>1.6996261967349522E-2</v>
      </c>
      <c r="G32" s="16">
        <f>('AHP (1) - Dados'!$H44-MIN('AHP (1) - Dados'!$H$16:$H$51))/(MAX('AHP (1) - Dados'!$H$16:$H$51)-MIN('AHP (1) - Dados'!$H$16:$H$51))</f>
        <v>0</v>
      </c>
      <c r="H32" s="18">
        <f>('AHP (1) - Dados'!$I44-MIN('AHP (1) - Dados'!$I$16:$I$51))/(MAX('AHP (1) - Dados'!$I$16:$I$51)-MIN('AHP (1) - Dados'!$I$16:$I$51))</f>
        <v>1</v>
      </c>
      <c r="I32" s="16">
        <f>('AHP (1) - Dados'!$J44-MIN('AHP (1) - Dados'!$J$16:$J$51))/(MAX('AHP (1) - Dados'!$J$16:$J$51)-MIN('AHP (1) - Dados'!$J$16:$J$51))</f>
        <v>0.16666666666666666</v>
      </c>
      <c r="J32" s="49">
        <f>('AHP (1) - Dados'!$K44-MIN('AHP (1) - Dados'!$K$16:$K$51))/(MAX('AHP (1) - Dados'!$K$16:$K$51)-MIN('AHP (1) - Dados'!$K$16:$K$51))</f>
        <v>0</v>
      </c>
    </row>
    <row r="33" spans="2:10" x14ac:dyDescent="0.25">
      <c r="B33" s="66"/>
      <c r="C33" s="5" t="s">
        <v>13</v>
      </c>
      <c r="D33" s="1">
        <v>2</v>
      </c>
      <c r="E33" s="16">
        <f>('AHP (1) - Dados'!$E45-MIN('AHP (1) - Dados'!$E$16:$E$51))/(MAX('AHP (1) - Dados'!$E$16:$E$51)-MIN('AHP (1) - Dados'!$E$16:$E$51))</f>
        <v>8.6489390276658626E-2</v>
      </c>
      <c r="F33" s="16">
        <f>('AHP (1) - Dados'!$F45-MIN('AHP (1) - Dados'!$F$16:$F$51))/(MAX('AHP (1) - Dados'!$F$16:$F$51)-MIN('AHP (1) - Dados'!$F$16:$F$51))</f>
        <v>0.13828700246230641</v>
      </c>
      <c r="G33" s="16">
        <f>('AHP (1) - Dados'!$H45-MIN('AHP (1) - Dados'!$H$16:$H$51))/(MAX('AHP (1) - Dados'!$H$16:$H$51)-MIN('AHP (1) - Dados'!$H$16:$H$51))</f>
        <v>0</v>
      </c>
      <c r="H33" s="18">
        <f>('AHP (1) - Dados'!$I45-MIN('AHP (1) - Dados'!$I$16:$I$51))/(MAX('AHP (1) - Dados'!$I$16:$I$51)-MIN('AHP (1) - Dados'!$I$16:$I$51))</f>
        <v>0.4</v>
      </c>
      <c r="I33" s="16">
        <f>('AHP (1) - Dados'!$J45-MIN('AHP (1) - Dados'!$J$16:$J$51))/(MAX('AHP (1) - Dados'!$J$16:$J$51)-MIN('AHP (1) - Dados'!$J$16:$J$51))</f>
        <v>0.33333333333333331</v>
      </c>
      <c r="J33" s="49">
        <f>('AHP (1) - Dados'!$K45-MIN('AHP (1) - Dados'!$K$16:$K$51))/(MAX('AHP (1) - Dados'!$K$16:$K$51)-MIN('AHP (1) - Dados'!$K$16:$K$51))</f>
        <v>0.19117647058823528</v>
      </c>
    </row>
    <row r="34" spans="2:10" x14ac:dyDescent="0.25">
      <c r="B34" s="66"/>
      <c r="C34" s="5" t="s">
        <v>13</v>
      </c>
      <c r="D34" s="1">
        <v>4</v>
      </c>
      <c r="E34" s="16">
        <f>('AHP (1) - Dados'!$E46-MIN('AHP (1) - Dados'!$E$16:$E$51))/(MAX('AHP (1) - Dados'!$E$16:$E$51)-MIN('AHP (1) - Dados'!$E$16:$E$51))</f>
        <v>0.21004566210045666</v>
      </c>
      <c r="F34" s="16">
        <f>('AHP (1) - Dados'!$F46-MIN('AHP (1) - Dados'!$F$16:$F$51))/(MAX('AHP (1) - Dados'!$F$16:$F$51)-MIN('AHP (1) - Dados'!$F$16:$F$51))</f>
        <v>0.38086848345222019</v>
      </c>
      <c r="G34" s="16">
        <f>('AHP (1) - Dados'!$H46-MIN('AHP (1) - Dados'!$H$16:$H$51))/(MAX('AHP (1) - Dados'!$H$16:$H$51)-MIN('AHP (1) - Dados'!$H$16:$H$51))</f>
        <v>0.83333333333333337</v>
      </c>
      <c r="H34" s="18">
        <f>('AHP (1) - Dados'!$I46-MIN('AHP (1) - Dados'!$I$16:$I$51))/(MAX('AHP (1) - Dados'!$I$16:$I$51)-MIN('AHP (1) - Dados'!$I$16:$I$51))</f>
        <v>0.1</v>
      </c>
      <c r="I34" s="16">
        <f>('AHP (1) - Dados'!$J46-MIN('AHP (1) - Dados'!$J$16:$J$51))/(MAX('AHP (1) - Dados'!$J$16:$J$51)-MIN('AHP (1) - Dados'!$J$16:$J$51))</f>
        <v>0.66666666666666663</v>
      </c>
      <c r="J34" s="49">
        <f>('AHP (1) - Dados'!$K46-MIN('AHP (1) - Dados'!$K$16:$K$51))/(MAX('AHP (1) - Dados'!$K$16:$K$51)-MIN('AHP (1) - Dados'!$K$16:$K$51))</f>
        <v>0.57352941176470584</v>
      </c>
    </row>
    <row r="35" spans="2:10" x14ac:dyDescent="0.25">
      <c r="B35" s="66"/>
      <c r="C35" s="5" t="s">
        <v>13</v>
      </c>
      <c r="D35" s="1">
        <v>6</v>
      </c>
      <c r="E35" s="16">
        <f>('AHP (1) - Dados'!$E47-MIN('AHP (1) - Dados'!$E$16:$E$51))/(MAX('AHP (1) - Dados'!$E$16:$E$51)-MIN('AHP (1) - Dados'!$E$16:$E$51))</f>
        <v>0.33360193392425469</v>
      </c>
      <c r="F35" s="16">
        <f>('AHP (1) - Dados'!$F47-MIN('AHP (1) - Dados'!$F$16:$F$51))/(MAX('AHP (1) - Dados'!$F$16:$F$51)-MIN('AHP (1) - Dados'!$F$16:$F$51))</f>
        <v>0.62344996444213385</v>
      </c>
      <c r="G35" s="16">
        <f>('AHP (1) - Dados'!$H47-MIN('AHP (1) - Dados'!$H$16:$H$51))/(MAX('AHP (1) - Dados'!$H$16:$H$51)-MIN('AHP (1) - Dados'!$H$16:$H$51))</f>
        <v>1</v>
      </c>
      <c r="H35" s="18">
        <f>('AHP (1) - Dados'!$I47-MIN('AHP (1) - Dados'!$I$16:$I$51))/(MAX('AHP (1) - Dados'!$I$16:$I$51)-MIN('AHP (1) - Dados'!$I$16:$I$51))</f>
        <v>0</v>
      </c>
      <c r="I35" s="16">
        <f>('AHP (1) - Dados'!$J47-MIN('AHP (1) - Dados'!$J$16:$J$51))/(MAX('AHP (1) - Dados'!$J$16:$J$51)-MIN('AHP (1) - Dados'!$J$16:$J$51))</f>
        <v>1</v>
      </c>
      <c r="J35" s="49">
        <f>('AHP (1) - Dados'!$K47-MIN('AHP (1) - Dados'!$K$16:$K$51))/(MAX('AHP (1) - Dados'!$K$16:$K$51)-MIN('AHP (1) - Dados'!$K$16:$K$51))</f>
        <v>0.95588235294117652</v>
      </c>
    </row>
    <row r="36" spans="2:10" x14ac:dyDescent="0.25">
      <c r="B36" s="66"/>
      <c r="C36" s="5" t="s">
        <v>14</v>
      </c>
      <c r="D36" s="1">
        <v>1</v>
      </c>
      <c r="E36" s="16">
        <f>('AHP (1) - Dados'!$E48-MIN('AHP (1) - Dados'!$E$16:$E$51))/(MAX('AHP (1) - Dados'!$E$16:$E$51)-MIN('AHP (1) - Dados'!$E$16:$E$51))</f>
        <v>3.9752887456352408E-2</v>
      </c>
      <c r="F36" s="16">
        <f>('AHP (1) - Dados'!$F48-MIN('AHP (1) - Dados'!$F$16:$F$51))/(MAX('AHP (1) - Dados'!$F$16:$F$51)-MIN('AHP (1) - Dados'!$F$16:$F$51))</f>
        <v>0</v>
      </c>
      <c r="G36" s="16">
        <f>('AHP (1) - Dados'!$H48-MIN('AHP (1) - Dados'!$H$16:$H$51))/(MAX('AHP (1) - Dados'!$H$16:$H$51)-MIN('AHP (1) - Dados'!$H$16:$H$51))</f>
        <v>0</v>
      </c>
      <c r="H36" s="18">
        <f>('AHP (1) - Dados'!$I48-MIN('AHP (1) - Dados'!$I$16:$I$51))/(MAX('AHP (1) - Dados'!$I$16:$I$51)-MIN('AHP (1) - Dados'!$I$16:$I$51))</f>
        <v>1</v>
      </c>
      <c r="I36" s="16">
        <f>('AHP (1) - Dados'!$J48-MIN('AHP (1) - Dados'!$J$16:$J$51))/(MAX('AHP (1) - Dados'!$J$16:$J$51)-MIN('AHP (1) - Dados'!$J$16:$J$51))</f>
        <v>0</v>
      </c>
      <c r="J36" s="49">
        <f>('AHP (1) - Dados'!$K48-MIN('AHP (1) - Dados'!$K$16:$K$51))/(MAX('AHP (1) - Dados'!$K$16:$K$51)-MIN('AHP (1) - Dados'!$K$16:$K$51))</f>
        <v>7.3529411764705881E-3</v>
      </c>
    </row>
    <row r="37" spans="2:10" x14ac:dyDescent="0.25">
      <c r="B37" s="66"/>
      <c r="C37" s="5" t="s">
        <v>14</v>
      </c>
      <c r="D37" s="1">
        <v>2</v>
      </c>
      <c r="E37" s="16">
        <f>('AHP (1) - Dados'!$E49-MIN('AHP (1) - Dados'!$E$16:$E$51))/(MAX('AHP (1) - Dados'!$E$16:$E$51)-MIN('AHP (1) - Dados'!$E$16:$E$51))</f>
        <v>0.11657265645984424</v>
      </c>
      <c r="F37" s="16">
        <f>('AHP (1) - Dados'!$F49-MIN('AHP (1) - Dados'!$F$16:$F$51))/(MAX('AHP (1) - Dados'!$F$16:$F$51)-MIN('AHP (1) - Dados'!$F$16:$F$51))</f>
        <v>0.10429447852760736</v>
      </c>
      <c r="G37" s="16">
        <f>('AHP (1) - Dados'!$H49-MIN('AHP (1) - Dados'!$H$16:$H$51))/(MAX('AHP (1) - Dados'!$H$16:$H$51)-MIN('AHP (1) - Dados'!$H$16:$H$51))</f>
        <v>0</v>
      </c>
      <c r="H37" s="18">
        <f>('AHP (1) - Dados'!$I49-MIN('AHP (1) - Dados'!$I$16:$I$51))/(MAX('AHP (1) - Dados'!$I$16:$I$51)-MIN('AHP (1) - Dados'!$I$16:$I$51))</f>
        <v>0.4</v>
      </c>
      <c r="I37" s="16">
        <f>('AHP (1) - Dados'!$J49-MIN('AHP (1) - Dados'!$J$16:$J$51))/(MAX('AHP (1) - Dados'!$J$16:$J$51)-MIN('AHP (1) - Dados'!$J$16:$J$51))</f>
        <v>0</v>
      </c>
      <c r="J37" s="49">
        <f>('AHP (1) - Dados'!$K49-MIN('AHP (1) - Dados'!$K$16:$K$51))/(MAX('AHP (1) - Dados'!$K$16:$K$51)-MIN('AHP (1) - Dados'!$K$16:$K$51))</f>
        <v>0.20588235294117646</v>
      </c>
    </row>
    <row r="38" spans="2:10" x14ac:dyDescent="0.25">
      <c r="B38" s="66"/>
      <c r="C38" s="5" t="s">
        <v>14</v>
      </c>
      <c r="D38" s="1">
        <v>4</v>
      </c>
      <c r="E38" s="16">
        <f>('AHP (1) - Dados'!$E50-MIN('AHP (1) - Dados'!$E$16:$E$51))/(MAX('AHP (1) - Dados'!$E$16:$E$51)-MIN('AHP (1) - Dados'!$E$16:$E$51))</f>
        <v>0.27021219446682787</v>
      </c>
      <c r="F38" s="16">
        <f>('AHP (1) - Dados'!$F50-MIN('AHP (1) - Dados'!$F$16:$F$51))/(MAX('AHP (1) - Dados'!$F$16:$F$51)-MIN('AHP (1) - Dados'!$F$16:$F$51))</f>
        <v>0.31288343558282211</v>
      </c>
      <c r="G38" s="16">
        <f>('AHP (1) - Dados'!$H50-MIN('AHP (1) - Dados'!$H$16:$H$51))/(MAX('AHP (1) - Dados'!$H$16:$H$51)-MIN('AHP (1) - Dados'!$H$16:$H$51))</f>
        <v>0.83333333333333337</v>
      </c>
      <c r="H38" s="18">
        <f>('AHP (1) - Dados'!$I50-MIN('AHP (1) - Dados'!$I$16:$I$51))/(MAX('AHP (1) - Dados'!$I$16:$I$51)-MIN('AHP (1) - Dados'!$I$16:$I$51))</f>
        <v>0.1</v>
      </c>
      <c r="I38" s="16">
        <f>('AHP (1) - Dados'!$J50-MIN('AHP (1) - Dados'!$J$16:$J$51))/(MAX('AHP (1) - Dados'!$J$16:$J$51)-MIN('AHP (1) - Dados'!$J$16:$J$51))</f>
        <v>0</v>
      </c>
      <c r="J38" s="49">
        <f>('AHP (1) - Dados'!$K50-MIN('AHP (1) - Dados'!$K$16:$K$51))/(MAX('AHP (1) - Dados'!$K$16:$K$51)-MIN('AHP (1) - Dados'!$K$16:$K$51))</f>
        <v>0.6029411764705882</v>
      </c>
    </row>
    <row r="39" spans="2:10" x14ac:dyDescent="0.25">
      <c r="B39" s="67"/>
      <c r="C39" s="7" t="s">
        <v>14</v>
      </c>
      <c r="D39" s="15">
        <v>6</v>
      </c>
      <c r="E39" s="17">
        <f>('AHP (1) - Dados'!$E51-MIN('AHP (1) - Dados'!$E$16:$E$51))/(MAX('AHP (1) - Dados'!$E$16:$E$51)-MIN('AHP (1) - Dados'!$E$16:$E$51))</f>
        <v>0.42385173247381153</v>
      </c>
      <c r="F39" s="17">
        <f>('AHP (1) - Dados'!$F51-MIN('AHP (1) - Dados'!$F$16:$F$51))/(MAX('AHP (1) - Dados'!$F$16:$F$51)-MIN('AHP (1) - Dados'!$F$16:$F$51))</f>
        <v>0.5214723926380368</v>
      </c>
      <c r="G39" s="17">
        <f>('AHP (1) - Dados'!$H51-MIN('AHP (1) - Dados'!$H$16:$H$51))/(MAX('AHP (1) - Dados'!$H$16:$H$51)-MIN('AHP (1) - Dados'!$H$16:$H$51))</f>
        <v>1</v>
      </c>
      <c r="H39" s="19">
        <f>('AHP (1) - Dados'!$I51-MIN('AHP (1) - Dados'!$I$16:$I$51))/(MAX('AHP (1) - Dados'!$I$16:$I$51)-MIN('AHP (1) - Dados'!$I$16:$I$51))</f>
        <v>0</v>
      </c>
      <c r="I39" s="17">
        <f>('AHP (1) - Dados'!$J51-MIN('AHP (1) - Dados'!$J$16:$J$51))/(MAX('AHP (1) - Dados'!$J$16:$J$51)-MIN('AHP (1) - Dados'!$J$16:$J$51))</f>
        <v>0</v>
      </c>
      <c r="J39" s="50">
        <f>('AHP (1) - Dados'!$K51-MIN('AHP (1) - Dados'!$K$16:$K$51))/(MAX('AHP (1) - Dados'!$K$16:$K$51)-MIN('AHP (1) - Dados'!$K$16:$K$51))</f>
        <v>1</v>
      </c>
    </row>
    <row r="42" spans="2:10" x14ac:dyDescent="0.25">
      <c r="B42" s="3" t="s">
        <v>104</v>
      </c>
    </row>
    <row r="43" spans="2:10" x14ac:dyDescent="0.25">
      <c r="B43" s="6" t="s">
        <v>1</v>
      </c>
      <c r="C43" s="6" t="s">
        <v>0</v>
      </c>
      <c r="D43" s="30" t="s">
        <v>27</v>
      </c>
      <c r="E43" s="30" t="s">
        <v>36</v>
      </c>
      <c r="F43" s="30" t="s">
        <v>103</v>
      </c>
      <c r="G43" s="30" t="s">
        <v>72</v>
      </c>
      <c r="H43" s="30" t="s">
        <v>34</v>
      </c>
      <c r="I43" s="30" t="s">
        <v>37</v>
      </c>
      <c r="J43" s="30" t="s">
        <v>38</v>
      </c>
    </row>
    <row r="44" spans="2:10" x14ac:dyDescent="0.25">
      <c r="B44" s="65" t="s">
        <v>7</v>
      </c>
      <c r="C44" s="41" t="s">
        <v>12</v>
      </c>
      <c r="D44" s="24">
        <v>1</v>
      </c>
      <c r="E44" s="48">
        <f>E4*(5-1)+1</f>
        <v>1.2665592264302981</v>
      </c>
      <c r="F44" s="48">
        <f t="shared" ref="F44:I44" si="0">F4*(5-1)+1</f>
        <v>1.3190184049079754</v>
      </c>
      <c r="G44" s="48">
        <f>G4*(1-5)+5</f>
        <v>5</v>
      </c>
      <c r="H44" s="48">
        <f t="shared" si="0"/>
        <v>5</v>
      </c>
      <c r="I44" s="48">
        <f t="shared" si="0"/>
        <v>1.3937310924369748</v>
      </c>
      <c r="J44" s="16">
        <f>J4*(1-5)+5</f>
        <v>4.9803921568627452</v>
      </c>
    </row>
    <row r="45" spans="2:10" x14ac:dyDescent="0.25">
      <c r="B45" s="66"/>
      <c r="C45" s="5" t="s">
        <v>12</v>
      </c>
      <c r="D45" s="1">
        <v>2</v>
      </c>
      <c r="E45" s="16">
        <f t="shared" ref="E45:F45" si="1">E5*(5-1)+1</f>
        <v>1.6813859790491539</v>
      </c>
      <c r="F45" s="16">
        <f t="shared" si="1"/>
        <v>2.0552147239263805</v>
      </c>
      <c r="G45" s="16">
        <f t="shared" ref="G45:G79" si="2">G5*(1-5)+5</f>
        <v>5</v>
      </c>
      <c r="H45" s="16">
        <f t="shared" ref="H45:I45" si="3">H5*(5-1)+1</f>
        <v>2.6</v>
      </c>
      <c r="I45" s="16">
        <f t="shared" si="3"/>
        <v>1.7874621848739496</v>
      </c>
      <c r="J45" s="16">
        <f t="shared" ref="J45:J79" si="4">J5*(1-5)+5</f>
        <v>4.1960784313725492</v>
      </c>
    </row>
    <row r="46" spans="2:10" x14ac:dyDescent="0.25">
      <c r="B46" s="66"/>
      <c r="C46" s="5" t="s">
        <v>12</v>
      </c>
      <c r="D46" s="1">
        <v>4</v>
      </c>
      <c r="E46" s="16">
        <f t="shared" ref="E46:F46" si="5">E6*(5-1)+1</f>
        <v>2.5110394842868655</v>
      </c>
      <c r="F46" s="16">
        <f t="shared" si="5"/>
        <v>3.5276073619631902</v>
      </c>
      <c r="G46" s="16">
        <f t="shared" si="2"/>
        <v>2.3333333333333335</v>
      </c>
      <c r="H46" s="16">
        <f t="shared" ref="H46:I46" si="6">H6*(5-1)+1</f>
        <v>1.4</v>
      </c>
      <c r="I46" s="16">
        <f t="shared" si="6"/>
        <v>2.5749243697478992</v>
      </c>
      <c r="J46" s="16">
        <f t="shared" si="4"/>
        <v>2.6274509803921569</v>
      </c>
    </row>
    <row r="47" spans="2:10" x14ac:dyDescent="0.25">
      <c r="B47" s="66"/>
      <c r="C47" s="5" t="s">
        <v>12</v>
      </c>
      <c r="D47" s="1">
        <v>6</v>
      </c>
      <c r="E47" s="16">
        <f t="shared" ref="E47:F47" si="7">E7*(5-1)+1</f>
        <v>3.3406929895245772</v>
      </c>
      <c r="F47" s="16">
        <f t="shared" si="7"/>
        <v>5</v>
      </c>
      <c r="G47" s="16">
        <f t="shared" si="2"/>
        <v>1</v>
      </c>
      <c r="H47" s="16">
        <f t="shared" ref="H47:I47" si="8">H7*(5-1)+1</f>
        <v>1</v>
      </c>
      <c r="I47" s="16">
        <f t="shared" si="8"/>
        <v>3.3623865546218488</v>
      </c>
      <c r="J47" s="16">
        <f t="shared" si="4"/>
        <v>1.0588235294117645</v>
      </c>
    </row>
    <row r="48" spans="2:10" x14ac:dyDescent="0.25">
      <c r="B48" s="66"/>
      <c r="C48" s="5" t="s">
        <v>13</v>
      </c>
      <c r="D48" s="1">
        <v>1</v>
      </c>
      <c r="E48" s="16">
        <f t="shared" ref="E48:F48" si="9">E8*(5-1)+1</f>
        <v>1</v>
      </c>
      <c r="F48" s="16">
        <f t="shared" si="9"/>
        <v>1.0679850478693982</v>
      </c>
      <c r="G48" s="16">
        <f t="shared" si="2"/>
        <v>5</v>
      </c>
      <c r="H48" s="16">
        <f t="shared" ref="H48:I48" si="10">H8*(5-1)+1</f>
        <v>5</v>
      </c>
      <c r="I48" s="16">
        <f t="shared" si="10"/>
        <v>1.4</v>
      </c>
      <c r="J48" s="16">
        <f t="shared" si="4"/>
        <v>5</v>
      </c>
    </row>
    <row r="49" spans="2:10" x14ac:dyDescent="0.25">
      <c r="B49" s="66"/>
      <c r="C49" s="5" t="s">
        <v>13</v>
      </c>
      <c r="D49" s="1">
        <v>2</v>
      </c>
      <c r="E49" s="16">
        <f t="shared" ref="E49:F49" si="11">E9*(5-1)+1</f>
        <v>1.1482675261885578</v>
      </c>
      <c r="F49" s="16">
        <f t="shared" si="11"/>
        <v>1.5531480098492256</v>
      </c>
      <c r="G49" s="16">
        <f t="shared" si="2"/>
        <v>5</v>
      </c>
      <c r="H49" s="16">
        <f t="shared" ref="H49:I49" si="12">H9*(5-1)+1</f>
        <v>2.6</v>
      </c>
      <c r="I49" s="16">
        <f t="shared" si="12"/>
        <v>1.7999999999999998</v>
      </c>
      <c r="J49" s="16">
        <f t="shared" si="4"/>
        <v>4.2352941176470589</v>
      </c>
    </row>
    <row r="50" spans="2:10" x14ac:dyDescent="0.25">
      <c r="B50" s="66"/>
      <c r="C50" s="5" t="s">
        <v>13</v>
      </c>
      <c r="D50" s="1">
        <v>4</v>
      </c>
      <c r="E50" s="16">
        <f t="shared" ref="E50:F50" si="13">E10*(5-1)+1</f>
        <v>1.4448025785656728</v>
      </c>
      <c r="F50" s="16">
        <f t="shared" si="13"/>
        <v>2.523473933808881</v>
      </c>
      <c r="G50" s="16">
        <f t="shared" si="2"/>
        <v>1.6666666666666665</v>
      </c>
      <c r="H50" s="16">
        <f t="shared" ref="H50:I50" si="14">H10*(5-1)+1</f>
        <v>1.4</v>
      </c>
      <c r="I50" s="16">
        <f t="shared" si="14"/>
        <v>2.5999999999999996</v>
      </c>
      <c r="J50" s="16">
        <f t="shared" si="4"/>
        <v>2.7058823529411766</v>
      </c>
    </row>
    <row r="51" spans="2:10" x14ac:dyDescent="0.25">
      <c r="B51" s="66"/>
      <c r="C51" s="5" t="s">
        <v>13</v>
      </c>
      <c r="D51" s="1">
        <v>6</v>
      </c>
      <c r="E51" s="16">
        <f t="shared" ref="E51:F51" si="15">E11*(5-1)+1</f>
        <v>1.7413376309427884</v>
      </c>
      <c r="F51" s="16">
        <f t="shared" si="15"/>
        <v>3.4937998577685354</v>
      </c>
      <c r="G51" s="16">
        <f t="shared" si="2"/>
        <v>1</v>
      </c>
      <c r="H51" s="16">
        <f t="shared" ref="H51:I51" si="16">H11*(5-1)+1</f>
        <v>1</v>
      </c>
      <c r="I51" s="16">
        <f t="shared" si="16"/>
        <v>3.4</v>
      </c>
      <c r="J51" s="16">
        <f t="shared" si="4"/>
        <v>1.1764705882352939</v>
      </c>
    </row>
    <row r="52" spans="2:10" x14ac:dyDescent="0.25">
      <c r="B52" s="66"/>
      <c r="C52" s="5" t="s">
        <v>14</v>
      </c>
      <c r="D52" s="1">
        <v>1</v>
      </c>
      <c r="E52" s="16">
        <f t="shared" ref="E52:F52" si="17">E12*(5-1)+1</f>
        <v>1.0360999194198228</v>
      </c>
      <c r="F52" s="16">
        <f t="shared" si="17"/>
        <v>1</v>
      </c>
      <c r="G52" s="16">
        <f t="shared" si="2"/>
        <v>5</v>
      </c>
      <c r="H52" s="16">
        <f t="shared" ref="H52:I52" si="18">H12*(5-1)+1</f>
        <v>5</v>
      </c>
      <c r="I52" s="16">
        <f t="shared" si="18"/>
        <v>1</v>
      </c>
      <c r="J52" s="16">
        <f t="shared" si="4"/>
        <v>4.9705882352941178</v>
      </c>
    </row>
    <row r="53" spans="2:10" x14ac:dyDescent="0.25">
      <c r="B53" s="66"/>
      <c r="C53" s="5" t="s">
        <v>14</v>
      </c>
      <c r="D53" s="1">
        <v>2</v>
      </c>
      <c r="E53" s="16">
        <f t="shared" ref="E53:F53" si="19">E13*(5-1)+1</f>
        <v>1.220467365028203</v>
      </c>
      <c r="F53" s="16">
        <f t="shared" si="19"/>
        <v>1.4171779141104295</v>
      </c>
      <c r="G53" s="16">
        <f t="shared" si="2"/>
        <v>5</v>
      </c>
      <c r="H53" s="16">
        <f t="shared" ref="H53:I53" si="20">H13*(5-1)+1</f>
        <v>2.6</v>
      </c>
      <c r="I53" s="16">
        <f t="shared" si="20"/>
        <v>1</v>
      </c>
      <c r="J53" s="16">
        <f t="shared" si="4"/>
        <v>4.1764705882352944</v>
      </c>
    </row>
    <row r="54" spans="2:10" x14ac:dyDescent="0.25">
      <c r="B54" s="66"/>
      <c r="C54" s="5" t="s">
        <v>14</v>
      </c>
      <c r="D54" s="1">
        <v>4</v>
      </c>
      <c r="E54" s="16">
        <f>E14*(5-1)+1</f>
        <v>1.5892022562449637</v>
      </c>
      <c r="F54" s="16">
        <f t="shared" ref="F54" si="21">F14*(5-1)+1</f>
        <v>2.2515337423312882</v>
      </c>
      <c r="G54" s="16">
        <f t="shared" si="2"/>
        <v>2.3333333333333335</v>
      </c>
      <c r="H54" s="16">
        <f t="shared" ref="H54:I54" si="22">H14*(5-1)+1</f>
        <v>1.4</v>
      </c>
      <c r="I54" s="16">
        <f t="shared" si="22"/>
        <v>1</v>
      </c>
      <c r="J54" s="16">
        <f t="shared" si="4"/>
        <v>2.5882352941176472</v>
      </c>
    </row>
    <row r="55" spans="2:10" x14ac:dyDescent="0.25">
      <c r="B55" s="67"/>
      <c r="C55" s="7" t="s">
        <v>14</v>
      </c>
      <c r="D55" s="15">
        <v>6</v>
      </c>
      <c r="E55" s="17">
        <f t="shared" ref="E55:F55" si="23">E15*(5-1)+1</f>
        <v>1.9579371474617246</v>
      </c>
      <c r="F55" s="17">
        <f t="shared" si="23"/>
        <v>3.0858895705521472</v>
      </c>
      <c r="G55" s="17">
        <f t="shared" si="2"/>
        <v>1</v>
      </c>
      <c r="H55" s="17">
        <f t="shared" ref="H55:I55" si="24">H15*(5-1)+1</f>
        <v>1</v>
      </c>
      <c r="I55" s="17">
        <f t="shared" si="24"/>
        <v>1</v>
      </c>
      <c r="J55" s="17">
        <f t="shared" si="4"/>
        <v>1</v>
      </c>
    </row>
    <row r="56" spans="2:10" x14ac:dyDescent="0.25">
      <c r="B56" s="65" t="s">
        <v>8</v>
      </c>
      <c r="C56" s="41" t="s">
        <v>12</v>
      </c>
      <c r="D56" s="24">
        <v>1</v>
      </c>
      <c r="E56" s="48">
        <f>E16*(5-1)+1</f>
        <v>1.4048348106365833</v>
      </c>
      <c r="F56" s="48">
        <f t="shared" ref="F56" si="25">F16*(5-1)+1</f>
        <v>1.3190184049079754</v>
      </c>
      <c r="G56" s="48">
        <f>G16*(1-5)+5</f>
        <v>5</v>
      </c>
      <c r="H56" s="48">
        <f t="shared" ref="H56:I56" si="26">H16*(5-1)+1</f>
        <v>5</v>
      </c>
      <c r="I56" s="48">
        <f t="shared" si="26"/>
        <v>1.5249747899159665</v>
      </c>
      <c r="J56" s="48">
        <f>J16*(1-5)+5</f>
        <v>4.9803921568627452</v>
      </c>
    </row>
    <row r="57" spans="2:10" x14ac:dyDescent="0.25">
      <c r="B57" s="66"/>
      <c r="C57" s="5" t="s">
        <v>12</v>
      </c>
      <c r="D57" s="1">
        <v>2</v>
      </c>
      <c r="E57" s="16">
        <f t="shared" ref="E57:F57" si="27">E17*(5-1)+1</f>
        <v>1.9579371474617244</v>
      </c>
      <c r="F57" s="16">
        <f t="shared" si="27"/>
        <v>2.0552147239263805</v>
      </c>
      <c r="G57" s="16">
        <f t="shared" si="2"/>
        <v>3.666666666666667</v>
      </c>
      <c r="H57" s="16">
        <f t="shared" ref="H57:I57" si="28">H17*(5-1)+1</f>
        <v>2.6</v>
      </c>
      <c r="I57" s="16">
        <f t="shared" si="28"/>
        <v>2.0499495798319329</v>
      </c>
      <c r="J57" s="16">
        <f t="shared" si="4"/>
        <v>4.1960784313725492</v>
      </c>
    </row>
    <row r="58" spans="2:10" x14ac:dyDescent="0.25">
      <c r="B58" s="66"/>
      <c r="C58" s="5" t="s">
        <v>12</v>
      </c>
      <c r="D58" s="1">
        <v>4</v>
      </c>
      <c r="E58" s="16">
        <f t="shared" ref="E58:F58" si="29">E18*(5-1)+1</f>
        <v>3.0641418211120066</v>
      </c>
      <c r="F58" s="16">
        <f t="shared" si="29"/>
        <v>3.5276073619631902</v>
      </c>
      <c r="G58" s="16">
        <f t="shared" si="2"/>
        <v>1.6666666666666665</v>
      </c>
      <c r="H58" s="16">
        <f t="shared" ref="H58:I58" si="30">H18*(5-1)+1</f>
        <v>1.4</v>
      </c>
      <c r="I58" s="16">
        <f t="shared" si="30"/>
        <v>3.0998991596638659</v>
      </c>
      <c r="J58" s="16">
        <f t="shared" si="4"/>
        <v>2.6274509803921569</v>
      </c>
    </row>
    <row r="59" spans="2:10" x14ac:dyDescent="0.25">
      <c r="B59" s="66"/>
      <c r="C59" s="5" t="s">
        <v>12</v>
      </c>
      <c r="D59" s="1">
        <v>6</v>
      </c>
      <c r="E59" s="16">
        <f t="shared" ref="E59:F59" si="31">E19*(5-1)+1</f>
        <v>4.1703464947622884</v>
      </c>
      <c r="F59" s="16">
        <f t="shared" si="31"/>
        <v>5</v>
      </c>
      <c r="G59" s="16">
        <f t="shared" si="2"/>
        <v>1</v>
      </c>
      <c r="H59" s="16">
        <f t="shared" ref="H59:I59" si="32">H19*(5-1)+1</f>
        <v>1</v>
      </c>
      <c r="I59" s="16">
        <f t="shared" si="32"/>
        <v>4.1498487394957984</v>
      </c>
      <c r="J59" s="16">
        <f t="shared" si="4"/>
        <v>1.0588235294117645</v>
      </c>
    </row>
    <row r="60" spans="2:10" x14ac:dyDescent="0.25">
      <c r="B60" s="66"/>
      <c r="C60" s="5" t="s">
        <v>13</v>
      </c>
      <c r="D60" s="1">
        <v>1</v>
      </c>
      <c r="E60" s="16">
        <f t="shared" ref="E60:F60" si="33">E20*(5-1)+1</f>
        <v>1.0494225087295193</v>
      </c>
      <c r="F60" s="16">
        <f t="shared" si="33"/>
        <v>1.0679850478693982</v>
      </c>
      <c r="G60" s="16">
        <f t="shared" si="2"/>
        <v>5</v>
      </c>
      <c r="H60" s="16">
        <f t="shared" ref="H60:I60" si="34">H20*(5-1)+1</f>
        <v>5</v>
      </c>
      <c r="I60" s="16">
        <f t="shared" si="34"/>
        <v>1.5333333333333332</v>
      </c>
      <c r="J60" s="16">
        <f t="shared" si="4"/>
        <v>5</v>
      </c>
    </row>
    <row r="61" spans="2:10" x14ac:dyDescent="0.25">
      <c r="B61" s="66"/>
      <c r="C61" s="5" t="s">
        <v>13</v>
      </c>
      <c r="D61" s="1">
        <v>2</v>
      </c>
      <c r="E61" s="16">
        <f t="shared" ref="E61:F61" si="35">E21*(5-1)+1</f>
        <v>1.2471125436475961</v>
      </c>
      <c r="F61" s="16">
        <f t="shared" si="35"/>
        <v>1.5531480098492256</v>
      </c>
      <c r="G61" s="16">
        <f t="shared" si="2"/>
        <v>3.666666666666667</v>
      </c>
      <c r="H61" s="16">
        <f t="shared" ref="H61:I61" si="36">H21*(5-1)+1</f>
        <v>2.6</v>
      </c>
      <c r="I61" s="16">
        <f t="shared" si="36"/>
        <v>2.0666666666666664</v>
      </c>
      <c r="J61" s="16">
        <f t="shared" si="4"/>
        <v>4.2352941176470589</v>
      </c>
    </row>
    <row r="62" spans="2:10" x14ac:dyDescent="0.25">
      <c r="B62" s="66"/>
      <c r="C62" s="5" t="s">
        <v>13</v>
      </c>
      <c r="D62" s="1">
        <v>4</v>
      </c>
      <c r="E62" s="16">
        <f t="shared" ref="E62:F62" si="37">E22*(5-1)+1</f>
        <v>1.6424926134837499</v>
      </c>
      <c r="F62" s="16">
        <f t="shared" si="37"/>
        <v>2.523473933808881</v>
      </c>
      <c r="G62" s="16">
        <f t="shared" si="2"/>
        <v>1</v>
      </c>
      <c r="H62" s="16">
        <f t="shared" ref="H62:I62" si="38">H22*(5-1)+1</f>
        <v>1.4</v>
      </c>
      <c r="I62" s="16">
        <f t="shared" si="38"/>
        <v>3.1333333333333329</v>
      </c>
      <c r="J62" s="16">
        <f t="shared" si="4"/>
        <v>2.7058823529411766</v>
      </c>
    </row>
    <row r="63" spans="2:10" x14ac:dyDescent="0.25">
      <c r="B63" s="66"/>
      <c r="C63" s="5" t="s">
        <v>13</v>
      </c>
      <c r="D63" s="1">
        <v>6</v>
      </c>
      <c r="E63" s="16">
        <f t="shared" ref="E63:F63" si="39">E23*(5-1)+1</f>
        <v>2.0378726833199035</v>
      </c>
      <c r="F63" s="16">
        <f t="shared" si="39"/>
        <v>3.4937998577685354</v>
      </c>
      <c r="G63" s="16">
        <f t="shared" si="2"/>
        <v>1</v>
      </c>
      <c r="H63" s="16">
        <f t="shared" ref="H63:I63" si="40">H23*(5-1)+1</f>
        <v>1</v>
      </c>
      <c r="I63" s="16">
        <f t="shared" si="40"/>
        <v>4.1999999999999993</v>
      </c>
      <c r="J63" s="16">
        <f t="shared" si="4"/>
        <v>1.1764705882352939</v>
      </c>
    </row>
    <row r="64" spans="2:10" x14ac:dyDescent="0.25">
      <c r="B64" s="66"/>
      <c r="C64" s="5" t="s">
        <v>14</v>
      </c>
      <c r="D64" s="1">
        <v>1</v>
      </c>
      <c r="E64" s="16">
        <f t="shared" ref="E64:F64" si="41">E24*(5-1)+1</f>
        <v>1.0975557346226161</v>
      </c>
      <c r="F64" s="16">
        <f t="shared" si="41"/>
        <v>1</v>
      </c>
      <c r="G64" s="16">
        <f t="shared" si="2"/>
        <v>5</v>
      </c>
      <c r="H64" s="16">
        <f t="shared" ref="H64:I64" si="42">H24*(5-1)+1</f>
        <v>5</v>
      </c>
      <c r="I64" s="16">
        <f t="shared" si="42"/>
        <v>1</v>
      </c>
      <c r="J64" s="16">
        <f t="shared" si="4"/>
        <v>4.9705882352941178</v>
      </c>
    </row>
    <row r="65" spans="2:10" x14ac:dyDescent="0.25">
      <c r="B65" s="66"/>
      <c r="C65" s="5" t="s">
        <v>14</v>
      </c>
      <c r="D65" s="1">
        <v>2</v>
      </c>
      <c r="E65" s="16">
        <f t="shared" ref="E65:F65" si="43">E25*(5-1)+1</f>
        <v>1.34337899543379</v>
      </c>
      <c r="F65" s="16">
        <f t="shared" si="43"/>
        <v>1.4171779141104295</v>
      </c>
      <c r="G65" s="16">
        <f t="shared" si="2"/>
        <v>3.666666666666667</v>
      </c>
      <c r="H65" s="16">
        <f t="shared" ref="H65:I65" si="44">H25*(5-1)+1</f>
        <v>2.6</v>
      </c>
      <c r="I65" s="16">
        <f t="shared" si="44"/>
        <v>1</v>
      </c>
      <c r="J65" s="16">
        <f t="shared" si="4"/>
        <v>4.1764705882352944</v>
      </c>
    </row>
    <row r="66" spans="2:10" x14ac:dyDescent="0.25">
      <c r="B66" s="66"/>
      <c r="C66" s="5" t="s">
        <v>14</v>
      </c>
      <c r="D66" s="1">
        <v>4</v>
      </c>
      <c r="E66" s="16">
        <f t="shared" ref="E66:F66" si="45">E26*(5-1)+1</f>
        <v>1.8350255170561376</v>
      </c>
      <c r="F66" s="16">
        <f t="shared" si="45"/>
        <v>2.2515337423312882</v>
      </c>
      <c r="G66" s="16">
        <f t="shared" si="2"/>
        <v>1</v>
      </c>
      <c r="H66" s="16">
        <f t="shared" ref="H66:I66" si="46">H26*(5-1)+1</f>
        <v>1.4</v>
      </c>
      <c r="I66" s="16">
        <f t="shared" si="46"/>
        <v>1</v>
      </c>
      <c r="J66" s="16">
        <f t="shared" si="4"/>
        <v>2.5882352941176472</v>
      </c>
    </row>
    <row r="67" spans="2:10" x14ac:dyDescent="0.25">
      <c r="B67" s="67"/>
      <c r="C67" s="7" t="s">
        <v>14</v>
      </c>
      <c r="D67" s="15">
        <v>6</v>
      </c>
      <c r="E67" s="17">
        <f t="shared" ref="E67:F67" si="47">E27*(5-1)+1</f>
        <v>2.3266720386784856</v>
      </c>
      <c r="F67" s="17">
        <f t="shared" si="47"/>
        <v>3.0858895705521472</v>
      </c>
      <c r="G67" s="17">
        <f t="shared" si="2"/>
        <v>1</v>
      </c>
      <c r="H67" s="17">
        <f t="shared" ref="H67:I67" si="48">H27*(5-1)+1</f>
        <v>1</v>
      </c>
      <c r="I67" s="17">
        <f t="shared" si="48"/>
        <v>1</v>
      </c>
      <c r="J67" s="17">
        <f t="shared" si="4"/>
        <v>1</v>
      </c>
    </row>
    <row r="68" spans="2:10" x14ac:dyDescent="0.25">
      <c r="B68" s="65" t="s">
        <v>9</v>
      </c>
      <c r="C68" s="41" t="s">
        <v>12</v>
      </c>
      <c r="D68" s="24">
        <v>1</v>
      </c>
      <c r="E68" s="48">
        <f>E28*(5-1)+1</f>
        <v>1.5431103948428686</v>
      </c>
      <c r="F68" s="48">
        <f t="shared" ref="F68" si="49">F28*(5-1)+1</f>
        <v>1.3190184049079754</v>
      </c>
      <c r="G68" s="48">
        <f>G28*(1-5)+5</f>
        <v>5</v>
      </c>
      <c r="H68" s="48">
        <f t="shared" ref="H68:I68" si="50">H28*(5-1)+1</f>
        <v>5</v>
      </c>
      <c r="I68" s="48">
        <f t="shared" si="50"/>
        <v>1.6562184873949581</v>
      </c>
      <c r="J68" s="48">
        <f>J28*(1-5)+5</f>
        <v>4.9803921568627452</v>
      </c>
    </row>
    <row r="69" spans="2:10" x14ac:dyDescent="0.25">
      <c r="B69" s="66"/>
      <c r="C69" s="5" t="s">
        <v>12</v>
      </c>
      <c r="D69" s="1">
        <v>2</v>
      </c>
      <c r="E69" s="16">
        <f t="shared" ref="E69:F69" si="51">E29*(5-1)+1</f>
        <v>2.234488315874295</v>
      </c>
      <c r="F69" s="16">
        <f t="shared" si="51"/>
        <v>2.0552147239263805</v>
      </c>
      <c r="G69" s="16">
        <f t="shared" si="2"/>
        <v>5</v>
      </c>
      <c r="H69" s="16">
        <f t="shared" ref="H69:I69" si="52">H29*(5-1)+1</f>
        <v>2.6</v>
      </c>
      <c r="I69" s="16">
        <f t="shared" si="52"/>
        <v>2.3124369747899163</v>
      </c>
      <c r="J69" s="16">
        <f t="shared" si="4"/>
        <v>4.1960784313725492</v>
      </c>
    </row>
    <row r="70" spans="2:10" x14ac:dyDescent="0.25">
      <c r="B70" s="66"/>
      <c r="C70" s="5" t="s">
        <v>12</v>
      </c>
      <c r="D70" s="1">
        <v>4</v>
      </c>
      <c r="E70" s="16">
        <f t="shared" ref="E70:F70" si="53">E30*(5-1)+1</f>
        <v>3.6172441579371473</v>
      </c>
      <c r="F70" s="16">
        <f t="shared" si="53"/>
        <v>3.5276073619631902</v>
      </c>
      <c r="G70" s="16">
        <f t="shared" si="2"/>
        <v>1.6666666666666665</v>
      </c>
      <c r="H70" s="16">
        <f t="shared" ref="H70:I70" si="54">H30*(5-1)+1</f>
        <v>1.4</v>
      </c>
      <c r="I70" s="16">
        <f t="shared" si="54"/>
        <v>3.6248739495798321</v>
      </c>
      <c r="J70" s="16">
        <f t="shared" si="4"/>
        <v>2.6274509803921569</v>
      </c>
    </row>
    <row r="71" spans="2:10" x14ac:dyDescent="0.25">
      <c r="B71" s="66"/>
      <c r="C71" s="5" t="s">
        <v>12</v>
      </c>
      <c r="D71" s="1">
        <v>6</v>
      </c>
      <c r="E71" s="16">
        <f t="shared" ref="E71:F71" si="55">E31*(5-1)+1</f>
        <v>5</v>
      </c>
      <c r="F71" s="16">
        <f t="shared" si="55"/>
        <v>5</v>
      </c>
      <c r="G71" s="16">
        <f t="shared" si="2"/>
        <v>1</v>
      </c>
      <c r="H71" s="16">
        <f t="shared" ref="H71:I71" si="56">H31*(5-1)+1</f>
        <v>1</v>
      </c>
      <c r="I71" s="16">
        <f t="shared" si="56"/>
        <v>4.9373109243697488</v>
      </c>
      <c r="J71" s="16">
        <f t="shared" si="4"/>
        <v>1.0588235294117645</v>
      </c>
    </row>
    <row r="72" spans="2:10" x14ac:dyDescent="0.25">
      <c r="B72" s="66"/>
      <c r="C72" s="5" t="s">
        <v>13</v>
      </c>
      <c r="D72" s="1">
        <v>1</v>
      </c>
      <c r="E72" s="16">
        <f t="shared" ref="E72:F72" si="57">E32*(5-1)+1</f>
        <v>1.0988450174590385</v>
      </c>
      <c r="F72" s="16">
        <f t="shared" si="57"/>
        <v>1.0679850478693982</v>
      </c>
      <c r="G72" s="16">
        <f t="shared" si="2"/>
        <v>5</v>
      </c>
      <c r="H72" s="16">
        <f t="shared" ref="H72:I72" si="58">H32*(5-1)+1</f>
        <v>5</v>
      </c>
      <c r="I72" s="16">
        <f t="shared" si="58"/>
        <v>1.6666666666666665</v>
      </c>
      <c r="J72" s="16">
        <f t="shared" si="4"/>
        <v>5</v>
      </c>
    </row>
    <row r="73" spans="2:10" x14ac:dyDescent="0.25">
      <c r="B73" s="66"/>
      <c r="C73" s="5" t="s">
        <v>13</v>
      </c>
      <c r="D73" s="1">
        <v>2</v>
      </c>
      <c r="E73" s="16">
        <f t="shared" ref="E73:F73" si="59">E33*(5-1)+1</f>
        <v>1.3459575611066346</v>
      </c>
      <c r="F73" s="16">
        <f t="shared" si="59"/>
        <v>1.5531480098492256</v>
      </c>
      <c r="G73" s="16">
        <f t="shared" si="2"/>
        <v>5</v>
      </c>
      <c r="H73" s="16">
        <f t="shared" ref="H73:I73" si="60">H33*(5-1)+1</f>
        <v>2.6</v>
      </c>
      <c r="I73" s="16">
        <f t="shared" si="60"/>
        <v>2.333333333333333</v>
      </c>
      <c r="J73" s="16">
        <f t="shared" si="4"/>
        <v>4.2352941176470589</v>
      </c>
    </row>
    <row r="74" spans="2:10" x14ac:dyDescent="0.25">
      <c r="B74" s="66"/>
      <c r="C74" s="5" t="s">
        <v>13</v>
      </c>
      <c r="D74" s="1">
        <v>4</v>
      </c>
      <c r="E74" s="16">
        <f t="shared" ref="E74:F74" si="61">E34*(5-1)+1</f>
        <v>1.8401826484018267</v>
      </c>
      <c r="F74" s="16">
        <f t="shared" si="61"/>
        <v>2.523473933808881</v>
      </c>
      <c r="G74" s="16">
        <f t="shared" si="2"/>
        <v>1.6666666666666665</v>
      </c>
      <c r="H74" s="16">
        <f t="shared" ref="H74:I74" si="62">H34*(5-1)+1</f>
        <v>1.4</v>
      </c>
      <c r="I74" s="16">
        <f t="shared" si="62"/>
        <v>3.6666666666666665</v>
      </c>
      <c r="J74" s="16">
        <f t="shared" si="4"/>
        <v>2.7058823529411766</v>
      </c>
    </row>
    <row r="75" spans="2:10" x14ac:dyDescent="0.25">
      <c r="B75" s="66"/>
      <c r="C75" s="5" t="s">
        <v>13</v>
      </c>
      <c r="D75" s="1">
        <v>6</v>
      </c>
      <c r="E75" s="16">
        <f t="shared" ref="E75:F75" si="63">E35*(5-1)+1</f>
        <v>2.3344077356970185</v>
      </c>
      <c r="F75" s="16">
        <f t="shared" si="63"/>
        <v>3.4937998577685354</v>
      </c>
      <c r="G75" s="16">
        <f t="shared" si="2"/>
        <v>1</v>
      </c>
      <c r="H75" s="16">
        <f t="shared" ref="H75:I75" si="64">H35*(5-1)+1</f>
        <v>1</v>
      </c>
      <c r="I75" s="16">
        <f t="shared" si="64"/>
        <v>5</v>
      </c>
      <c r="J75" s="16">
        <f t="shared" si="4"/>
        <v>1.1764705882352939</v>
      </c>
    </row>
    <row r="76" spans="2:10" x14ac:dyDescent="0.25">
      <c r="B76" s="66"/>
      <c r="C76" s="5" t="s">
        <v>14</v>
      </c>
      <c r="D76" s="1">
        <v>1</v>
      </c>
      <c r="E76" s="16">
        <f t="shared" ref="E76:F76" si="65">E36*(5-1)+1</f>
        <v>1.1590115498254097</v>
      </c>
      <c r="F76" s="16">
        <f t="shared" si="65"/>
        <v>1</v>
      </c>
      <c r="G76" s="16">
        <f t="shared" si="2"/>
        <v>5</v>
      </c>
      <c r="H76" s="16">
        <f t="shared" ref="H76:I76" si="66">H36*(5-1)+1</f>
        <v>5</v>
      </c>
      <c r="I76" s="16">
        <f t="shared" si="66"/>
        <v>1</v>
      </c>
      <c r="J76" s="16">
        <f t="shared" si="4"/>
        <v>4.9705882352941178</v>
      </c>
    </row>
    <row r="77" spans="2:10" x14ac:dyDescent="0.25">
      <c r="B77" s="66"/>
      <c r="C77" s="5" t="s">
        <v>14</v>
      </c>
      <c r="D77" s="1">
        <v>2</v>
      </c>
      <c r="E77" s="16">
        <f t="shared" ref="E77:F77" si="67">E37*(5-1)+1</f>
        <v>1.4662906258393771</v>
      </c>
      <c r="F77" s="16">
        <f t="shared" si="67"/>
        <v>1.4171779141104295</v>
      </c>
      <c r="G77" s="16">
        <f t="shared" si="2"/>
        <v>5</v>
      </c>
      <c r="H77" s="16">
        <f t="shared" ref="H77:I77" si="68">H37*(5-1)+1</f>
        <v>2.6</v>
      </c>
      <c r="I77" s="16">
        <f t="shared" si="68"/>
        <v>1</v>
      </c>
      <c r="J77" s="16">
        <f t="shared" si="4"/>
        <v>4.1764705882352944</v>
      </c>
    </row>
    <row r="78" spans="2:10" x14ac:dyDescent="0.25">
      <c r="B78" s="66"/>
      <c r="C78" s="5" t="s">
        <v>14</v>
      </c>
      <c r="D78" s="1">
        <v>4</v>
      </c>
      <c r="E78" s="16">
        <f t="shared" ref="E78:F78" si="69">E38*(5-1)+1</f>
        <v>2.0808487778673115</v>
      </c>
      <c r="F78" s="16">
        <f t="shared" si="69"/>
        <v>2.2515337423312882</v>
      </c>
      <c r="G78" s="16">
        <f t="shared" si="2"/>
        <v>1.6666666666666665</v>
      </c>
      <c r="H78" s="16">
        <f t="shared" ref="H78:I78" si="70">H38*(5-1)+1</f>
        <v>1.4</v>
      </c>
      <c r="I78" s="16">
        <f t="shared" si="70"/>
        <v>1</v>
      </c>
      <c r="J78" s="16">
        <f t="shared" si="4"/>
        <v>2.5882352941176472</v>
      </c>
    </row>
    <row r="79" spans="2:10" x14ac:dyDescent="0.25">
      <c r="B79" s="67"/>
      <c r="C79" s="7" t="s">
        <v>14</v>
      </c>
      <c r="D79" s="15">
        <v>6</v>
      </c>
      <c r="E79" s="17">
        <f t="shared" ref="E79:F79" si="71">E39*(5-1)+1</f>
        <v>2.6954069298952463</v>
      </c>
      <c r="F79" s="17">
        <f t="shared" si="71"/>
        <v>3.0858895705521472</v>
      </c>
      <c r="G79" s="17">
        <f t="shared" si="2"/>
        <v>1</v>
      </c>
      <c r="H79" s="17">
        <f t="shared" ref="H79:I79" si="72">H39*(5-1)+1</f>
        <v>1</v>
      </c>
      <c r="I79" s="17">
        <f t="shared" si="72"/>
        <v>1</v>
      </c>
      <c r="J79" s="17">
        <f t="shared" si="4"/>
        <v>1</v>
      </c>
    </row>
    <row r="81" spans="2:10" x14ac:dyDescent="0.25">
      <c r="E81" s="46"/>
    </row>
    <row r="82" spans="2:10" x14ac:dyDescent="0.25">
      <c r="B82" s="3" t="s">
        <v>102</v>
      </c>
      <c r="E82" s="52">
        <f>'AHP (1) - Matriz dos Pesos'!E5</f>
        <v>0.16666666666666666</v>
      </c>
      <c r="F82" s="53">
        <f>'AHP (1) - Matriz dos Pesos'!E6</f>
        <v>0.16666666666666666</v>
      </c>
      <c r="G82" s="53">
        <f>'AHP (1) - Matriz dos Pesos'!E8</f>
        <v>0.16666666666666666</v>
      </c>
      <c r="H82" s="53">
        <f>'AHP (1) - Matriz dos Pesos'!E9</f>
        <v>0.16666666666666666</v>
      </c>
      <c r="I82" s="53">
        <f>'AHP (1) - Matriz dos Pesos'!E11</f>
        <v>0.16666666666666666</v>
      </c>
      <c r="J82" s="54">
        <f>'AHP (1) - Matriz dos Pesos'!E12</f>
        <v>0.16666666666666666</v>
      </c>
    </row>
    <row r="83" spans="2:10" x14ac:dyDescent="0.25">
      <c r="B83" s="6" t="s">
        <v>1</v>
      </c>
      <c r="C83" s="6" t="s">
        <v>0</v>
      </c>
      <c r="D83" s="30" t="s">
        <v>27</v>
      </c>
      <c r="E83" s="30" t="s">
        <v>36</v>
      </c>
      <c r="F83" s="30" t="s">
        <v>103</v>
      </c>
      <c r="G83" s="30" t="s">
        <v>72</v>
      </c>
      <c r="H83" s="30" t="s">
        <v>34</v>
      </c>
      <c r="I83" s="30" t="s">
        <v>37</v>
      </c>
      <c r="J83" s="30" t="s">
        <v>38</v>
      </c>
    </row>
    <row r="84" spans="2:10" x14ac:dyDescent="0.25">
      <c r="B84" s="65" t="s">
        <v>7</v>
      </c>
      <c r="C84" s="41" t="s">
        <v>12</v>
      </c>
      <c r="D84" s="24">
        <v>1</v>
      </c>
      <c r="E84" s="48">
        <f>E44*$E$82</f>
        <v>0.21109320440504967</v>
      </c>
      <c r="F84" s="48">
        <f>F44*$F$82</f>
        <v>0.21983640081799588</v>
      </c>
      <c r="G84" s="48">
        <f>G44*$G$82</f>
        <v>0.83333333333333326</v>
      </c>
      <c r="H84" s="48">
        <f>H44*$H$82</f>
        <v>0.83333333333333326</v>
      </c>
      <c r="I84" s="48">
        <f>I44*$I$82</f>
        <v>0.23228851540616247</v>
      </c>
      <c r="J84" s="48">
        <f>J44*$I$82</f>
        <v>0.83006535947712412</v>
      </c>
    </row>
    <row r="85" spans="2:10" x14ac:dyDescent="0.25">
      <c r="B85" s="66"/>
      <c r="C85" s="5" t="s">
        <v>12</v>
      </c>
      <c r="D85" s="1">
        <v>2</v>
      </c>
      <c r="E85" s="16">
        <f t="shared" ref="E85:E119" si="73">E45*$E$82</f>
        <v>0.28023099650819228</v>
      </c>
      <c r="F85" s="16">
        <f t="shared" ref="F85:F119" si="74">F45*$F$82</f>
        <v>0.34253578732106338</v>
      </c>
      <c r="G85" s="16">
        <f t="shared" ref="G85:G119" si="75">G45*$G$82</f>
        <v>0.83333333333333326</v>
      </c>
      <c r="H85" s="16">
        <f t="shared" ref="H85:H119" si="76">H45*$H$82</f>
        <v>0.43333333333333335</v>
      </c>
      <c r="I85" s="16">
        <f t="shared" ref="I85:J119" si="77">I45*$I$82</f>
        <v>0.29791036414565825</v>
      </c>
      <c r="J85" s="16">
        <f t="shared" si="77"/>
        <v>0.69934640522875813</v>
      </c>
    </row>
    <row r="86" spans="2:10" x14ac:dyDescent="0.25">
      <c r="B86" s="66"/>
      <c r="C86" s="5" t="s">
        <v>12</v>
      </c>
      <c r="D86" s="1">
        <v>4</v>
      </c>
      <c r="E86" s="16">
        <f t="shared" si="73"/>
        <v>0.41850658071447755</v>
      </c>
      <c r="F86" s="16">
        <f t="shared" si="74"/>
        <v>0.58793456032719837</v>
      </c>
      <c r="G86" s="16">
        <f t="shared" si="75"/>
        <v>0.3888888888888889</v>
      </c>
      <c r="H86" s="16">
        <f t="shared" si="76"/>
        <v>0.23333333333333331</v>
      </c>
      <c r="I86" s="16">
        <f t="shared" si="77"/>
        <v>0.42915406162464986</v>
      </c>
      <c r="J86" s="16">
        <f t="shared" si="77"/>
        <v>0.43790849673202614</v>
      </c>
    </row>
    <row r="87" spans="2:10" x14ac:dyDescent="0.25">
      <c r="B87" s="66"/>
      <c r="C87" s="5" t="s">
        <v>12</v>
      </c>
      <c r="D87" s="1">
        <v>6</v>
      </c>
      <c r="E87" s="16">
        <f t="shared" si="73"/>
        <v>0.55678216492076282</v>
      </c>
      <c r="F87" s="16">
        <f t="shared" si="74"/>
        <v>0.83333333333333326</v>
      </c>
      <c r="G87" s="16">
        <f t="shared" si="75"/>
        <v>0.16666666666666666</v>
      </c>
      <c r="H87" s="16">
        <f t="shared" si="76"/>
        <v>0.16666666666666666</v>
      </c>
      <c r="I87" s="16">
        <f t="shared" si="77"/>
        <v>0.56039775910364142</v>
      </c>
      <c r="J87" s="16">
        <f t="shared" si="77"/>
        <v>0.17647058823529407</v>
      </c>
    </row>
    <row r="88" spans="2:10" x14ac:dyDescent="0.25">
      <c r="B88" s="66"/>
      <c r="C88" s="5" t="s">
        <v>13</v>
      </c>
      <c r="D88" s="1">
        <v>1</v>
      </c>
      <c r="E88" s="16">
        <f t="shared" si="73"/>
        <v>0.16666666666666666</v>
      </c>
      <c r="F88" s="16">
        <f t="shared" si="74"/>
        <v>0.17799750797823302</v>
      </c>
      <c r="G88" s="16">
        <f t="shared" si="75"/>
        <v>0.83333333333333326</v>
      </c>
      <c r="H88" s="16">
        <f t="shared" si="76"/>
        <v>0.83333333333333326</v>
      </c>
      <c r="I88" s="16">
        <f t="shared" si="77"/>
        <v>0.23333333333333331</v>
      </c>
      <c r="J88" s="16">
        <f t="shared" si="77"/>
        <v>0.83333333333333326</v>
      </c>
    </row>
    <row r="89" spans="2:10" x14ac:dyDescent="0.25">
      <c r="B89" s="66"/>
      <c r="C89" s="5" t="s">
        <v>13</v>
      </c>
      <c r="D89" s="1">
        <v>2</v>
      </c>
      <c r="E89" s="16">
        <f t="shared" si="73"/>
        <v>0.19137792103142628</v>
      </c>
      <c r="F89" s="16">
        <f t="shared" si="74"/>
        <v>0.25885800164153761</v>
      </c>
      <c r="G89" s="16">
        <f t="shared" si="75"/>
        <v>0.83333333333333326</v>
      </c>
      <c r="H89" s="16">
        <f t="shared" si="76"/>
        <v>0.43333333333333335</v>
      </c>
      <c r="I89" s="16">
        <f t="shared" si="77"/>
        <v>0.29999999999999993</v>
      </c>
      <c r="J89" s="16">
        <f t="shared" si="77"/>
        <v>0.70588235294117641</v>
      </c>
    </row>
    <row r="90" spans="2:10" x14ac:dyDescent="0.25">
      <c r="B90" s="66"/>
      <c r="C90" s="5" t="s">
        <v>13</v>
      </c>
      <c r="D90" s="1">
        <v>4</v>
      </c>
      <c r="E90" s="16">
        <f t="shared" si="73"/>
        <v>0.24080042976094546</v>
      </c>
      <c r="F90" s="16">
        <f t="shared" si="74"/>
        <v>0.42057898896814683</v>
      </c>
      <c r="G90" s="16">
        <f t="shared" si="75"/>
        <v>0.27777777777777773</v>
      </c>
      <c r="H90" s="16">
        <f t="shared" si="76"/>
        <v>0.23333333333333331</v>
      </c>
      <c r="I90" s="16">
        <f t="shared" si="77"/>
        <v>0.43333333333333324</v>
      </c>
      <c r="J90" s="16">
        <f t="shared" si="77"/>
        <v>0.45098039215686275</v>
      </c>
    </row>
    <row r="91" spans="2:10" x14ac:dyDescent="0.25">
      <c r="B91" s="66"/>
      <c r="C91" s="5" t="s">
        <v>13</v>
      </c>
      <c r="D91" s="1">
        <v>6</v>
      </c>
      <c r="E91" s="16">
        <f t="shared" si="73"/>
        <v>0.29022293849046471</v>
      </c>
      <c r="F91" s="16">
        <f t="shared" si="74"/>
        <v>0.58229997629475583</v>
      </c>
      <c r="G91" s="16">
        <f t="shared" si="75"/>
        <v>0.16666666666666666</v>
      </c>
      <c r="H91" s="16">
        <f t="shared" si="76"/>
        <v>0.16666666666666666</v>
      </c>
      <c r="I91" s="16">
        <f t="shared" si="77"/>
        <v>0.56666666666666665</v>
      </c>
      <c r="J91" s="16">
        <f t="shared" si="77"/>
        <v>0.19607843137254899</v>
      </c>
    </row>
    <row r="92" spans="2:10" x14ac:dyDescent="0.25">
      <c r="B92" s="66"/>
      <c r="C92" s="5" t="s">
        <v>14</v>
      </c>
      <c r="D92" s="1">
        <v>1</v>
      </c>
      <c r="E92" s="16">
        <f t="shared" si="73"/>
        <v>0.17268331990330379</v>
      </c>
      <c r="F92" s="16">
        <f t="shared" si="74"/>
        <v>0.16666666666666666</v>
      </c>
      <c r="G92" s="16">
        <f t="shared" si="75"/>
        <v>0.83333333333333326</v>
      </c>
      <c r="H92" s="16">
        <f t="shared" si="76"/>
        <v>0.83333333333333326</v>
      </c>
      <c r="I92" s="16">
        <f t="shared" si="77"/>
        <v>0.16666666666666666</v>
      </c>
      <c r="J92" s="16">
        <f t="shared" si="77"/>
        <v>0.82843137254901955</v>
      </c>
    </row>
    <row r="93" spans="2:10" x14ac:dyDescent="0.25">
      <c r="B93" s="66"/>
      <c r="C93" s="5" t="s">
        <v>14</v>
      </c>
      <c r="D93" s="1">
        <v>2</v>
      </c>
      <c r="E93" s="16">
        <f t="shared" si="73"/>
        <v>0.20341122750470048</v>
      </c>
      <c r="F93" s="16">
        <f t="shared" si="74"/>
        <v>0.2361963190184049</v>
      </c>
      <c r="G93" s="16">
        <f t="shared" si="75"/>
        <v>0.83333333333333326</v>
      </c>
      <c r="H93" s="16">
        <f t="shared" si="76"/>
        <v>0.43333333333333335</v>
      </c>
      <c r="I93" s="16">
        <f t="shared" si="77"/>
        <v>0.16666666666666666</v>
      </c>
      <c r="J93" s="16">
        <f t="shared" si="77"/>
        <v>0.69607843137254899</v>
      </c>
    </row>
    <row r="94" spans="2:10" x14ac:dyDescent="0.25">
      <c r="B94" s="66"/>
      <c r="C94" s="5" t="s">
        <v>14</v>
      </c>
      <c r="D94" s="1">
        <v>4</v>
      </c>
      <c r="E94" s="16">
        <f t="shared" si="73"/>
        <v>0.26486704270749395</v>
      </c>
      <c r="F94" s="16">
        <f t="shared" si="74"/>
        <v>0.37525562372188137</v>
      </c>
      <c r="G94" s="16">
        <f t="shared" si="75"/>
        <v>0.3888888888888889</v>
      </c>
      <c r="H94" s="16">
        <f t="shared" si="76"/>
        <v>0.23333333333333331</v>
      </c>
      <c r="I94" s="16">
        <f t="shared" si="77"/>
        <v>0.16666666666666666</v>
      </c>
      <c r="J94" s="16">
        <f t="shared" si="77"/>
        <v>0.43137254901960786</v>
      </c>
    </row>
    <row r="95" spans="2:10" x14ac:dyDescent="0.25">
      <c r="B95" s="67"/>
      <c r="C95" s="7" t="s">
        <v>14</v>
      </c>
      <c r="D95" s="15">
        <v>6</v>
      </c>
      <c r="E95" s="17">
        <f t="shared" si="73"/>
        <v>0.32632285791028742</v>
      </c>
      <c r="F95" s="17">
        <f t="shared" si="74"/>
        <v>0.51431492842535786</v>
      </c>
      <c r="G95" s="17">
        <f t="shared" si="75"/>
        <v>0.16666666666666666</v>
      </c>
      <c r="H95" s="17">
        <f t="shared" si="76"/>
        <v>0.16666666666666666</v>
      </c>
      <c r="I95" s="17">
        <f t="shared" si="77"/>
        <v>0.16666666666666666</v>
      </c>
      <c r="J95" s="17">
        <f t="shared" si="77"/>
        <v>0.16666666666666666</v>
      </c>
    </row>
    <row r="96" spans="2:10" x14ac:dyDescent="0.25">
      <c r="B96" s="65" t="s">
        <v>8</v>
      </c>
      <c r="C96" s="41" t="s">
        <v>12</v>
      </c>
      <c r="D96" s="24">
        <v>1</v>
      </c>
      <c r="E96" s="48">
        <f t="shared" si="73"/>
        <v>0.23413913510609721</v>
      </c>
      <c r="F96" s="48">
        <f t="shared" si="74"/>
        <v>0.21983640081799588</v>
      </c>
      <c r="G96" s="48">
        <f t="shared" si="75"/>
        <v>0.83333333333333326</v>
      </c>
      <c r="H96" s="48">
        <f t="shared" si="76"/>
        <v>0.83333333333333326</v>
      </c>
      <c r="I96" s="48">
        <f t="shared" si="77"/>
        <v>0.25416246498599437</v>
      </c>
      <c r="J96" s="48">
        <f t="shared" si="77"/>
        <v>0.83006535947712412</v>
      </c>
    </row>
    <row r="97" spans="2:10" x14ac:dyDescent="0.25">
      <c r="B97" s="66"/>
      <c r="C97" s="5" t="s">
        <v>12</v>
      </c>
      <c r="D97" s="1">
        <v>2</v>
      </c>
      <c r="E97" s="16">
        <f t="shared" si="73"/>
        <v>0.32632285791028737</v>
      </c>
      <c r="F97" s="16">
        <f t="shared" si="74"/>
        <v>0.34253578732106338</v>
      </c>
      <c r="G97" s="16">
        <f t="shared" si="75"/>
        <v>0.61111111111111116</v>
      </c>
      <c r="H97" s="16">
        <f t="shared" si="76"/>
        <v>0.43333333333333335</v>
      </c>
      <c r="I97" s="16">
        <f t="shared" si="77"/>
        <v>0.34165826330532212</v>
      </c>
      <c r="J97" s="16">
        <f t="shared" si="77"/>
        <v>0.69934640522875813</v>
      </c>
    </row>
    <row r="98" spans="2:10" x14ac:dyDescent="0.25">
      <c r="B98" s="66"/>
      <c r="C98" s="5" t="s">
        <v>12</v>
      </c>
      <c r="D98" s="1">
        <v>4</v>
      </c>
      <c r="E98" s="16">
        <f t="shared" si="73"/>
        <v>0.51069030351866773</v>
      </c>
      <c r="F98" s="16">
        <f t="shared" si="74"/>
        <v>0.58793456032719837</v>
      </c>
      <c r="G98" s="16">
        <f t="shared" si="75"/>
        <v>0.27777777777777773</v>
      </c>
      <c r="H98" s="16">
        <f t="shared" si="76"/>
        <v>0.23333333333333331</v>
      </c>
      <c r="I98" s="16">
        <f t="shared" si="77"/>
        <v>0.51664985994397761</v>
      </c>
      <c r="J98" s="16">
        <f t="shared" si="77"/>
        <v>0.43790849673202614</v>
      </c>
    </row>
    <row r="99" spans="2:10" x14ac:dyDescent="0.25">
      <c r="B99" s="66"/>
      <c r="C99" s="5" t="s">
        <v>12</v>
      </c>
      <c r="D99" s="1">
        <v>6</v>
      </c>
      <c r="E99" s="16">
        <f t="shared" si="73"/>
        <v>0.69505774912704799</v>
      </c>
      <c r="F99" s="16">
        <f t="shared" si="74"/>
        <v>0.83333333333333326</v>
      </c>
      <c r="G99" s="16">
        <f t="shared" si="75"/>
        <v>0.16666666666666666</v>
      </c>
      <c r="H99" s="16">
        <f t="shared" si="76"/>
        <v>0.16666666666666666</v>
      </c>
      <c r="I99" s="16">
        <f t="shared" si="77"/>
        <v>0.69164145658263299</v>
      </c>
      <c r="J99" s="16">
        <f t="shared" si="77"/>
        <v>0.17647058823529407</v>
      </c>
    </row>
    <row r="100" spans="2:10" x14ac:dyDescent="0.25">
      <c r="B100" s="66"/>
      <c r="C100" s="5" t="s">
        <v>13</v>
      </c>
      <c r="D100" s="1">
        <v>1</v>
      </c>
      <c r="E100" s="16">
        <f t="shared" si="73"/>
        <v>0.17490375145491988</v>
      </c>
      <c r="F100" s="16">
        <f t="shared" si="74"/>
        <v>0.17799750797823302</v>
      </c>
      <c r="G100" s="16">
        <f t="shared" si="75"/>
        <v>0.83333333333333326</v>
      </c>
      <c r="H100" s="16">
        <f t="shared" si="76"/>
        <v>0.83333333333333326</v>
      </c>
      <c r="I100" s="16">
        <f t="shared" si="77"/>
        <v>0.25555555555555554</v>
      </c>
      <c r="J100" s="16">
        <f t="shared" si="77"/>
        <v>0.83333333333333326</v>
      </c>
    </row>
    <row r="101" spans="2:10" x14ac:dyDescent="0.25">
      <c r="B101" s="66"/>
      <c r="C101" s="5" t="s">
        <v>13</v>
      </c>
      <c r="D101" s="1">
        <v>2</v>
      </c>
      <c r="E101" s="16">
        <f t="shared" si="73"/>
        <v>0.20785209060793267</v>
      </c>
      <c r="F101" s="16">
        <f t="shared" si="74"/>
        <v>0.25885800164153761</v>
      </c>
      <c r="G101" s="16">
        <f t="shared" si="75"/>
        <v>0.61111111111111116</v>
      </c>
      <c r="H101" s="16">
        <f t="shared" si="76"/>
        <v>0.43333333333333335</v>
      </c>
      <c r="I101" s="16">
        <f t="shared" si="77"/>
        <v>0.34444444444444439</v>
      </c>
      <c r="J101" s="16">
        <f t="shared" si="77"/>
        <v>0.70588235294117641</v>
      </c>
    </row>
    <row r="102" spans="2:10" x14ac:dyDescent="0.25">
      <c r="B102" s="66"/>
      <c r="C102" s="5" t="s">
        <v>13</v>
      </c>
      <c r="D102" s="1">
        <v>4</v>
      </c>
      <c r="E102" s="16">
        <f t="shared" si="73"/>
        <v>0.27374876891395827</v>
      </c>
      <c r="F102" s="16">
        <f t="shared" si="74"/>
        <v>0.42057898896814683</v>
      </c>
      <c r="G102" s="16">
        <f t="shared" si="75"/>
        <v>0.16666666666666666</v>
      </c>
      <c r="H102" s="16">
        <f t="shared" si="76"/>
        <v>0.23333333333333331</v>
      </c>
      <c r="I102" s="16">
        <f t="shared" si="77"/>
        <v>0.52222222222222214</v>
      </c>
      <c r="J102" s="16">
        <f t="shared" si="77"/>
        <v>0.45098039215686275</v>
      </c>
    </row>
    <row r="103" spans="2:10" x14ac:dyDescent="0.25">
      <c r="B103" s="66"/>
      <c r="C103" s="5" t="s">
        <v>13</v>
      </c>
      <c r="D103" s="1">
        <v>6</v>
      </c>
      <c r="E103" s="16">
        <f t="shared" si="73"/>
        <v>0.33964544721998391</v>
      </c>
      <c r="F103" s="16">
        <f t="shared" si="74"/>
        <v>0.58229997629475583</v>
      </c>
      <c r="G103" s="16">
        <f t="shared" si="75"/>
        <v>0.16666666666666666</v>
      </c>
      <c r="H103" s="16">
        <f t="shared" si="76"/>
        <v>0.16666666666666666</v>
      </c>
      <c r="I103" s="16">
        <f t="shared" si="77"/>
        <v>0.69999999999999984</v>
      </c>
      <c r="J103" s="16">
        <f t="shared" si="77"/>
        <v>0.19607843137254899</v>
      </c>
    </row>
    <row r="104" spans="2:10" x14ac:dyDescent="0.25">
      <c r="B104" s="66"/>
      <c r="C104" s="5" t="s">
        <v>14</v>
      </c>
      <c r="D104" s="1">
        <v>1</v>
      </c>
      <c r="E104" s="16">
        <f t="shared" si="73"/>
        <v>0.18292595577043602</v>
      </c>
      <c r="F104" s="16">
        <f t="shared" si="74"/>
        <v>0.16666666666666666</v>
      </c>
      <c r="G104" s="16">
        <f t="shared" si="75"/>
        <v>0.83333333333333326</v>
      </c>
      <c r="H104" s="16">
        <f t="shared" si="76"/>
        <v>0.83333333333333326</v>
      </c>
      <c r="I104" s="16">
        <f t="shared" si="77"/>
        <v>0.16666666666666666</v>
      </c>
      <c r="J104" s="16">
        <f t="shared" si="77"/>
        <v>0.82843137254901955</v>
      </c>
    </row>
    <row r="105" spans="2:10" x14ac:dyDescent="0.25">
      <c r="B105" s="66"/>
      <c r="C105" s="5" t="s">
        <v>14</v>
      </c>
      <c r="D105" s="1">
        <v>2</v>
      </c>
      <c r="E105" s="16">
        <f t="shared" si="73"/>
        <v>0.22389649923896499</v>
      </c>
      <c r="F105" s="16">
        <f t="shared" si="74"/>
        <v>0.2361963190184049</v>
      </c>
      <c r="G105" s="16">
        <f t="shared" si="75"/>
        <v>0.61111111111111116</v>
      </c>
      <c r="H105" s="16">
        <f t="shared" si="76"/>
        <v>0.43333333333333335</v>
      </c>
      <c r="I105" s="16">
        <f t="shared" si="77"/>
        <v>0.16666666666666666</v>
      </c>
      <c r="J105" s="16">
        <f t="shared" si="77"/>
        <v>0.69607843137254899</v>
      </c>
    </row>
    <row r="106" spans="2:10" x14ac:dyDescent="0.25">
      <c r="B106" s="66"/>
      <c r="C106" s="5" t="s">
        <v>14</v>
      </c>
      <c r="D106" s="1">
        <v>4</v>
      </c>
      <c r="E106" s="16">
        <f t="shared" si="73"/>
        <v>0.30583758617602291</v>
      </c>
      <c r="F106" s="16">
        <f t="shared" si="74"/>
        <v>0.37525562372188137</v>
      </c>
      <c r="G106" s="16">
        <f t="shared" si="75"/>
        <v>0.16666666666666666</v>
      </c>
      <c r="H106" s="16">
        <f t="shared" si="76"/>
        <v>0.23333333333333331</v>
      </c>
      <c r="I106" s="16">
        <f t="shared" si="77"/>
        <v>0.16666666666666666</v>
      </c>
      <c r="J106" s="16">
        <f t="shared" si="77"/>
        <v>0.43137254901960786</v>
      </c>
    </row>
    <row r="107" spans="2:10" x14ac:dyDescent="0.25">
      <c r="B107" s="67"/>
      <c r="C107" s="7" t="s">
        <v>14</v>
      </c>
      <c r="D107" s="15">
        <v>6</v>
      </c>
      <c r="E107" s="17">
        <f t="shared" si="73"/>
        <v>0.3877786731130809</v>
      </c>
      <c r="F107" s="17">
        <f t="shared" si="74"/>
        <v>0.51431492842535786</v>
      </c>
      <c r="G107" s="17">
        <f t="shared" si="75"/>
        <v>0.16666666666666666</v>
      </c>
      <c r="H107" s="17">
        <f t="shared" si="76"/>
        <v>0.16666666666666666</v>
      </c>
      <c r="I107" s="17">
        <f t="shared" si="77"/>
        <v>0.16666666666666666</v>
      </c>
      <c r="J107" s="17">
        <f t="shared" si="77"/>
        <v>0.16666666666666666</v>
      </c>
    </row>
    <row r="108" spans="2:10" x14ac:dyDescent="0.25">
      <c r="B108" s="65" t="s">
        <v>9</v>
      </c>
      <c r="C108" s="41" t="s">
        <v>12</v>
      </c>
      <c r="D108" s="24">
        <v>1</v>
      </c>
      <c r="E108" s="48">
        <f t="shared" si="73"/>
        <v>0.25718506580714473</v>
      </c>
      <c r="F108" s="48">
        <f t="shared" si="74"/>
        <v>0.21983640081799588</v>
      </c>
      <c r="G108" s="48">
        <f t="shared" si="75"/>
        <v>0.83333333333333326</v>
      </c>
      <c r="H108" s="48">
        <f t="shared" si="76"/>
        <v>0.83333333333333326</v>
      </c>
      <c r="I108" s="48">
        <f t="shared" si="77"/>
        <v>0.27603641456582634</v>
      </c>
      <c r="J108" s="48">
        <f t="shared" si="77"/>
        <v>0.83006535947712412</v>
      </c>
    </row>
    <row r="109" spans="2:10" x14ac:dyDescent="0.25">
      <c r="B109" s="66"/>
      <c r="C109" s="5" t="s">
        <v>12</v>
      </c>
      <c r="D109" s="1">
        <v>2</v>
      </c>
      <c r="E109" s="16">
        <f t="shared" si="73"/>
        <v>0.37241471931238246</v>
      </c>
      <c r="F109" s="16">
        <f t="shared" si="74"/>
        <v>0.34253578732106338</v>
      </c>
      <c r="G109" s="16">
        <f t="shared" si="75"/>
        <v>0.83333333333333326</v>
      </c>
      <c r="H109" s="16">
        <f t="shared" si="76"/>
        <v>0.43333333333333335</v>
      </c>
      <c r="I109" s="16">
        <f t="shared" si="77"/>
        <v>0.38540616246498605</v>
      </c>
      <c r="J109" s="16">
        <f t="shared" si="77"/>
        <v>0.69934640522875813</v>
      </c>
    </row>
    <row r="110" spans="2:10" x14ac:dyDescent="0.25">
      <c r="B110" s="66"/>
      <c r="C110" s="5" t="s">
        <v>12</v>
      </c>
      <c r="D110" s="1">
        <v>4</v>
      </c>
      <c r="E110" s="16">
        <f t="shared" si="73"/>
        <v>0.6028740263228578</v>
      </c>
      <c r="F110" s="16">
        <f t="shared" si="74"/>
        <v>0.58793456032719837</v>
      </c>
      <c r="G110" s="16">
        <f t="shared" si="75"/>
        <v>0.27777777777777773</v>
      </c>
      <c r="H110" s="16">
        <f t="shared" si="76"/>
        <v>0.23333333333333331</v>
      </c>
      <c r="I110" s="16">
        <f t="shared" si="77"/>
        <v>0.60414565826330535</v>
      </c>
      <c r="J110" s="16">
        <f t="shared" si="77"/>
        <v>0.43790849673202614</v>
      </c>
    </row>
    <row r="111" spans="2:10" x14ac:dyDescent="0.25">
      <c r="B111" s="66"/>
      <c r="C111" s="5" t="s">
        <v>12</v>
      </c>
      <c r="D111" s="1">
        <v>6</v>
      </c>
      <c r="E111" s="16">
        <f t="shared" si="73"/>
        <v>0.83333333333333326</v>
      </c>
      <c r="F111" s="16">
        <f t="shared" si="74"/>
        <v>0.83333333333333326</v>
      </c>
      <c r="G111" s="16">
        <f t="shared" si="75"/>
        <v>0.16666666666666666</v>
      </c>
      <c r="H111" s="16">
        <f t="shared" si="76"/>
        <v>0.16666666666666666</v>
      </c>
      <c r="I111" s="16">
        <f t="shared" si="77"/>
        <v>0.82288515406162477</v>
      </c>
      <c r="J111" s="16">
        <f t="shared" si="77"/>
        <v>0.17647058823529407</v>
      </c>
    </row>
    <row r="112" spans="2:10" x14ac:dyDescent="0.25">
      <c r="B112" s="66"/>
      <c r="C112" s="5" t="s">
        <v>13</v>
      </c>
      <c r="D112" s="1">
        <v>1</v>
      </c>
      <c r="E112" s="16">
        <f t="shared" si="73"/>
        <v>0.18314083624317307</v>
      </c>
      <c r="F112" s="16">
        <f t="shared" si="74"/>
        <v>0.17799750797823302</v>
      </c>
      <c r="G112" s="16">
        <f t="shared" si="75"/>
        <v>0.83333333333333326</v>
      </c>
      <c r="H112" s="16">
        <f t="shared" si="76"/>
        <v>0.83333333333333326</v>
      </c>
      <c r="I112" s="16">
        <f t="shared" si="77"/>
        <v>0.27777777777777773</v>
      </c>
      <c r="J112" s="16">
        <f t="shared" si="77"/>
        <v>0.83333333333333326</v>
      </c>
    </row>
    <row r="113" spans="2:10" x14ac:dyDescent="0.25">
      <c r="B113" s="66"/>
      <c r="C113" s="5" t="s">
        <v>13</v>
      </c>
      <c r="D113" s="1">
        <v>2</v>
      </c>
      <c r="E113" s="16">
        <f t="shared" si="73"/>
        <v>0.22432626018443907</v>
      </c>
      <c r="F113" s="16">
        <f t="shared" si="74"/>
        <v>0.25885800164153761</v>
      </c>
      <c r="G113" s="16">
        <f t="shared" si="75"/>
        <v>0.83333333333333326</v>
      </c>
      <c r="H113" s="16">
        <f t="shared" si="76"/>
        <v>0.43333333333333335</v>
      </c>
      <c r="I113" s="16">
        <f t="shared" si="77"/>
        <v>0.38888888888888884</v>
      </c>
      <c r="J113" s="16">
        <f t="shared" si="77"/>
        <v>0.70588235294117641</v>
      </c>
    </row>
    <row r="114" spans="2:10" x14ac:dyDescent="0.25">
      <c r="B114" s="66"/>
      <c r="C114" s="5" t="s">
        <v>13</v>
      </c>
      <c r="D114" s="1">
        <v>4</v>
      </c>
      <c r="E114" s="16">
        <f t="shared" si="73"/>
        <v>0.30669710806697109</v>
      </c>
      <c r="F114" s="16">
        <f t="shared" si="74"/>
        <v>0.42057898896814683</v>
      </c>
      <c r="G114" s="16">
        <f t="shared" si="75"/>
        <v>0.27777777777777773</v>
      </c>
      <c r="H114" s="16">
        <f t="shared" si="76"/>
        <v>0.23333333333333331</v>
      </c>
      <c r="I114" s="16">
        <f t="shared" si="77"/>
        <v>0.61111111111111105</v>
      </c>
      <c r="J114" s="16">
        <f t="shared" si="77"/>
        <v>0.45098039215686275</v>
      </c>
    </row>
    <row r="115" spans="2:10" x14ac:dyDescent="0.25">
      <c r="B115" s="66"/>
      <c r="C115" s="5" t="s">
        <v>13</v>
      </c>
      <c r="D115" s="1">
        <v>6</v>
      </c>
      <c r="E115" s="16">
        <f t="shared" si="73"/>
        <v>0.38906795594950305</v>
      </c>
      <c r="F115" s="16">
        <f t="shared" si="74"/>
        <v>0.58229997629475583</v>
      </c>
      <c r="G115" s="16">
        <f t="shared" si="75"/>
        <v>0.16666666666666666</v>
      </c>
      <c r="H115" s="16">
        <f t="shared" si="76"/>
        <v>0.16666666666666666</v>
      </c>
      <c r="I115" s="16">
        <f t="shared" si="77"/>
        <v>0.83333333333333326</v>
      </c>
      <c r="J115" s="16">
        <f t="shared" si="77"/>
        <v>0.19607843137254899</v>
      </c>
    </row>
    <row r="116" spans="2:10" x14ac:dyDescent="0.25">
      <c r="B116" s="66"/>
      <c r="C116" s="5" t="s">
        <v>14</v>
      </c>
      <c r="D116" s="1">
        <v>1</v>
      </c>
      <c r="E116" s="16">
        <f t="shared" si="73"/>
        <v>0.19316859163756828</v>
      </c>
      <c r="F116" s="16">
        <f t="shared" si="74"/>
        <v>0.16666666666666666</v>
      </c>
      <c r="G116" s="16">
        <f t="shared" si="75"/>
        <v>0.83333333333333326</v>
      </c>
      <c r="H116" s="16">
        <f t="shared" si="76"/>
        <v>0.83333333333333326</v>
      </c>
      <c r="I116" s="16">
        <f t="shared" si="77"/>
        <v>0.16666666666666666</v>
      </c>
      <c r="J116" s="16">
        <f t="shared" si="77"/>
        <v>0.82843137254901955</v>
      </c>
    </row>
    <row r="117" spans="2:10" x14ac:dyDescent="0.25">
      <c r="B117" s="66"/>
      <c r="C117" s="5" t="s">
        <v>14</v>
      </c>
      <c r="D117" s="1">
        <v>2</v>
      </c>
      <c r="E117" s="16">
        <f t="shared" si="73"/>
        <v>0.2443817709732295</v>
      </c>
      <c r="F117" s="16">
        <f t="shared" si="74"/>
        <v>0.2361963190184049</v>
      </c>
      <c r="G117" s="16">
        <f t="shared" si="75"/>
        <v>0.83333333333333326</v>
      </c>
      <c r="H117" s="16">
        <f t="shared" si="76"/>
        <v>0.43333333333333335</v>
      </c>
      <c r="I117" s="16">
        <f t="shared" si="77"/>
        <v>0.16666666666666666</v>
      </c>
      <c r="J117" s="16">
        <f t="shared" si="77"/>
        <v>0.69607843137254899</v>
      </c>
    </row>
    <row r="118" spans="2:10" x14ac:dyDescent="0.25">
      <c r="B118" s="66"/>
      <c r="C118" s="5" t="s">
        <v>14</v>
      </c>
      <c r="D118" s="1">
        <v>4</v>
      </c>
      <c r="E118" s="16">
        <f t="shared" si="73"/>
        <v>0.34680812964455188</v>
      </c>
      <c r="F118" s="16">
        <f t="shared" si="74"/>
        <v>0.37525562372188137</v>
      </c>
      <c r="G118" s="16">
        <f t="shared" si="75"/>
        <v>0.27777777777777773</v>
      </c>
      <c r="H118" s="16">
        <f t="shared" si="76"/>
        <v>0.23333333333333331</v>
      </c>
      <c r="I118" s="16">
        <f t="shared" si="77"/>
        <v>0.16666666666666666</v>
      </c>
      <c r="J118" s="16">
        <f t="shared" si="77"/>
        <v>0.43137254901960786</v>
      </c>
    </row>
    <row r="119" spans="2:10" x14ac:dyDescent="0.25">
      <c r="B119" s="67"/>
      <c r="C119" s="7" t="s">
        <v>14</v>
      </c>
      <c r="D119" s="15">
        <v>6</v>
      </c>
      <c r="E119" s="17">
        <f t="shared" si="73"/>
        <v>0.44923448831587437</v>
      </c>
      <c r="F119" s="17">
        <f t="shared" si="74"/>
        <v>0.51431492842535786</v>
      </c>
      <c r="G119" s="17">
        <f t="shared" si="75"/>
        <v>0.16666666666666666</v>
      </c>
      <c r="H119" s="17">
        <f t="shared" si="76"/>
        <v>0.16666666666666666</v>
      </c>
      <c r="I119" s="17">
        <f t="shared" si="77"/>
        <v>0.16666666666666666</v>
      </c>
      <c r="J119" s="17">
        <f t="shared" si="77"/>
        <v>0.16666666666666666</v>
      </c>
    </row>
  </sheetData>
  <mergeCells count="9">
    <mergeCell ref="B108:B119"/>
    <mergeCell ref="B44:B55"/>
    <mergeCell ref="B56:B67"/>
    <mergeCell ref="B68:B79"/>
    <mergeCell ref="B4:B15"/>
    <mergeCell ref="B16:B27"/>
    <mergeCell ref="B28:B39"/>
    <mergeCell ref="B84:B95"/>
    <mergeCell ref="B96:B107"/>
  </mergeCells>
  <pageMargins left="0.511811024" right="0.511811024" top="0.78740157499999996" bottom="0.78740157499999996" header="0.31496062000000002" footer="0.31496062000000002"/>
  <ignoredErrors>
    <ignoredError sqref="G44:G7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E4D-4F3D-4DC8-B829-0A8A535C0A02}">
  <sheetPr codeName="Planilha9">
    <tabColor rgb="FFC00000"/>
  </sheetPr>
  <dimension ref="B2:N38"/>
  <sheetViews>
    <sheetView showGridLines="0" zoomScaleNormal="100" workbookViewId="0">
      <selection activeCell="D4" sqref="D4:F15"/>
    </sheetView>
  </sheetViews>
  <sheetFormatPr defaultColWidth="8.85546875" defaultRowHeight="15" x14ac:dyDescent="0.25"/>
  <cols>
    <col min="1" max="1" width="8.85546875" style="9"/>
    <col min="2" max="2" width="22.28515625" style="9" bestFit="1" customWidth="1"/>
    <col min="3" max="3" width="16.42578125" style="1" customWidth="1"/>
    <col min="4" max="6" width="15.7109375" style="1" customWidth="1"/>
    <col min="7" max="7" width="12.28515625" style="1" bestFit="1" customWidth="1"/>
    <col min="8" max="8" width="8.7109375" style="5" customWidth="1"/>
    <col min="9" max="13" width="15.7109375" style="9" customWidth="1"/>
    <col min="14" max="14" width="6.140625" style="9" bestFit="1" customWidth="1"/>
    <col min="15" max="16384" width="8.85546875" style="9"/>
  </cols>
  <sheetData>
    <row r="2" spans="2:14" x14ac:dyDescent="0.25">
      <c r="B2" s="3" t="s">
        <v>102</v>
      </c>
      <c r="H2" s="3" t="s">
        <v>116</v>
      </c>
    </row>
    <row r="3" spans="2:14" x14ac:dyDescent="0.25">
      <c r="B3" s="55" t="s">
        <v>1</v>
      </c>
      <c r="C3" s="30" t="s">
        <v>27</v>
      </c>
      <c r="D3" s="30" t="s">
        <v>45</v>
      </c>
      <c r="E3" s="30" t="s">
        <v>46</v>
      </c>
      <c r="F3" s="30" t="s">
        <v>47</v>
      </c>
      <c r="H3" s="6" t="s">
        <v>115</v>
      </c>
      <c r="I3" s="6" t="s">
        <v>105</v>
      </c>
      <c r="J3" s="30" t="s">
        <v>45</v>
      </c>
      <c r="K3" s="30" t="s">
        <v>46</v>
      </c>
      <c r="L3" s="30" t="s">
        <v>47</v>
      </c>
      <c r="M3" s="30" t="s">
        <v>110</v>
      </c>
      <c r="N3" s="30" t="s">
        <v>117</v>
      </c>
    </row>
    <row r="4" spans="2:14" x14ac:dyDescent="0.25">
      <c r="B4" s="65" t="s">
        <v>7</v>
      </c>
      <c r="C4" s="24">
        <v>1</v>
      </c>
      <c r="D4" s="48">
        <f>SUM('AHP (1) - Normalização Dados'!E84:J84)</f>
        <v>3.1599501467729985</v>
      </c>
      <c r="E4" s="48">
        <f>SUM('AHP (1) - Normalização Dados'!E88:J88)</f>
        <v>3.0779975079782327</v>
      </c>
      <c r="F4" s="48">
        <f>SUM('AHP (1) - Normalização Dados'!E92:J92)</f>
        <v>3.0011146924523233</v>
      </c>
      <c r="H4" s="75" t="s">
        <v>118</v>
      </c>
      <c r="I4" s="5" t="s">
        <v>7</v>
      </c>
      <c r="J4" s="1">
        <v>4</v>
      </c>
      <c r="K4" s="1">
        <v>0</v>
      </c>
      <c r="L4" s="1">
        <v>0</v>
      </c>
      <c r="M4" s="68">
        <v>7.67</v>
      </c>
      <c r="N4" s="72"/>
    </row>
    <row r="5" spans="2:14" x14ac:dyDescent="0.25">
      <c r="B5" s="66"/>
      <c r="C5" s="1">
        <v>2</v>
      </c>
      <c r="D5" s="16">
        <f>SUM('AHP (1) - Normalização Dados'!E85:J85)</f>
        <v>2.8866902198703386</v>
      </c>
      <c r="E5" s="16">
        <f>SUM('AHP (1) - Normalização Dados'!E89:J89)</f>
        <v>2.722784942280807</v>
      </c>
      <c r="F5" s="16">
        <f>SUM('AHP (1) - Normalização Dados'!E93:J93)</f>
        <v>2.5690193112289874</v>
      </c>
      <c r="G5" s="16"/>
      <c r="H5" s="76"/>
      <c r="I5" s="5" t="s">
        <v>8</v>
      </c>
      <c r="J5" s="1">
        <v>0</v>
      </c>
      <c r="K5" s="1">
        <v>2</v>
      </c>
      <c r="L5" s="1">
        <v>0</v>
      </c>
      <c r="M5" s="69"/>
      <c r="N5" s="73"/>
    </row>
    <row r="6" spans="2:14" x14ac:dyDescent="0.25">
      <c r="B6" s="66"/>
      <c r="C6" s="1">
        <v>4</v>
      </c>
      <c r="D6" s="16">
        <f>SUM('AHP (1) - Normalização Dados'!E86:J86)</f>
        <v>2.4957259216205738</v>
      </c>
      <c r="E6" s="16">
        <f>SUM('AHP (1) - Normalização Dados'!E90:J90)</f>
        <v>2.0568042553303996</v>
      </c>
      <c r="F6" s="16">
        <f>SUM('AHP (1) - Normalização Dados'!E94:J94)</f>
        <v>1.8603841043378722</v>
      </c>
      <c r="G6" s="16"/>
      <c r="H6" s="77"/>
      <c r="I6" s="7" t="s">
        <v>9</v>
      </c>
      <c r="J6" s="15">
        <v>0</v>
      </c>
      <c r="K6" s="15">
        <v>0</v>
      </c>
      <c r="L6" s="15">
        <v>2</v>
      </c>
      <c r="M6" s="70"/>
      <c r="N6" s="74"/>
    </row>
    <row r="7" spans="2:14" x14ac:dyDescent="0.25">
      <c r="B7" s="67"/>
      <c r="C7" s="15">
        <v>6</v>
      </c>
      <c r="D7" s="17">
        <f>SUM('AHP (1) - Normalização Dados'!E87:J87)</f>
        <v>2.4603171789263647</v>
      </c>
      <c r="E7" s="17">
        <f>SUM('AHP (1) - Normalização Dados'!E91:J91)</f>
        <v>1.9686013461577696</v>
      </c>
      <c r="F7" s="17">
        <f>SUM('AHP (1) - Normalização Dados'!E95:J95)</f>
        <v>1.5073044530023123</v>
      </c>
      <c r="G7" s="16"/>
      <c r="H7" s="78" t="s">
        <v>119</v>
      </c>
      <c r="I7" s="5" t="s">
        <v>7</v>
      </c>
      <c r="J7" s="1">
        <v>4</v>
      </c>
      <c r="K7" s="1">
        <v>0</v>
      </c>
      <c r="L7" s="1">
        <v>0</v>
      </c>
      <c r="M7" s="68">
        <v>7.71</v>
      </c>
      <c r="N7" s="72">
        <f>M7/$M$4-1</f>
        <v>5.2151238591917615E-3</v>
      </c>
    </row>
    <row r="8" spans="2:14" x14ac:dyDescent="0.25">
      <c r="B8" s="65" t="s">
        <v>8</v>
      </c>
      <c r="C8" s="24">
        <v>1</v>
      </c>
      <c r="D8" s="48">
        <f>SUM('AHP (1) - Normalização Dados'!E96:J96)</f>
        <v>3.2048700270538779</v>
      </c>
      <c r="E8" s="48">
        <f>SUM('AHP (1) - Normalização Dados'!E100:J100)</f>
        <v>3.108456814988708</v>
      </c>
      <c r="F8" s="48">
        <f>SUM('AHP (1) - Normalização Dados'!E104:J104)</f>
        <v>3.0113573283194555</v>
      </c>
      <c r="G8" s="16"/>
      <c r="H8" s="79"/>
      <c r="I8" s="5" t="s">
        <v>8</v>
      </c>
      <c r="J8" s="1">
        <v>0</v>
      </c>
      <c r="K8" s="1">
        <v>0</v>
      </c>
      <c r="L8" s="1">
        <v>2</v>
      </c>
      <c r="M8" s="69"/>
      <c r="N8" s="73"/>
    </row>
    <row r="9" spans="2:14" x14ac:dyDescent="0.25">
      <c r="B9" s="66" t="s">
        <v>8</v>
      </c>
      <c r="C9" s="59">
        <v>2</v>
      </c>
      <c r="D9" s="16">
        <f>SUM('AHP (1) - Normalização Dados'!E97:J97)</f>
        <v>2.7543077582098752</v>
      </c>
      <c r="E9" s="16">
        <f>SUM('AHP (1) - Normalização Dados'!E101:J101)</f>
        <v>2.5614813340795353</v>
      </c>
      <c r="F9" s="16">
        <f>SUM('AHP (1) - Normalização Dados'!E105:J105)</f>
        <v>2.3672823607410303</v>
      </c>
      <c r="G9" s="16"/>
      <c r="H9" s="80"/>
      <c r="I9" s="7" t="s">
        <v>9</v>
      </c>
      <c r="J9" s="15">
        <v>0</v>
      </c>
      <c r="K9" s="15">
        <v>2</v>
      </c>
      <c r="L9" s="15">
        <v>0</v>
      </c>
      <c r="M9" s="70"/>
      <c r="N9" s="74"/>
    </row>
    <row r="10" spans="2:14" x14ac:dyDescent="0.25">
      <c r="B10" s="66" t="s">
        <v>8</v>
      </c>
      <c r="C10" s="59">
        <v>4</v>
      </c>
      <c r="D10" s="16">
        <f>SUM('AHP (1) - Normalização Dados'!E98:J98)</f>
        <v>2.5642943316329809</v>
      </c>
      <c r="E10" s="16">
        <f>SUM('AHP (1) - Normalização Dados'!E102:J102)</f>
        <v>2.06753037226119</v>
      </c>
      <c r="F10" s="16">
        <f>SUM('AHP (1) - Normalização Dados'!E106:J106)</f>
        <v>1.6791324255841789</v>
      </c>
      <c r="G10" s="16"/>
      <c r="H10" s="81" t="s">
        <v>120</v>
      </c>
      <c r="I10" s="5" t="s">
        <v>7</v>
      </c>
      <c r="J10" s="1">
        <v>0</v>
      </c>
      <c r="K10" s="1">
        <v>2</v>
      </c>
      <c r="L10" s="1">
        <v>0</v>
      </c>
      <c r="M10" s="68">
        <v>7.83</v>
      </c>
      <c r="N10" s="72">
        <f>M10/$M$4-1</f>
        <v>2.0860495436766602E-2</v>
      </c>
    </row>
    <row r="11" spans="2:14" x14ac:dyDescent="0.25">
      <c r="B11" s="67" t="s">
        <v>8</v>
      </c>
      <c r="C11" s="60">
        <v>6</v>
      </c>
      <c r="D11" s="17">
        <f>SUM('AHP (1) - Normalização Dados'!E99:J99)</f>
        <v>2.7298364606116414</v>
      </c>
      <c r="E11" s="17">
        <f>SUM('AHP (1) - Normalização Dados'!E103:J103)</f>
        <v>2.1513571882206222</v>
      </c>
      <c r="F11" s="17">
        <f>SUM('AHP (1) - Normalização Dados'!E107:J107)</f>
        <v>1.5687602682051056</v>
      </c>
      <c r="G11" s="16"/>
      <c r="H11" s="82"/>
      <c r="I11" s="5" t="s">
        <v>8</v>
      </c>
      <c r="J11" s="1">
        <v>0</v>
      </c>
      <c r="K11" s="1">
        <v>0</v>
      </c>
      <c r="L11" s="1">
        <v>2</v>
      </c>
      <c r="M11" s="69"/>
      <c r="N11" s="73"/>
    </row>
    <row r="12" spans="2:14" x14ac:dyDescent="0.25">
      <c r="B12" s="65" t="s">
        <v>9</v>
      </c>
      <c r="C12" s="61">
        <v>1</v>
      </c>
      <c r="D12" s="48">
        <f>SUM('AHP (1) - Normalização Dados'!E108:J108)</f>
        <v>3.2497899073347574</v>
      </c>
      <c r="E12" s="48">
        <f>SUM('AHP (1) - Normalização Dados'!E112:J112)</f>
        <v>3.1389161219991832</v>
      </c>
      <c r="F12" s="48">
        <f>SUM('AHP (1) - Normalização Dados'!E116:J116)</f>
        <v>3.0215999641865876</v>
      </c>
      <c r="G12" s="16"/>
      <c r="H12" s="83"/>
      <c r="I12" s="7" t="s">
        <v>9</v>
      </c>
      <c r="J12" s="15">
        <v>4</v>
      </c>
      <c r="K12" s="15">
        <v>0</v>
      </c>
      <c r="L12" s="15">
        <v>0</v>
      </c>
      <c r="M12" s="70"/>
      <c r="N12" s="74"/>
    </row>
    <row r="13" spans="2:14" x14ac:dyDescent="0.25">
      <c r="B13" s="66" t="s">
        <v>9</v>
      </c>
      <c r="C13" s="59">
        <v>2</v>
      </c>
      <c r="D13" s="16">
        <f>SUM('AHP (1) - Normalização Dados'!E109:J109)</f>
        <v>3.0663697409938564</v>
      </c>
      <c r="E13" s="16">
        <f>SUM('AHP (1) - Normalização Dados'!E113:J113)</f>
        <v>2.844622170322709</v>
      </c>
      <c r="F13" s="16">
        <f>SUM('AHP (1) - Normalização Dados'!E117:J117)</f>
        <v>2.6099898546975169</v>
      </c>
      <c r="G13" s="16"/>
      <c r="H13" s="84" t="s">
        <v>121</v>
      </c>
      <c r="I13" s="5" t="s">
        <v>7</v>
      </c>
      <c r="J13" s="1">
        <v>0</v>
      </c>
      <c r="K13" s="1">
        <v>0</v>
      </c>
      <c r="L13" s="1">
        <v>2</v>
      </c>
      <c r="M13" s="68">
        <v>7.87</v>
      </c>
      <c r="N13" s="72">
        <f>M13/$M$4-1</f>
        <v>2.6075619295958363E-2</v>
      </c>
    </row>
    <row r="14" spans="2:14" x14ac:dyDescent="0.25">
      <c r="B14" s="66" t="s">
        <v>9</v>
      </c>
      <c r="C14" s="59">
        <v>4</v>
      </c>
      <c r="D14" s="16">
        <f>SUM('AHP (1) - Normalização Dados'!E110:J110)</f>
        <v>2.7439738527564987</v>
      </c>
      <c r="E14" s="16">
        <f>SUM('AHP (1) - Normalização Dados'!E114:J114)</f>
        <v>2.3004787114142031</v>
      </c>
      <c r="F14" s="16">
        <f>SUM('AHP (1) - Normalização Dados'!E118:J118)</f>
        <v>1.831214080163819</v>
      </c>
      <c r="G14" s="16"/>
      <c r="H14" s="85"/>
      <c r="I14" s="5" t="s">
        <v>8</v>
      </c>
      <c r="J14" s="1">
        <v>0</v>
      </c>
      <c r="K14" s="1">
        <v>2</v>
      </c>
      <c r="L14" s="1">
        <v>0</v>
      </c>
      <c r="M14" s="69"/>
      <c r="N14" s="73"/>
    </row>
    <row r="15" spans="2:14" x14ac:dyDescent="0.25">
      <c r="B15" s="67" t="s">
        <v>9</v>
      </c>
      <c r="C15" s="60">
        <v>6</v>
      </c>
      <c r="D15" s="17">
        <f>SUM('AHP (1) - Normalização Dados'!E111:J111)</f>
        <v>2.9993557422969186</v>
      </c>
      <c r="E15" s="17">
        <f>SUM('AHP (1) - Normalização Dados'!E115:J115)</f>
        <v>2.3341130302834747</v>
      </c>
      <c r="F15" s="17">
        <f>SUM('AHP (1) - Normalização Dados'!E119:J119)</f>
        <v>1.6302160834078991</v>
      </c>
      <c r="G15" s="16"/>
      <c r="H15" s="86"/>
      <c r="I15" s="7" t="s">
        <v>9</v>
      </c>
      <c r="J15" s="15">
        <v>4</v>
      </c>
      <c r="K15" s="15">
        <v>0</v>
      </c>
      <c r="L15" s="15">
        <v>0</v>
      </c>
      <c r="M15" s="70"/>
      <c r="N15" s="74"/>
    </row>
    <row r="16" spans="2:14" x14ac:dyDescent="0.25">
      <c r="B16" s="5"/>
      <c r="D16" s="16"/>
      <c r="E16" s="16"/>
      <c r="F16" s="16"/>
      <c r="G16" s="16"/>
    </row>
    <row r="17" spans="2:13" x14ac:dyDescent="0.25">
      <c r="B17" s="3" t="s">
        <v>108</v>
      </c>
      <c r="D17" s="16"/>
      <c r="E17" s="16"/>
      <c r="F17" s="16"/>
      <c r="G17" s="16"/>
      <c r="I17" s="3" t="s">
        <v>113</v>
      </c>
      <c r="J17" s="16"/>
      <c r="K17" s="16"/>
      <c r="L17" s="16"/>
    </row>
    <row r="18" spans="2:13" x14ac:dyDescent="0.25">
      <c r="B18" s="55" t="s">
        <v>1</v>
      </c>
      <c r="C18" s="30" t="s">
        <v>27</v>
      </c>
      <c r="D18" s="30" t="s">
        <v>45</v>
      </c>
      <c r="E18" s="30" t="s">
        <v>46</v>
      </c>
      <c r="F18" s="30" t="s">
        <v>47</v>
      </c>
      <c r="G18" s="30" t="s">
        <v>111</v>
      </c>
      <c r="I18" s="55" t="s">
        <v>1</v>
      </c>
      <c r="J18" s="30" t="s">
        <v>45</v>
      </c>
      <c r="K18" s="30" t="s">
        <v>46</v>
      </c>
      <c r="L18" s="30" t="s">
        <v>47</v>
      </c>
      <c r="M18" s="30" t="s">
        <v>107</v>
      </c>
    </row>
    <row r="19" spans="2:13" x14ac:dyDescent="0.25">
      <c r="B19" s="65" t="s">
        <v>7</v>
      </c>
      <c r="C19" s="24">
        <v>1</v>
      </c>
      <c r="D19" s="48">
        <v>0</v>
      </c>
      <c r="E19" s="48">
        <v>0</v>
      </c>
      <c r="F19" s="48">
        <v>0</v>
      </c>
      <c r="G19" s="87">
        <f>SUM(D19:F22)</f>
        <v>1</v>
      </c>
      <c r="I19" s="65" t="s">
        <v>7</v>
      </c>
      <c r="J19" s="48">
        <f t="shared" ref="J19:J30" si="0">D19*D4</f>
        <v>0</v>
      </c>
      <c r="K19" s="48">
        <f t="shared" ref="K19:K30" si="1">E19*E4</f>
        <v>0</v>
      </c>
      <c r="L19" s="48">
        <f t="shared" ref="L19:L30" si="2">F19*F4</f>
        <v>0</v>
      </c>
      <c r="M19" s="87">
        <f>SUM(J19:L22)</f>
        <v>2.4957259216205738</v>
      </c>
    </row>
    <row r="20" spans="2:13" x14ac:dyDescent="0.25">
      <c r="B20" s="66" t="s">
        <v>7</v>
      </c>
      <c r="C20" s="1">
        <v>2</v>
      </c>
      <c r="D20" s="16">
        <v>0</v>
      </c>
      <c r="E20" s="16">
        <v>0</v>
      </c>
      <c r="F20" s="16">
        <v>0</v>
      </c>
      <c r="G20" s="88"/>
      <c r="I20" s="66" t="s">
        <v>7</v>
      </c>
      <c r="J20" s="16">
        <f t="shared" si="0"/>
        <v>0</v>
      </c>
      <c r="K20" s="16">
        <f t="shared" si="1"/>
        <v>0</v>
      </c>
      <c r="L20" s="16">
        <f t="shared" si="2"/>
        <v>0</v>
      </c>
      <c r="M20" s="88"/>
    </row>
    <row r="21" spans="2:13" x14ac:dyDescent="0.25">
      <c r="B21" s="66" t="s">
        <v>7</v>
      </c>
      <c r="C21" s="1">
        <v>4</v>
      </c>
      <c r="D21" s="16">
        <v>1</v>
      </c>
      <c r="E21" s="16">
        <v>0</v>
      </c>
      <c r="F21" s="16">
        <v>0</v>
      </c>
      <c r="G21" s="88"/>
      <c r="I21" s="66" t="s">
        <v>7</v>
      </c>
      <c r="J21" s="16">
        <f t="shared" si="0"/>
        <v>2.4957259216205738</v>
      </c>
      <c r="K21" s="16">
        <f t="shared" si="1"/>
        <v>0</v>
      </c>
      <c r="L21" s="16">
        <f t="shared" si="2"/>
        <v>0</v>
      </c>
      <c r="M21" s="88"/>
    </row>
    <row r="22" spans="2:13" x14ac:dyDescent="0.25">
      <c r="B22" s="67" t="s">
        <v>7</v>
      </c>
      <c r="C22" s="15">
        <v>6</v>
      </c>
      <c r="D22" s="17">
        <v>0</v>
      </c>
      <c r="E22" s="17">
        <v>0</v>
      </c>
      <c r="F22" s="17">
        <v>0</v>
      </c>
      <c r="G22" s="89"/>
      <c r="I22" s="67" t="s">
        <v>7</v>
      </c>
      <c r="J22" s="17">
        <f t="shared" si="0"/>
        <v>0</v>
      </c>
      <c r="K22" s="17">
        <f t="shared" si="1"/>
        <v>0</v>
      </c>
      <c r="L22" s="17">
        <f t="shared" si="2"/>
        <v>0</v>
      </c>
      <c r="M22" s="89"/>
    </row>
    <row r="23" spans="2:13" x14ac:dyDescent="0.25">
      <c r="B23" s="65" t="s">
        <v>8</v>
      </c>
      <c r="C23" s="24">
        <v>1</v>
      </c>
      <c r="D23" s="48">
        <v>0</v>
      </c>
      <c r="E23" s="48">
        <v>0</v>
      </c>
      <c r="F23" s="48">
        <v>0</v>
      </c>
      <c r="G23" s="87">
        <f>SUM(D23:F26)</f>
        <v>1</v>
      </c>
      <c r="I23" s="65" t="s">
        <v>8</v>
      </c>
      <c r="J23" s="48">
        <f t="shared" si="0"/>
        <v>0</v>
      </c>
      <c r="K23" s="48">
        <f t="shared" si="1"/>
        <v>0</v>
      </c>
      <c r="L23" s="48">
        <f t="shared" si="2"/>
        <v>0</v>
      </c>
      <c r="M23" s="87">
        <f>SUM(J23:L26)</f>
        <v>2.5614813340795353</v>
      </c>
    </row>
    <row r="24" spans="2:13" x14ac:dyDescent="0.25">
      <c r="B24" s="66" t="s">
        <v>8</v>
      </c>
      <c r="C24" s="1">
        <v>2</v>
      </c>
      <c r="D24" s="16">
        <v>0</v>
      </c>
      <c r="E24" s="16">
        <v>1</v>
      </c>
      <c r="F24" s="16">
        <v>0</v>
      </c>
      <c r="G24" s="88"/>
      <c r="I24" s="66" t="s">
        <v>8</v>
      </c>
      <c r="J24" s="16">
        <f t="shared" si="0"/>
        <v>0</v>
      </c>
      <c r="K24" s="16">
        <f t="shared" si="1"/>
        <v>2.5614813340795353</v>
      </c>
      <c r="L24" s="16">
        <f t="shared" si="2"/>
        <v>0</v>
      </c>
      <c r="M24" s="88"/>
    </row>
    <row r="25" spans="2:13" x14ac:dyDescent="0.25">
      <c r="B25" s="66" t="s">
        <v>8</v>
      </c>
      <c r="C25" s="1">
        <v>4</v>
      </c>
      <c r="D25" s="16">
        <v>0</v>
      </c>
      <c r="E25" s="16">
        <v>0</v>
      </c>
      <c r="F25" s="16">
        <v>0</v>
      </c>
      <c r="G25" s="88"/>
      <c r="I25" s="66" t="s">
        <v>8</v>
      </c>
      <c r="J25" s="16">
        <f t="shared" si="0"/>
        <v>0</v>
      </c>
      <c r="K25" s="16">
        <f t="shared" si="1"/>
        <v>0</v>
      </c>
      <c r="L25" s="16">
        <f t="shared" si="2"/>
        <v>0</v>
      </c>
      <c r="M25" s="88"/>
    </row>
    <row r="26" spans="2:13" x14ac:dyDescent="0.25">
      <c r="B26" s="67" t="s">
        <v>8</v>
      </c>
      <c r="C26" s="15">
        <v>6</v>
      </c>
      <c r="D26" s="17">
        <v>0</v>
      </c>
      <c r="E26" s="17">
        <v>0</v>
      </c>
      <c r="F26" s="17">
        <v>0</v>
      </c>
      <c r="G26" s="89"/>
      <c r="I26" s="67" t="s">
        <v>8</v>
      </c>
      <c r="J26" s="17">
        <f t="shared" si="0"/>
        <v>0</v>
      </c>
      <c r="K26" s="17">
        <f t="shared" si="1"/>
        <v>0</v>
      </c>
      <c r="L26" s="17">
        <f t="shared" si="2"/>
        <v>0</v>
      </c>
      <c r="M26" s="89"/>
    </row>
    <row r="27" spans="2:13" x14ac:dyDescent="0.25">
      <c r="B27" s="65" t="s">
        <v>9</v>
      </c>
      <c r="C27" s="24">
        <v>1</v>
      </c>
      <c r="D27" s="48">
        <v>0</v>
      </c>
      <c r="E27" s="48">
        <v>0</v>
      </c>
      <c r="F27" s="48">
        <v>0</v>
      </c>
      <c r="G27" s="87">
        <f>SUM(D27:F30)</f>
        <v>1</v>
      </c>
      <c r="I27" s="65" t="s">
        <v>9</v>
      </c>
      <c r="J27" s="48">
        <f t="shared" si="0"/>
        <v>0</v>
      </c>
      <c r="K27" s="48">
        <f t="shared" si="1"/>
        <v>0</v>
      </c>
      <c r="L27" s="48">
        <f t="shared" si="2"/>
        <v>0</v>
      </c>
      <c r="M27" s="87">
        <f>SUM(J27:L30)</f>
        <v>2.6099898546975169</v>
      </c>
    </row>
    <row r="28" spans="2:13" x14ac:dyDescent="0.25">
      <c r="B28" s="66" t="s">
        <v>9</v>
      </c>
      <c r="C28" s="1">
        <v>2</v>
      </c>
      <c r="D28" s="16">
        <v>0</v>
      </c>
      <c r="E28" s="16">
        <v>0</v>
      </c>
      <c r="F28" s="16">
        <v>1</v>
      </c>
      <c r="G28" s="88"/>
      <c r="I28" s="66" t="s">
        <v>9</v>
      </c>
      <c r="J28" s="16">
        <f t="shared" si="0"/>
        <v>0</v>
      </c>
      <c r="K28" s="16">
        <f t="shared" si="1"/>
        <v>0</v>
      </c>
      <c r="L28" s="16">
        <f t="shared" si="2"/>
        <v>2.6099898546975169</v>
      </c>
      <c r="M28" s="88"/>
    </row>
    <row r="29" spans="2:13" x14ac:dyDescent="0.25">
      <c r="B29" s="66" t="s">
        <v>9</v>
      </c>
      <c r="C29" s="1">
        <v>4</v>
      </c>
      <c r="D29" s="16">
        <v>0</v>
      </c>
      <c r="E29" s="16">
        <v>0</v>
      </c>
      <c r="F29" s="16">
        <v>0</v>
      </c>
      <c r="G29" s="88"/>
      <c r="I29" s="66" t="s">
        <v>9</v>
      </c>
      <c r="J29" s="16">
        <f t="shared" si="0"/>
        <v>0</v>
      </c>
      <c r="K29" s="16">
        <f t="shared" si="1"/>
        <v>0</v>
      </c>
      <c r="L29" s="16">
        <f t="shared" si="2"/>
        <v>0</v>
      </c>
      <c r="M29" s="88"/>
    </row>
    <row r="30" spans="2:13" x14ac:dyDescent="0.25">
      <c r="B30" s="67" t="s">
        <v>9</v>
      </c>
      <c r="C30" s="15">
        <v>6</v>
      </c>
      <c r="D30" s="17">
        <v>0</v>
      </c>
      <c r="E30" s="17">
        <v>0</v>
      </c>
      <c r="F30" s="17">
        <v>0</v>
      </c>
      <c r="G30" s="89"/>
      <c r="I30" s="67" t="s">
        <v>9</v>
      </c>
      <c r="J30" s="17">
        <f t="shared" si="0"/>
        <v>0</v>
      </c>
      <c r="K30" s="17">
        <f t="shared" si="1"/>
        <v>0</v>
      </c>
      <c r="L30" s="17">
        <f t="shared" si="2"/>
        <v>0</v>
      </c>
      <c r="M30" s="89"/>
    </row>
    <row r="31" spans="2:13" x14ac:dyDescent="0.25">
      <c r="B31" s="57"/>
      <c r="C31" s="29"/>
      <c r="D31" s="32">
        <f>SUMPRODUCT(C19:C30,D19:D30)</f>
        <v>4</v>
      </c>
      <c r="E31" s="32">
        <f>SUMPRODUCT(C19:C30,E19:E30)</f>
        <v>2</v>
      </c>
      <c r="F31" s="32">
        <f>SUMPRODUCT(C19:C30,F19:F30)</f>
        <v>2</v>
      </c>
      <c r="G31" s="32"/>
      <c r="I31" s="32"/>
      <c r="J31" s="32"/>
      <c r="K31" s="32"/>
      <c r="L31" s="58" t="s">
        <v>114</v>
      </c>
      <c r="M31" s="58">
        <f>SUM(M19:M30)</f>
        <v>7.667197110397626</v>
      </c>
    </row>
    <row r="32" spans="2:13" x14ac:dyDescent="0.25">
      <c r="B32" s="16"/>
      <c r="C32" s="16"/>
      <c r="D32" s="16"/>
      <c r="E32" s="16"/>
      <c r="F32" s="16"/>
      <c r="G32" s="16"/>
    </row>
    <row r="33" spans="2:7" x14ac:dyDescent="0.25">
      <c r="B33" s="3" t="s">
        <v>112</v>
      </c>
      <c r="C33" s="16"/>
      <c r="D33" s="16"/>
      <c r="E33" s="16"/>
      <c r="F33" s="16"/>
      <c r="G33" s="16"/>
    </row>
    <row r="34" spans="2:7" x14ac:dyDescent="0.25">
      <c r="B34" s="6" t="s">
        <v>109</v>
      </c>
      <c r="C34" s="30" t="s">
        <v>106</v>
      </c>
      <c r="D34" s="16"/>
    </row>
    <row r="35" spans="2:7" x14ac:dyDescent="0.25">
      <c r="B35" s="9" t="s">
        <v>12</v>
      </c>
      <c r="C35" s="1">
        <v>4</v>
      </c>
    </row>
    <row r="36" spans="2:7" x14ac:dyDescent="0.25">
      <c r="B36" s="9" t="s">
        <v>13</v>
      </c>
      <c r="C36" s="1">
        <v>3</v>
      </c>
    </row>
    <row r="37" spans="2:7" x14ac:dyDescent="0.25">
      <c r="B37" s="10" t="s">
        <v>14</v>
      </c>
      <c r="C37" s="15">
        <v>2</v>
      </c>
    </row>
    <row r="38" spans="2:7" x14ac:dyDescent="0.25">
      <c r="B38" s="56" t="s">
        <v>107</v>
      </c>
      <c r="C38" s="2">
        <f>SUM(C35:C37)</f>
        <v>9</v>
      </c>
    </row>
  </sheetData>
  <mergeCells count="27">
    <mergeCell ref="B27:B30"/>
    <mergeCell ref="G19:G22"/>
    <mergeCell ref="G23:G26"/>
    <mergeCell ref="G27:G30"/>
    <mergeCell ref="M19:M22"/>
    <mergeCell ref="M23:M26"/>
    <mergeCell ref="M27:M30"/>
    <mergeCell ref="I19:I22"/>
    <mergeCell ref="I23:I26"/>
    <mergeCell ref="I27:I30"/>
    <mergeCell ref="B4:B7"/>
    <mergeCell ref="B8:B11"/>
    <mergeCell ref="B12:B15"/>
    <mergeCell ref="B19:B22"/>
    <mergeCell ref="B23:B26"/>
    <mergeCell ref="N4:N6"/>
    <mergeCell ref="N7:N9"/>
    <mergeCell ref="N10:N12"/>
    <mergeCell ref="N13:N15"/>
    <mergeCell ref="H4:H6"/>
    <mergeCell ref="H7:H9"/>
    <mergeCell ref="H10:H12"/>
    <mergeCell ref="H13:H15"/>
    <mergeCell ref="M4:M6"/>
    <mergeCell ref="M7:M9"/>
    <mergeCell ref="M10:M12"/>
    <mergeCell ref="M13:M15"/>
  </mergeCells>
  <phoneticPr fontId="3" type="noConversion"/>
  <conditionalFormatting sqref="B32:G32 C33:G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F30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G7 D4:F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G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G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3170-0F65-404F-94F3-494F1A945580}">
  <dimension ref="A1:B4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1" spans="1:2" x14ac:dyDescent="0.25">
      <c r="A1" s="6" t="s">
        <v>109</v>
      </c>
      <c r="B1" s="30" t="s">
        <v>106</v>
      </c>
    </row>
    <row r="2" spans="1:2" x14ac:dyDescent="0.25">
      <c r="A2" s="9" t="s">
        <v>45</v>
      </c>
      <c r="B2" s="1">
        <v>4</v>
      </c>
    </row>
    <row r="3" spans="1:2" x14ac:dyDescent="0.25">
      <c r="A3" s="9" t="s">
        <v>122</v>
      </c>
      <c r="B3" s="1">
        <v>3</v>
      </c>
    </row>
    <row r="4" spans="1:2" x14ac:dyDescent="0.25">
      <c r="A4" s="10" t="s">
        <v>123</v>
      </c>
      <c r="B4" s="15"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B3F6-B665-4F91-A7D7-E48988A49EEC}">
  <dimension ref="A1:S31"/>
  <sheetViews>
    <sheetView workbookViewId="0">
      <selection activeCell="B10" sqref="B10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125</v>
      </c>
    </row>
    <row r="2" spans="1:9" x14ac:dyDescent="0.25">
      <c r="A2" s="1">
        <v>1</v>
      </c>
    </row>
    <row r="3" spans="1:9" x14ac:dyDescent="0.25">
      <c r="A3" s="1">
        <v>2</v>
      </c>
    </row>
    <row r="4" spans="1:9" x14ac:dyDescent="0.25">
      <c r="A4" s="1">
        <v>4</v>
      </c>
    </row>
    <row r="5" spans="1:9" x14ac:dyDescent="0.25">
      <c r="A5" s="1">
        <v>6</v>
      </c>
    </row>
    <row r="6" spans="1:9" x14ac:dyDescent="0.25">
      <c r="F6" s="63"/>
    </row>
    <row r="7" spans="1:9" x14ac:dyDescent="0.25">
      <c r="I7" s="63"/>
    </row>
    <row r="31" spans="19:19" x14ac:dyDescent="0.25">
      <c r="S31" s="6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544B-CD93-4FA6-AF6D-A75ABF421649}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F6D8-B40E-4AF8-84C0-2781B3DFF4A3}">
  <dimension ref="A1:J20"/>
  <sheetViews>
    <sheetView tabSelected="1" workbookViewId="0">
      <selection activeCell="K26" sqref="K26"/>
    </sheetView>
  </sheetViews>
  <sheetFormatPr defaultRowHeight="15" x14ac:dyDescent="0.25"/>
  <cols>
    <col min="1" max="1" width="7.7109375" bestFit="1" customWidth="1"/>
    <col min="2" max="2" width="12.85546875" bestFit="1" customWidth="1"/>
    <col min="3" max="3" width="7.42578125" bestFit="1" customWidth="1"/>
    <col min="4" max="4" width="13.5703125" bestFit="1" customWidth="1"/>
    <col min="5" max="5" width="10" bestFit="1" customWidth="1"/>
  </cols>
  <sheetData>
    <row r="1" spans="1:10" x14ac:dyDescent="0.25">
      <c r="A1" s="55" t="s">
        <v>1</v>
      </c>
      <c r="B1" s="30" t="s">
        <v>126</v>
      </c>
      <c r="C1" s="30" t="s">
        <v>45</v>
      </c>
      <c r="D1" s="30" t="s">
        <v>122</v>
      </c>
      <c r="E1" s="30" t="s">
        <v>123</v>
      </c>
    </row>
    <row r="2" spans="1:10" x14ac:dyDescent="0.25">
      <c r="A2" s="62" t="s">
        <v>7</v>
      </c>
      <c r="B2" s="24">
        <v>1</v>
      </c>
      <c r="C2" s="48">
        <v>3.1599501467729985</v>
      </c>
      <c r="D2" s="48">
        <v>3.0779975079782327</v>
      </c>
      <c r="E2" s="48">
        <v>3.0011146924523233</v>
      </c>
      <c r="F2" s="63"/>
    </row>
    <row r="3" spans="1:10" x14ac:dyDescent="0.25">
      <c r="A3" s="62" t="s">
        <v>7</v>
      </c>
      <c r="B3" s="1">
        <v>2</v>
      </c>
      <c r="C3" s="16">
        <v>2.8866902198703386</v>
      </c>
      <c r="D3" s="16">
        <v>2.722784942280807</v>
      </c>
      <c r="E3" s="16">
        <v>2.5690193112289874</v>
      </c>
    </row>
    <row r="4" spans="1:10" x14ac:dyDescent="0.25">
      <c r="A4" s="62" t="s">
        <v>7</v>
      </c>
      <c r="B4" s="1">
        <v>4</v>
      </c>
      <c r="C4" s="16">
        <v>2.4957259216205738</v>
      </c>
      <c r="D4" s="16">
        <v>2.0568042553303996</v>
      </c>
      <c r="E4" s="16">
        <v>1.8603841043378722</v>
      </c>
      <c r="G4" s="63"/>
    </row>
    <row r="5" spans="1:10" x14ac:dyDescent="0.25">
      <c r="A5" s="62" t="s">
        <v>7</v>
      </c>
      <c r="B5" s="15">
        <v>6</v>
      </c>
      <c r="C5" s="17">
        <v>2.4603171789263647</v>
      </c>
      <c r="D5" s="17">
        <v>1.9686013461577696</v>
      </c>
      <c r="E5" s="17">
        <v>1.5073044530023123</v>
      </c>
    </row>
    <row r="6" spans="1:10" x14ac:dyDescent="0.25">
      <c r="A6" s="62" t="s">
        <v>8</v>
      </c>
      <c r="B6" s="24">
        <v>1</v>
      </c>
      <c r="C6" s="48">
        <v>3.2048700270538779</v>
      </c>
      <c r="D6" s="48">
        <v>3.108456814988708</v>
      </c>
      <c r="E6" s="48">
        <v>3.0113573283194555</v>
      </c>
    </row>
    <row r="7" spans="1:10" x14ac:dyDescent="0.25">
      <c r="A7" s="9" t="s">
        <v>8</v>
      </c>
      <c r="B7" s="59">
        <v>2</v>
      </c>
      <c r="C7" s="16">
        <v>2.7543077582098752</v>
      </c>
      <c r="D7" s="16">
        <v>2.5614813340795353</v>
      </c>
      <c r="E7" s="16">
        <v>2.3672823607410303</v>
      </c>
    </row>
    <row r="8" spans="1:10" x14ac:dyDescent="0.25">
      <c r="A8" s="9" t="s">
        <v>8</v>
      </c>
      <c r="B8" s="59">
        <v>4</v>
      </c>
      <c r="C8" s="16">
        <v>2.5642943316329809</v>
      </c>
      <c r="D8" s="16">
        <v>2.06753037226119</v>
      </c>
      <c r="E8" s="16">
        <v>1.6791324255841789</v>
      </c>
    </row>
    <row r="9" spans="1:10" x14ac:dyDescent="0.25">
      <c r="A9" s="10" t="s">
        <v>8</v>
      </c>
      <c r="B9" s="60">
        <v>6</v>
      </c>
      <c r="C9" s="17">
        <v>2.7298364606116414</v>
      </c>
      <c r="D9" s="17">
        <v>2.1513571882206222</v>
      </c>
      <c r="E9" s="17">
        <v>1.5687602682051056</v>
      </c>
    </row>
    <row r="10" spans="1:10" x14ac:dyDescent="0.25">
      <c r="A10" s="62" t="s">
        <v>9</v>
      </c>
      <c r="B10" s="61">
        <v>1</v>
      </c>
      <c r="C10" s="48">
        <v>3.2497899073347574</v>
      </c>
      <c r="D10" s="48">
        <v>3.1389161219991832</v>
      </c>
      <c r="E10" s="48">
        <v>3.0215999641865876</v>
      </c>
    </row>
    <row r="11" spans="1:10" x14ac:dyDescent="0.25">
      <c r="A11" s="9" t="s">
        <v>9</v>
      </c>
      <c r="B11" s="59">
        <v>2</v>
      </c>
      <c r="C11" s="16">
        <v>3.0663697409938564</v>
      </c>
      <c r="D11" s="16">
        <v>2.844622170322709</v>
      </c>
      <c r="E11" s="16">
        <v>2.6099898546975169</v>
      </c>
    </row>
    <row r="12" spans="1:10" x14ac:dyDescent="0.25">
      <c r="A12" s="9" t="s">
        <v>9</v>
      </c>
      <c r="B12" s="59">
        <v>4</v>
      </c>
      <c r="C12" s="16">
        <v>2.7439738527564987</v>
      </c>
      <c r="D12" s="16">
        <v>2.3004787114142031</v>
      </c>
      <c r="E12" s="16">
        <v>1.831214080163819</v>
      </c>
    </row>
    <row r="13" spans="1:10" x14ac:dyDescent="0.25">
      <c r="A13" s="10" t="s">
        <v>9</v>
      </c>
      <c r="B13" s="60">
        <v>6</v>
      </c>
      <c r="C13" s="17">
        <v>2.9993557422969186</v>
      </c>
      <c r="D13" s="17">
        <v>2.3341130302834747</v>
      </c>
      <c r="E13" s="17">
        <v>1.6302160834078991</v>
      </c>
      <c r="J13" s="63"/>
    </row>
    <row r="20" spans="9:9" x14ac:dyDescent="0.25">
      <c r="I20" s="63"/>
    </row>
  </sheetData>
  <conditionalFormatting sqref="C2:E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C99D-D9B0-4559-8B88-5D92AEC9A08C}">
  <dimension ref="A1:C11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127</v>
      </c>
    </row>
    <row r="2" spans="1:3" x14ac:dyDescent="0.25">
      <c r="A2" s="64" t="s">
        <v>45</v>
      </c>
    </row>
    <row r="3" spans="1:3" x14ac:dyDescent="0.25">
      <c r="A3" s="64" t="s">
        <v>122</v>
      </c>
    </row>
    <row r="4" spans="1:3" x14ac:dyDescent="0.25">
      <c r="A4" s="64" t="s">
        <v>123</v>
      </c>
    </row>
    <row r="11" spans="1:3" x14ac:dyDescent="0.25">
      <c r="C11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AHP (1) - Dados</vt:lpstr>
      <vt:lpstr>AHP (1) - Conforto</vt:lpstr>
      <vt:lpstr>AHP (1) - Matriz Critérios</vt:lpstr>
      <vt:lpstr>AHP (1) - Matriz Subcritérios E</vt:lpstr>
      <vt:lpstr>AHP (1) - Matriz Subcritérios S</vt:lpstr>
      <vt:lpstr>AHP (1) - Matriz Subcritérios A</vt:lpstr>
      <vt:lpstr>AHP (1) - Matriz dos Pesos</vt:lpstr>
      <vt:lpstr>AHP (1) - Normalização Dados</vt:lpstr>
      <vt:lpstr>AHP (1) - Agregação Dados</vt:lpstr>
      <vt:lpstr>Disponibilidade</vt:lpstr>
      <vt:lpstr>Frequencias</vt:lpstr>
      <vt:lpstr>Linhas</vt:lpstr>
      <vt:lpstr>Custos</vt:lpstr>
      <vt:lpstr>Tecnologia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Azevedo Caetano</dc:creator>
  <cp:lastModifiedBy>Arthur Santana da Silva</cp:lastModifiedBy>
  <dcterms:created xsi:type="dcterms:W3CDTF">2024-01-05T13:23:03Z</dcterms:created>
  <dcterms:modified xsi:type="dcterms:W3CDTF">2024-01-21T17:25:22Z</dcterms:modified>
</cp:coreProperties>
</file>