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gard/Documents/"/>
    </mc:Choice>
  </mc:AlternateContent>
  <xr:revisionPtr revIDLastSave="0" documentId="13_ncr:1_{F673CFEC-556E-2742-A5B9-6D3CF0EAEE1F}" xr6:coauthVersionLast="47" xr6:coauthVersionMax="47" xr10:uidLastSave="{00000000-0000-0000-0000-000000000000}"/>
  <bookViews>
    <workbookView xWindow="13580" yWindow="-28300" windowWidth="33080" windowHeight="26660" xr2:uid="{CFE92878-6AEA-0441-875F-9702FA9884C6}"/>
  </bookViews>
  <sheets>
    <sheet name="VolumeExplorer" sheetId="5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5" l="1"/>
  <c r="K16" i="5"/>
  <c r="J17" i="5"/>
  <c r="K17" i="5"/>
  <c r="J18" i="5"/>
  <c r="K18" i="5"/>
  <c r="J24" i="5"/>
  <c r="K24" i="5"/>
  <c r="J82" i="5"/>
  <c r="J139" i="5" s="1"/>
  <c r="K82" i="5"/>
  <c r="K83" i="5" s="1"/>
  <c r="K140" i="5" s="1"/>
  <c r="J84" i="5"/>
  <c r="K84" i="5"/>
  <c r="J91" i="5"/>
  <c r="K91" i="5"/>
  <c r="J110" i="5"/>
  <c r="K110" i="5"/>
  <c r="J141" i="5"/>
  <c r="J142" i="5" s="1"/>
  <c r="K141" i="5"/>
  <c r="K142" i="5" s="1"/>
  <c r="J161" i="5"/>
  <c r="K161" i="5"/>
  <c r="K219" i="5" s="1"/>
  <c r="J162" i="5"/>
  <c r="J220" i="5" s="1"/>
  <c r="J190" i="5"/>
  <c r="K190" i="5"/>
  <c r="J229" i="5"/>
  <c r="K229" i="5"/>
  <c r="I17" i="5"/>
  <c r="I24" i="5"/>
  <c r="I82" i="5"/>
  <c r="I139" i="5" s="1"/>
  <c r="I84" i="5"/>
  <c r="I110" i="5"/>
  <c r="I161" i="5"/>
  <c r="I190" i="5"/>
  <c r="I229" i="5"/>
  <c r="F17" i="5"/>
  <c r="G17" i="5"/>
  <c r="H17" i="5"/>
  <c r="F18" i="5"/>
  <c r="G18" i="5"/>
  <c r="H18" i="5"/>
  <c r="F24" i="5"/>
  <c r="G24" i="5"/>
  <c r="H24" i="5"/>
  <c r="F82" i="5"/>
  <c r="F83" i="5" s="1"/>
  <c r="F140" i="5" s="1"/>
  <c r="G82" i="5"/>
  <c r="G83" i="5" s="1"/>
  <c r="G140" i="5" s="1"/>
  <c r="H82" i="5"/>
  <c r="F84" i="5"/>
  <c r="G84" i="5"/>
  <c r="H84" i="5"/>
  <c r="H91" i="5" s="1"/>
  <c r="F110" i="5"/>
  <c r="G110" i="5"/>
  <c r="H110" i="5"/>
  <c r="H139" i="5"/>
  <c r="F161" i="5"/>
  <c r="F162" i="5" s="1"/>
  <c r="F220" i="5" s="1"/>
  <c r="G161" i="5"/>
  <c r="G162" i="5" s="1"/>
  <c r="G220" i="5" s="1"/>
  <c r="H161" i="5"/>
  <c r="H219" i="5" s="1"/>
  <c r="F190" i="5"/>
  <c r="G190" i="5"/>
  <c r="H190" i="5"/>
  <c r="F229" i="5"/>
  <c r="G229" i="5"/>
  <c r="H229" i="5"/>
  <c r="D16" i="5"/>
  <c r="E16" i="5" s="1"/>
  <c r="F16" i="5" s="1"/>
  <c r="G16" i="5" s="1"/>
  <c r="H16" i="5" s="1"/>
  <c r="I16" i="5" s="1"/>
  <c r="D17" i="5"/>
  <c r="D84" i="5" s="1"/>
  <c r="E17" i="5"/>
  <c r="E84" i="5" s="1"/>
  <c r="D18" i="5"/>
  <c r="E18" i="5"/>
  <c r="D24" i="5"/>
  <c r="E24" i="5"/>
  <c r="D82" i="5"/>
  <c r="D139" i="5" s="1"/>
  <c r="E82" i="5"/>
  <c r="D110" i="5"/>
  <c r="E110" i="5"/>
  <c r="D161" i="5"/>
  <c r="D219" i="5" s="1"/>
  <c r="E161" i="5"/>
  <c r="D190" i="5"/>
  <c r="E190" i="5"/>
  <c r="D229" i="5"/>
  <c r="E229" i="5"/>
  <c r="C229" i="5"/>
  <c r="B229" i="5"/>
  <c r="F10" i="5"/>
  <c r="K8" i="5" s="1"/>
  <c r="C190" i="5"/>
  <c r="B190" i="5"/>
  <c r="C161" i="5"/>
  <c r="C219" i="5" s="1"/>
  <c r="B161" i="5"/>
  <c r="C110" i="5"/>
  <c r="B110" i="5"/>
  <c r="C82" i="5"/>
  <c r="C139" i="5" s="1"/>
  <c r="B82" i="5"/>
  <c r="B139" i="5" s="1"/>
  <c r="C24" i="5"/>
  <c r="B24" i="5"/>
  <c r="B20" i="5"/>
  <c r="B21" i="5" s="1"/>
  <c r="B38" i="5" s="1"/>
  <c r="C17" i="5"/>
  <c r="B17" i="5"/>
  <c r="B84" i="5" s="1"/>
  <c r="C16" i="5"/>
  <c r="C6" i="5"/>
  <c r="I18" i="5" s="1"/>
  <c r="K139" i="5" l="1"/>
  <c r="J83" i="5"/>
  <c r="J140" i="5" s="1"/>
  <c r="H83" i="5"/>
  <c r="H140" i="5" s="1"/>
  <c r="J163" i="5"/>
  <c r="J219" i="5"/>
  <c r="J170" i="5"/>
  <c r="J221" i="5"/>
  <c r="J222" i="5" s="1"/>
  <c r="K162" i="5"/>
  <c r="K220" i="5" s="1"/>
  <c r="G139" i="5"/>
  <c r="F139" i="5"/>
  <c r="E83" i="5"/>
  <c r="E140" i="5" s="1"/>
  <c r="D83" i="5"/>
  <c r="D140" i="5" s="1"/>
  <c r="H141" i="5"/>
  <c r="H142" i="5" s="1"/>
  <c r="E139" i="5"/>
  <c r="E141" i="5"/>
  <c r="E142" i="5" s="1"/>
  <c r="E91" i="5"/>
  <c r="D91" i="5"/>
  <c r="D141" i="5"/>
  <c r="D142" i="5" s="1"/>
  <c r="F163" i="5"/>
  <c r="F221" i="5" s="1"/>
  <c r="F222" i="5" s="1"/>
  <c r="I219" i="5"/>
  <c r="I162" i="5"/>
  <c r="I220" i="5" s="1"/>
  <c r="G163" i="5"/>
  <c r="G170" i="5" s="1"/>
  <c r="G219" i="5"/>
  <c r="D162" i="5"/>
  <c r="D220" i="5" s="1"/>
  <c r="I83" i="5"/>
  <c r="I140" i="5" s="1"/>
  <c r="I141" i="5"/>
  <c r="I142" i="5" s="1"/>
  <c r="I91" i="5"/>
  <c r="H162" i="5"/>
  <c r="H220" i="5" s="1"/>
  <c r="G141" i="5"/>
  <c r="G142" i="5" s="1"/>
  <c r="G91" i="5"/>
  <c r="F219" i="5"/>
  <c r="F141" i="5"/>
  <c r="F142" i="5" s="1"/>
  <c r="F91" i="5"/>
  <c r="E219" i="5"/>
  <c r="E162" i="5"/>
  <c r="E220" i="5" s="1"/>
  <c r="J7" i="5"/>
  <c r="K7" i="5"/>
  <c r="K9" i="5" s="1"/>
  <c r="I7" i="5"/>
  <c r="B35" i="5"/>
  <c r="B37" i="5" s="1"/>
  <c r="B77" i="5"/>
  <c r="B18" i="5"/>
  <c r="B91" i="5" s="1"/>
  <c r="B141" i="5"/>
  <c r="C18" i="5"/>
  <c r="C162" i="5"/>
  <c r="C220" i="5" s="1"/>
  <c r="C83" i="5"/>
  <c r="C140" i="5" s="1"/>
  <c r="C84" i="5"/>
  <c r="B58" i="5"/>
  <c r="B164" i="5"/>
  <c r="B165" i="5"/>
  <c r="B83" i="5"/>
  <c r="B140" i="5" s="1"/>
  <c r="B70" i="5" s="1"/>
  <c r="B219" i="5"/>
  <c r="B162" i="5"/>
  <c r="B220" i="5" s="1"/>
  <c r="B69" i="5" s="1"/>
  <c r="F170" i="5" l="1"/>
  <c r="K163" i="5"/>
  <c r="I163" i="5"/>
  <c r="I170" i="5" s="1"/>
  <c r="B36" i="5"/>
  <c r="B75" i="5" s="1"/>
  <c r="B74" i="5"/>
  <c r="B153" i="5" s="1"/>
  <c r="G221" i="5"/>
  <c r="G222" i="5" s="1"/>
  <c r="I221" i="5"/>
  <c r="I222" i="5" s="1"/>
  <c r="E163" i="5"/>
  <c r="E221" i="5" s="1"/>
  <c r="E222" i="5" s="1"/>
  <c r="D163" i="5"/>
  <c r="H163" i="5"/>
  <c r="E170" i="5"/>
  <c r="B228" i="5"/>
  <c r="B227" i="5"/>
  <c r="C70" i="5"/>
  <c r="D70" i="5" s="1"/>
  <c r="E70" i="5" s="1"/>
  <c r="F70" i="5" s="1"/>
  <c r="G70" i="5" s="1"/>
  <c r="H70" i="5" s="1"/>
  <c r="I70" i="5" s="1"/>
  <c r="J70" i="5" s="1"/>
  <c r="K70" i="5" s="1"/>
  <c r="B163" i="5"/>
  <c r="C141" i="5"/>
  <c r="C142" i="5" s="1"/>
  <c r="C91" i="5"/>
  <c r="B154" i="5"/>
  <c r="B79" i="5"/>
  <c r="B80" i="5"/>
  <c r="B86" i="5" s="1"/>
  <c r="B88" i="5" s="1"/>
  <c r="B89" i="5" s="1"/>
  <c r="C69" i="5"/>
  <c r="D69" i="5" s="1"/>
  <c r="E69" i="5" s="1"/>
  <c r="F69" i="5" s="1"/>
  <c r="G69" i="5" s="1"/>
  <c r="H69" i="5" s="1"/>
  <c r="I69" i="5" s="1"/>
  <c r="J69" i="5" s="1"/>
  <c r="K69" i="5" s="1"/>
  <c r="C163" i="5"/>
  <c r="C221" i="5" s="1"/>
  <c r="C222" i="5" s="1"/>
  <c r="B142" i="5"/>
  <c r="B156" i="5"/>
  <c r="B130" i="5"/>
  <c r="B92" i="5"/>
  <c r="B93" i="5"/>
  <c r="B132" i="5" s="1"/>
  <c r="B98" i="5"/>
  <c r="B177" i="5" s="1"/>
  <c r="B178" i="5" s="1"/>
  <c r="B201" i="5" s="1"/>
  <c r="B186" i="5"/>
  <c r="B76" i="5"/>
  <c r="B155" i="5" s="1"/>
  <c r="B167" i="5"/>
  <c r="K170" i="5" l="1"/>
  <c r="K221" i="5"/>
  <c r="K222" i="5" s="1"/>
  <c r="J164" i="5"/>
  <c r="D170" i="5"/>
  <c r="D221" i="5"/>
  <c r="D222" i="5" s="1"/>
  <c r="H221" i="5"/>
  <c r="H222" i="5" s="1"/>
  <c r="H170" i="5"/>
  <c r="C170" i="5"/>
  <c r="B210" i="5"/>
  <c r="B172" i="5"/>
  <c r="B212" i="5" s="1"/>
  <c r="B158" i="5"/>
  <c r="B168" i="5"/>
  <c r="B159" i="5"/>
  <c r="B100" i="5"/>
  <c r="B101" i="5"/>
  <c r="B104" i="5"/>
  <c r="B94" i="5"/>
  <c r="B95" i="5" s="1"/>
  <c r="B97" i="5" s="1"/>
  <c r="B116" i="5"/>
  <c r="B117" i="5" s="1"/>
  <c r="B85" i="5"/>
  <c r="B221" i="5"/>
  <c r="B222" i="5" s="1"/>
  <c r="B170" i="5"/>
  <c r="B171" i="5" s="1"/>
  <c r="B148" i="5" l="1"/>
  <c r="B103" i="5"/>
  <c r="B42" i="5" s="1"/>
  <c r="B107" i="5"/>
  <c r="B108" i="5" s="1"/>
  <c r="B180" i="5"/>
  <c r="B183" i="5"/>
  <c r="B179" i="5"/>
  <c r="B173" i="5"/>
  <c r="B174" i="5" s="1"/>
  <c r="B176" i="5" s="1"/>
  <c r="B111" i="5"/>
  <c r="B112" i="5" s="1"/>
  <c r="B99" i="5"/>
  <c r="B196" i="5"/>
  <c r="B197" i="5" s="1"/>
  <c r="J228" i="5" l="1"/>
  <c r="B121" i="5"/>
  <c r="B191" i="5"/>
  <c r="B192" i="5" s="1"/>
  <c r="B182" i="5"/>
  <c r="B187" i="5"/>
  <c r="B120" i="5"/>
  <c r="B30" i="5"/>
  <c r="B27" i="5"/>
  <c r="B194" i="5"/>
  <c r="B114" i="5"/>
  <c r="B115" i="5" s="1"/>
  <c r="B118" i="5" s="1"/>
  <c r="B188" i="5" l="1"/>
  <c r="B198" i="5" s="1"/>
  <c r="B205" i="5"/>
  <c r="B122" i="5"/>
  <c r="B123" i="5" s="1"/>
  <c r="B215" i="5"/>
  <c r="B218" i="5"/>
  <c r="B223" i="5" s="1"/>
  <c r="B224" i="5" s="1"/>
  <c r="B225" i="5" s="1"/>
  <c r="B204" i="5" l="1"/>
  <c r="B203" i="5"/>
  <c r="B202" i="5"/>
  <c r="B200" i="5"/>
  <c r="B195" i="5"/>
  <c r="B207" i="5"/>
  <c r="B208" i="5" s="1"/>
  <c r="B209" i="5" s="1"/>
  <c r="B125" i="5"/>
  <c r="B124" i="5"/>
  <c r="B131" i="5" l="1"/>
  <c r="B127" i="5"/>
  <c r="B211" i="5"/>
  <c r="B213" i="5" s="1"/>
  <c r="B214" i="5" s="1"/>
  <c r="B128" i="5" l="1"/>
  <c r="B133" i="5"/>
  <c r="B134" i="5" s="1"/>
  <c r="B135" i="5" s="1"/>
  <c r="B138" i="5"/>
  <c r="B143" i="5" s="1"/>
  <c r="B144" i="5" l="1"/>
  <c r="B145" i="5" s="1"/>
  <c r="B147" i="5" s="1"/>
  <c r="B28" i="5"/>
  <c r="B41" i="5"/>
  <c r="B43" i="5" s="1"/>
  <c r="B129" i="5"/>
  <c r="B45" i="5" l="1"/>
  <c r="B46" i="5" s="1"/>
  <c r="B49" i="5" s="1"/>
  <c r="B47" i="5"/>
  <c r="B56" i="5"/>
  <c r="J227" i="5" l="1"/>
  <c r="J58" i="5"/>
  <c r="B52" i="5"/>
  <c r="B62" i="5" s="1"/>
  <c r="B44" i="5"/>
  <c r="B29" i="5" s="1"/>
  <c r="C20" i="5" s="1"/>
  <c r="C35" i="5" s="1"/>
  <c r="B32" i="5"/>
  <c r="B31" i="5"/>
  <c r="B53" i="5"/>
  <c r="B66" i="5" s="1"/>
  <c r="B50" i="5"/>
  <c r="B61" i="5"/>
  <c r="C21" i="5" l="1"/>
  <c r="C38" i="5" s="1"/>
  <c r="C77" i="5" s="1"/>
  <c r="B55" i="5"/>
  <c r="B63" i="5" s="1"/>
  <c r="B65" i="5"/>
  <c r="B57" i="5"/>
  <c r="B67" i="5" s="1"/>
  <c r="C74" i="5"/>
  <c r="C153" i="5" s="1"/>
  <c r="C37" i="5"/>
  <c r="C36" i="5"/>
  <c r="C75" i="5" s="1"/>
  <c r="B59" i="5" l="1"/>
  <c r="B33" i="5" s="1"/>
  <c r="C156" i="5"/>
  <c r="C130" i="5"/>
  <c r="C93" i="5"/>
  <c r="C132" i="5" s="1"/>
  <c r="C92" i="5"/>
  <c r="C98" i="5"/>
  <c r="C177" i="5" s="1"/>
  <c r="C186" i="5"/>
  <c r="C76" i="5"/>
  <c r="C155" i="5" s="1"/>
  <c r="C154" i="5"/>
  <c r="C79" i="5"/>
  <c r="C80" i="5"/>
  <c r="C86" i="5" s="1"/>
  <c r="C88" i="5" s="1"/>
  <c r="C89" i="5" s="1"/>
  <c r="C116" i="5" l="1"/>
  <c r="C117" i="5" s="1"/>
  <c r="C85" i="5"/>
  <c r="C171" i="5"/>
  <c r="C210" i="5"/>
  <c r="C172" i="5"/>
  <c r="C212" i="5" s="1"/>
  <c r="C158" i="5"/>
  <c r="C159" i="5"/>
  <c r="C165" i="5" s="1"/>
  <c r="C167" i="5" s="1"/>
  <c r="C168" i="5" s="1"/>
  <c r="C104" i="5"/>
  <c r="C94" i="5"/>
  <c r="C95" i="5" s="1"/>
  <c r="C97" i="5" s="1"/>
  <c r="C101" i="5" l="1"/>
  <c r="C100" i="5"/>
  <c r="C103" i="5" s="1"/>
  <c r="C99" i="5"/>
  <c r="C196" i="5"/>
  <c r="C197" i="5" s="1"/>
  <c r="C164" i="5"/>
  <c r="C183" i="5"/>
  <c r="C180" i="5"/>
  <c r="C179" i="5"/>
  <c r="C228" i="5" s="1"/>
  <c r="C173" i="5"/>
  <c r="C174" i="5" s="1"/>
  <c r="C176" i="5" s="1"/>
  <c r="C178" i="5" s="1"/>
  <c r="C201" i="5" s="1"/>
  <c r="C148" i="5" l="1"/>
  <c r="C111" i="5"/>
  <c r="C112" i="5" s="1"/>
  <c r="C107" i="5"/>
  <c r="C191" i="5"/>
  <c r="C192" i="5" s="1"/>
  <c r="C182" i="5"/>
  <c r="C27" i="5" s="1"/>
  <c r="C187" i="5"/>
  <c r="C114" i="5"/>
  <c r="C108" i="5" l="1"/>
  <c r="C42" i="5"/>
  <c r="C188" i="5"/>
  <c r="C198" i="5" s="1"/>
  <c r="C194" i="5"/>
  <c r="C121" i="5" l="1"/>
  <c r="C203" i="5"/>
  <c r="C202" i="5"/>
  <c r="C204" i="5"/>
  <c r="C115" i="5"/>
  <c r="C118" i="5" s="1"/>
  <c r="C200" i="5"/>
  <c r="C120" i="5"/>
  <c r="C122" i="5" s="1"/>
  <c r="C123" i="5" s="1"/>
  <c r="C205" i="5"/>
  <c r="C218" i="5"/>
  <c r="C223" i="5" s="1"/>
  <c r="C224" i="5" s="1"/>
  <c r="C225" i="5" s="1"/>
  <c r="C227" i="5" s="1"/>
  <c r="C195" i="5"/>
  <c r="C30" i="5"/>
  <c r="C125" i="5" l="1"/>
  <c r="C131" i="5" s="1"/>
  <c r="C138" i="5" s="1"/>
  <c r="C124" i="5"/>
  <c r="C127" i="5" l="1"/>
  <c r="C128" i="5" s="1"/>
  <c r="C129" i="5" s="1"/>
  <c r="C211" i="5"/>
  <c r="C207" i="5"/>
  <c r="C133" i="5"/>
  <c r="C134" i="5" s="1"/>
  <c r="C135" i="5" s="1"/>
  <c r="C143" i="5"/>
  <c r="C144" i="5" s="1"/>
  <c r="C145" i="5" s="1"/>
  <c r="C147" i="5" s="1"/>
  <c r="C56" i="5" l="1"/>
  <c r="C208" i="5"/>
  <c r="C213" i="5"/>
  <c r="C214" i="5" s="1"/>
  <c r="C215" i="5" s="1"/>
  <c r="C28" i="5" l="1"/>
  <c r="C41" i="5"/>
  <c r="C43" i="5" s="1"/>
  <c r="C209" i="5"/>
  <c r="C45" i="5" l="1"/>
  <c r="C46" i="5" s="1"/>
  <c r="C58" i="5"/>
  <c r="C52" i="5" l="1"/>
  <c r="C62" i="5" s="1"/>
  <c r="C49" i="5"/>
  <c r="C32" i="5"/>
  <c r="C31" i="5"/>
  <c r="C44" i="5"/>
  <c r="C29" i="5" s="1"/>
  <c r="C47" i="5"/>
  <c r="D20" i="5" l="1"/>
  <c r="D35" i="5" s="1"/>
  <c r="D21" i="5"/>
  <c r="D38" i="5" s="1"/>
  <c r="D77" i="5" s="1"/>
  <c r="C50" i="5"/>
  <c r="C53" i="5"/>
  <c r="C66" i="5" s="1"/>
  <c r="C61" i="5"/>
  <c r="C55" i="5"/>
  <c r="D92" i="5" l="1"/>
  <c r="D98" i="5"/>
  <c r="D177" i="5" s="1"/>
  <c r="D130" i="5"/>
  <c r="D156" i="5"/>
  <c r="D93" i="5"/>
  <c r="D132" i="5" s="1"/>
  <c r="D37" i="5"/>
  <c r="D36" i="5"/>
  <c r="D75" i="5" s="1"/>
  <c r="D74" i="5"/>
  <c r="D153" i="5" s="1"/>
  <c r="C63" i="5"/>
  <c r="C57" i="5"/>
  <c r="C67" i="5" s="1"/>
  <c r="C65" i="5"/>
  <c r="D154" i="5" l="1"/>
  <c r="D79" i="5"/>
  <c r="D80" i="5"/>
  <c r="D86" i="5" s="1"/>
  <c r="D88" i="5" s="1"/>
  <c r="D89" i="5" s="1"/>
  <c r="D186" i="5"/>
  <c r="D76" i="5"/>
  <c r="D155" i="5" s="1"/>
  <c r="D210" i="5"/>
  <c r="D171" i="5"/>
  <c r="D172" i="5"/>
  <c r="D212" i="5" s="1"/>
  <c r="D104" i="5"/>
  <c r="D94" i="5"/>
  <c r="D95" i="5" s="1"/>
  <c r="D97" i="5" s="1"/>
  <c r="C59" i="5"/>
  <c r="C33" i="5" s="1"/>
  <c r="D100" i="5" l="1"/>
  <c r="D111" i="5" s="1"/>
  <c r="D112" i="5" s="1"/>
  <c r="D114" i="5" s="1"/>
  <c r="D101" i="5"/>
  <c r="D99" i="5"/>
  <c r="D183" i="5"/>
  <c r="D173" i="5"/>
  <c r="D174" i="5" s="1"/>
  <c r="D176" i="5" s="1"/>
  <c r="D179" i="5"/>
  <c r="D180" i="5"/>
  <c r="D158" i="5"/>
  <c r="D159" i="5"/>
  <c r="D165" i="5" s="1"/>
  <c r="D167" i="5" s="1"/>
  <c r="D168" i="5" s="1"/>
  <c r="D85" i="5"/>
  <c r="D116" i="5"/>
  <c r="D117" i="5" s="1"/>
  <c r="D164" i="5" l="1"/>
  <c r="D196" i="5"/>
  <c r="D197" i="5" s="1"/>
  <c r="D182" i="5"/>
  <c r="D228" i="5"/>
  <c r="D187" i="5"/>
  <c r="D188" i="5" s="1"/>
  <c r="D203" i="5" s="1"/>
  <c r="D178" i="5"/>
  <c r="D201" i="5" s="1"/>
  <c r="D191" i="5"/>
  <c r="D192" i="5" s="1"/>
  <c r="D194" i="5" s="1"/>
  <c r="D107" i="5"/>
  <c r="D108" i="5" s="1"/>
  <c r="D103" i="5"/>
  <c r="D148" i="5"/>
  <c r="D115" i="5" l="1"/>
  <c r="D118" i="5" s="1"/>
  <c r="D121" i="5"/>
  <c r="D120" i="5"/>
  <c r="D30" i="5"/>
  <c r="D200" i="5"/>
  <c r="D195" i="5"/>
  <c r="D198" i="5"/>
  <c r="D42" i="5"/>
  <c r="D27" i="5"/>
  <c r="D122" i="5" l="1"/>
  <c r="D123" i="5" s="1"/>
  <c r="D125" i="5" s="1"/>
  <c r="D202" i="5"/>
  <c r="D124" i="5" l="1"/>
  <c r="D131" i="5"/>
  <c r="D127" i="5"/>
  <c r="D128" i="5" s="1"/>
  <c r="D129" i="5" s="1"/>
  <c r="D205" i="5"/>
  <c r="D204" i="5"/>
  <c r="D133" i="5" l="1"/>
  <c r="D134" i="5" s="1"/>
  <c r="D135" i="5" s="1"/>
  <c r="D138" i="5"/>
  <c r="D143" i="5" s="1"/>
  <c r="D144" i="5" s="1"/>
  <c r="D145" i="5" s="1"/>
  <c r="D147" i="5" s="1"/>
  <c r="D211" i="5"/>
  <c r="D207" i="5"/>
  <c r="D208" i="5" s="1"/>
  <c r="D209" i="5" s="1"/>
  <c r="D56" i="5" l="1"/>
  <c r="D213" i="5"/>
  <c r="D214" i="5" s="1"/>
  <c r="D215" i="5" s="1"/>
  <c r="D218" i="5"/>
  <c r="D223" i="5" s="1"/>
  <c r="D224" i="5" l="1"/>
  <c r="D225" i="5" s="1"/>
  <c r="D28" i="5"/>
  <c r="D41" i="5"/>
  <c r="D45" i="5" l="1"/>
  <c r="D46" i="5" s="1"/>
  <c r="D43" i="5"/>
  <c r="D47" i="5" s="1"/>
  <c r="D50" i="5" s="1"/>
  <c r="D227" i="5"/>
  <c r="D58" i="5"/>
  <c r="D53" i="5" l="1"/>
  <c r="D66" i="5" s="1"/>
  <c r="D31" i="5"/>
  <c r="D32" i="5"/>
  <c r="D65" i="5"/>
  <c r="D52" i="5"/>
  <c r="D62" i="5" s="1"/>
  <c r="D49" i="5"/>
  <c r="D44" i="5"/>
  <c r="D29" i="5" s="1"/>
  <c r="D57" i="5" l="1"/>
  <c r="D67" i="5" s="1"/>
  <c r="E21" i="5"/>
  <c r="E38" i="5" s="1"/>
  <c r="E20" i="5"/>
  <c r="E35" i="5" s="1"/>
  <c r="D55" i="5"/>
  <c r="D61" i="5"/>
  <c r="E36" i="5" l="1"/>
  <c r="E75" i="5" s="1"/>
  <c r="E37" i="5"/>
  <c r="E74" i="5"/>
  <c r="E153" i="5" s="1"/>
  <c r="D59" i="5"/>
  <c r="D33" i="5" s="1"/>
  <c r="D63" i="5"/>
  <c r="E77" i="5"/>
  <c r="E186" i="5" l="1"/>
  <c r="E76" i="5"/>
  <c r="E155" i="5" s="1"/>
  <c r="E98" i="5"/>
  <c r="E177" i="5" s="1"/>
  <c r="E130" i="5"/>
  <c r="E93" i="5"/>
  <c r="E132" i="5" s="1"/>
  <c r="E156" i="5"/>
  <c r="E92" i="5"/>
  <c r="E79" i="5"/>
  <c r="E80" i="5"/>
  <c r="E86" i="5" s="1"/>
  <c r="E88" i="5" s="1"/>
  <c r="E89" i="5" s="1"/>
  <c r="E154" i="5"/>
  <c r="E116" i="5" l="1"/>
  <c r="E117" i="5" s="1"/>
  <c r="E85" i="5"/>
  <c r="E104" i="5"/>
  <c r="E94" i="5"/>
  <c r="E95" i="5" s="1"/>
  <c r="E97" i="5" s="1"/>
  <c r="E172" i="5"/>
  <c r="E212" i="5" s="1"/>
  <c r="E210" i="5"/>
  <c r="E171" i="5"/>
  <c r="E159" i="5"/>
  <c r="E165" i="5" s="1"/>
  <c r="E167" i="5" s="1"/>
  <c r="E168" i="5" s="1"/>
  <c r="E158" i="5"/>
  <c r="E180" i="5" l="1"/>
  <c r="E179" i="5"/>
  <c r="E173" i="5"/>
  <c r="E174" i="5" s="1"/>
  <c r="E176" i="5" s="1"/>
  <c r="E183" i="5"/>
  <c r="E101" i="5"/>
  <c r="E99" i="5"/>
  <c r="E100" i="5"/>
  <c r="E196" i="5"/>
  <c r="E197" i="5" s="1"/>
  <c r="E164" i="5"/>
  <c r="E182" i="5" l="1"/>
  <c r="E228" i="5"/>
  <c r="E187" i="5"/>
  <c r="E188" i="5" s="1"/>
  <c r="E178" i="5"/>
  <c r="E201" i="5" s="1"/>
  <c r="E191" i="5"/>
  <c r="E192" i="5" s="1"/>
  <c r="E194" i="5" s="1"/>
  <c r="E111" i="5"/>
  <c r="E112" i="5" s="1"/>
  <c r="E114" i="5" s="1"/>
  <c r="E103" i="5"/>
  <c r="E148" i="5"/>
  <c r="E107" i="5"/>
  <c r="E108" i="5" s="1"/>
  <c r="E115" i="5" l="1"/>
  <c r="E118" i="5" s="1"/>
  <c r="E121" i="5"/>
  <c r="E120" i="5"/>
  <c r="E30" i="5"/>
  <c r="E195" i="5"/>
  <c r="E198" i="5"/>
  <c r="E200" i="5"/>
  <c r="E202" i="5" s="1"/>
  <c r="E203" i="5"/>
  <c r="E204" i="5" s="1"/>
  <c r="E205" i="5"/>
  <c r="E211" i="5" s="1"/>
  <c r="E213" i="5" s="1"/>
  <c r="E214" i="5" s="1"/>
  <c r="E215" i="5" s="1"/>
  <c r="E42" i="5"/>
  <c r="E27" i="5"/>
  <c r="E218" i="5" l="1"/>
  <c r="E223" i="5" s="1"/>
  <c r="E224" i="5" s="1"/>
  <c r="E225" i="5" s="1"/>
  <c r="E207" i="5"/>
  <c r="E208" i="5" s="1"/>
  <c r="E122" i="5"/>
  <c r="E123" i="5" s="1"/>
  <c r="E125" i="5" s="1"/>
  <c r="E124" i="5" l="1"/>
  <c r="E131" i="5"/>
  <c r="E127" i="5"/>
  <c r="E128" i="5" s="1"/>
  <c r="E129" i="5" s="1"/>
  <c r="E209" i="5"/>
  <c r="E58" i="5"/>
  <c r="E227" i="5"/>
  <c r="E133" i="5" l="1"/>
  <c r="E134" i="5" s="1"/>
  <c r="E135" i="5" s="1"/>
  <c r="E138" i="5"/>
  <c r="E143" i="5" s="1"/>
  <c r="E144" i="5" l="1"/>
  <c r="E145" i="5" s="1"/>
  <c r="E147" i="5" s="1"/>
  <c r="E28" i="5"/>
  <c r="E41" i="5"/>
  <c r="E43" i="5" l="1"/>
  <c r="E47" i="5" s="1"/>
  <c r="E45" i="5"/>
  <c r="E46" i="5" s="1"/>
  <c r="E56" i="5"/>
  <c r="E44" i="5" l="1"/>
  <c r="E29" i="5" s="1"/>
  <c r="F21" i="5" s="1"/>
  <c r="F38" i="5" s="1"/>
  <c r="F77" i="5" s="1"/>
  <c r="E31" i="5"/>
  <c r="E32" i="5"/>
  <c r="E52" i="5"/>
  <c r="E62" i="5" s="1"/>
  <c r="E49" i="5"/>
  <c r="E50" i="5"/>
  <c r="E53" i="5"/>
  <c r="E66" i="5" s="1"/>
  <c r="F20" i="5" l="1"/>
  <c r="F35" i="5" s="1"/>
  <c r="F37" i="5" s="1"/>
  <c r="E57" i="5"/>
  <c r="E67" i="5" s="1"/>
  <c r="E65" i="5"/>
  <c r="E61" i="5"/>
  <c r="E55" i="5"/>
  <c r="F92" i="5"/>
  <c r="F130" i="5"/>
  <c r="F93" i="5"/>
  <c r="F132" i="5" s="1"/>
  <c r="F156" i="5"/>
  <c r="F98" i="5"/>
  <c r="F177" i="5" s="1"/>
  <c r="F36" i="5" l="1"/>
  <c r="F75" i="5" s="1"/>
  <c r="F74" i="5"/>
  <c r="F153" i="5" s="1"/>
  <c r="F94" i="5"/>
  <c r="F95" i="5" s="1"/>
  <c r="F97" i="5" s="1"/>
  <c r="F104" i="5"/>
  <c r="E59" i="5"/>
  <c r="E33" i="5" s="1"/>
  <c r="E63" i="5"/>
  <c r="F154" i="5"/>
  <c r="F76" i="5"/>
  <c r="F155" i="5" s="1"/>
  <c r="F186" i="5"/>
  <c r="F210" i="5"/>
  <c r="F171" i="5"/>
  <c r="F172" i="5"/>
  <c r="F212" i="5" s="1"/>
  <c r="F79" i="5" l="1"/>
  <c r="F85" i="5" s="1"/>
  <c r="F80" i="5"/>
  <c r="F86" i="5" s="1"/>
  <c r="F88" i="5" s="1"/>
  <c r="F89" i="5" s="1"/>
  <c r="F158" i="5"/>
  <c r="F159" i="5"/>
  <c r="F165" i="5" s="1"/>
  <c r="F167" i="5" s="1"/>
  <c r="F168" i="5" s="1"/>
  <c r="F183" i="5"/>
  <c r="F179" i="5"/>
  <c r="F180" i="5"/>
  <c r="F173" i="5"/>
  <c r="F174" i="5" s="1"/>
  <c r="F176" i="5" s="1"/>
  <c r="F99" i="5"/>
  <c r="F100" i="5"/>
  <c r="F101" i="5"/>
  <c r="F116" i="5" l="1"/>
  <c r="F117" i="5" s="1"/>
  <c r="F107" i="5"/>
  <c r="F108" i="5" s="1"/>
  <c r="F103" i="5"/>
  <c r="F148" i="5"/>
  <c r="F178" i="5"/>
  <c r="F201" i="5" s="1"/>
  <c r="F191" i="5"/>
  <c r="F192" i="5" s="1"/>
  <c r="F194" i="5" s="1"/>
  <c r="F182" i="5"/>
  <c r="F187" i="5"/>
  <c r="F188" i="5" s="1"/>
  <c r="F228" i="5"/>
  <c r="F111" i="5"/>
  <c r="F112" i="5" s="1"/>
  <c r="F114" i="5" s="1"/>
  <c r="F196" i="5"/>
  <c r="F197" i="5" s="1"/>
  <c r="F164" i="5"/>
  <c r="F198" i="5" l="1"/>
  <c r="F30" i="5"/>
  <c r="F195" i="5"/>
  <c r="F200" i="5"/>
  <c r="F27" i="5"/>
  <c r="F42" i="5"/>
  <c r="F121" i="5"/>
  <c r="F115" i="5"/>
  <c r="F118" i="5" s="1"/>
  <c r="F120" i="5"/>
  <c r="F122" i="5" l="1"/>
  <c r="F123" i="5" s="1"/>
  <c r="F124" i="5" s="1"/>
  <c r="F202" i="5"/>
  <c r="F203" i="5" s="1"/>
  <c r="F125" i="5" l="1"/>
  <c r="F131" i="5" s="1"/>
  <c r="F205" i="5"/>
  <c r="F204" i="5"/>
  <c r="F127" i="5" l="1"/>
  <c r="F128" i="5" s="1"/>
  <c r="F129" i="5" s="1"/>
  <c r="F133" i="5"/>
  <c r="F134" i="5" s="1"/>
  <c r="F135" i="5" s="1"/>
  <c r="F138" i="5"/>
  <c r="F143" i="5" s="1"/>
  <c r="F144" i="5" s="1"/>
  <c r="F145" i="5" s="1"/>
  <c r="F147" i="5" s="1"/>
  <c r="F211" i="5"/>
  <c r="F207" i="5"/>
  <c r="F56" i="5" l="1"/>
  <c r="F208" i="5"/>
  <c r="F213" i="5"/>
  <c r="F214" i="5" s="1"/>
  <c r="F215" i="5" s="1"/>
  <c r="F218" i="5"/>
  <c r="F223" i="5" s="1"/>
  <c r="F28" i="5" l="1"/>
  <c r="F224" i="5"/>
  <c r="F225" i="5" s="1"/>
  <c r="F41" i="5"/>
  <c r="F209" i="5"/>
  <c r="F43" i="5" l="1"/>
  <c r="F47" i="5" s="1"/>
  <c r="F50" i="5" s="1"/>
  <c r="F45" i="5"/>
  <c r="F46" i="5" s="1"/>
  <c r="F227" i="5"/>
  <c r="F58" i="5"/>
  <c r="F44" i="5" l="1"/>
  <c r="F29" i="5" s="1"/>
  <c r="G21" i="5" s="1"/>
  <c r="G38" i="5" s="1"/>
  <c r="G77" i="5" s="1"/>
  <c r="F53" i="5"/>
  <c r="F66" i="5" s="1"/>
  <c r="F31" i="5"/>
  <c r="F32" i="5"/>
  <c r="F52" i="5"/>
  <c r="F62" i="5" s="1"/>
  <c r="F49" i="5"/>
  <c r="F65" i="5"/>
  <c r="G20" i="5" l="1"/>
  <c r="G35" i="5" s="1"/>
  <c r="G36" i="5" s="1"/>
  <c r="G75" i="5" s="1"/>
  <c r="F57" i="5"/>
  <c r="F67" i="5" s="1"/>
  <c r="F61" i="5"/>
  <c r="F55" i="5"/>
  <c r="G98" i="5"/>
  <c r="G177" i="5" s="1"/>
  <c r="G156" i="5"/>
  <c r="G92" i="5"/>
  <c r="G93" i="5"/>
  <c r="G132" i="5" s="1"/>
  <c r="G130" i="5"/>
  <c r="G37" i="5" l="1"/>
  <c r="G74" i="5"/>
  <c r="G153" i="5" s="1"/>
  <c r="G104" i="5"/>
  <c r="G94" i="5"/>
  <c r="G95" i="5" s="1"/>
  <c r="G97" i="5" s="1"/>
  <c r="G76" i="5"/>
  <c r="G155" i="5" s="1"/>
  <c r="G186" i="5"/>
  <c r="G154" i="5"/>
  <c r="G79" i="5"/>
  <c r="G80" i="5"/>
  <c r="G86" i="5" s="1"/>
  <c r="G88" i="5" s="1"/>
  <c r="G89" i="5" s="1"/>
  <c r="F59" i="5"/>
  <c r="F33" i="5" s="1"/>
  <c r="F63" i="5"/>
  <c r="G172" i="5"/>
  <c r="G212" i="5" s="1"/>
  <c r="G210" i="5"/>
  <c r="G171" i="5"/>
  <c r="G116" i="5" l="1"/>
  <c r="G117" i="5" s="1"/>
  <c r="G85" i="5"/>
  <c r="G158" i="5"/>
  <c r="G159" i="5"/>
  <c r="G165" i="5" s="1"/>
  <c r="G167" i="5" s="1"/>
  <c r="G168" i="5" s="1"/>
  <c r="G179" i="5"/>
  <c r="G183" i="5"/>
  <c r="G173" i="5"/>
  <c r="G174" i="5" s="1"/>
  <c r="G176" i="5" s="1"/>
  <c r="G180" i="5"/>
  <c r="G100" i="5"/>
  <c r="G99" i="5"/>
  <c r="G101" i="5"/>
  <c r="G228" i="5" l="1"/>
  <c r="G182" i="5"/>
  <c r="G187" i="5"/>
  <c r="G188" i="5" s="1"/>
  <c r="G196" i="5"/>
  <c r="G197" i="5" s="1"/>
  <c r="G164" i="5"/>
  <c r="G111" i="5"/>
  <c r="G112" i="5" s="1"/>
  <c r="G114" i="5" s="1"/>
  <c r="G103" i="5"/>
  <c r="G107" i="5"/>
  <c r="G108" i="5" s="1"/>
  <c r="G148" i="5"/>
  <c r="G191" i="5"/>
  <c r="G192" i="5" s="1"/>
  <c r="G194" i="5" s="1"/>
  <c r="G178" i="5"/>
  <c r="G201" i="5" s="1"/>
  <c r="G120" i="5" l="1"/>
  <c r="G115" i="5"/>
  <c r="G118" i="5" s="1"/>
  <c r="G121" i="5"/>
  <c r="G200" i="5"/>
  <c r="G198" i="5"/>
  <c r="G30" i="5"/>
  <c r="G195" i="5"/>
  <c r="G42" i="5"/>
  <c r="G27" i="5"/>
  <c r="G122" i="5" l="1"/>
  <c r="G123" i="5"/>
  <c r="G124" i="5" s="1"/>
  <c r="G202" i="5"/>
  <c r="G203" i="5" s="1"/>
  <c r="G125" i="5" l="1"/>
  <c r="G131" i="5" s="1"/>
  <c r="G204" i="5"/>
  <c r="G205" i="5"/>
  <c r="G127" i="5" l="1"/>
  <c r="G128" i="5" s="1"/>
  <c r="G129" i="5" s="1"/>
  <c r="G133" i="5"/>
  <c r="G134" i="5" s="1"/>
  <c r="G135" i="5" s="1"/>
  <c r="G138" i="5"/>
  <c r="G143" i="5" s="1"/>
  <c r="G144" i="5" s="1"/>
  <c r="G145" i="5" s="1"/>
  <c r="G147" i="5" s="1"/>
  <c r="G211" i="5"/>
  <c r="G207" i="5"/>
  <c r="G208" i="5" s="1"/>
  <c r="G209" i="5" s="1"/>
  <c r="G56" i="5" l="1"/>
  <c r="G218" i="5"/>
  <c r="G223" i="5" s="1"/>
  <c r="G213" i="5"/>
  <c r="G214" i="5" s="1"/>
  <c r="G215" i="5" s="1"/>
  <c r="G28" i="5" l="1"/>
  <c r="G41" i="5"/>
  <c r="G224" i="5"/>
  <c r="G225" i="5" s="1"/>
  <c r="G58" i="5" l="1"/>
  <c r="G227" i="5"/>
  <c r="G43" i="5"/>
  <c r="G47" i="5" s="1"/>
  <c r="G50" i="5" s="1"/>
  <c r="G45" i="5"/>
  <c r="G46" i="5" s="1"/>
  <c r="G44" i="5" l="1"/>
  <c r="G29" i="5" s="1"/>
  <c r="H21" i="5" s="1"/>
  <c r="H38" i="5" s="1"/>
  <c r="H77" i="5" s="1"/>
  <c r="G53" i="5"/>
  <c r="G66" i="5" s="1"/>
  <c r="G52" i="5"/>
  <c r="G62" i="5" s="1"/>
  <c r="G49" i="5"/>
  <c r="G65" i="5"/>
  <c r="G31" i="5"/>
  <c r="G32" i="5"/>
  <c r="H20" i="5" l="1"/>
  <c r="H35" i="5" s="1"/>
  <c r="H37" i="5" s="1"/>
  <c r="G57" i="5"/>
  <c r="G67" i="5" s="1"/>
  <c r="G55" i="5"/>
  <c r="G61" i="5"/>
  <c r="H92" i="5"/>
  <c r="H130" i="5"/>
  <c r="H156" i="5"/>
  <c r="H93" i="5"/>
  <c r="H132" i="5" s="1"/>
  <c r="H98" i="5"/>
  <c r="H177" i="5" s="1"/>
  <c r="H36" i="5" l="1"/>
  <c r="H75" i="5" s="1"/>
  <c r="H74" i="5"/>
  <c r="H153" i="5" s="1"/>
  <c r="H172" i="5"/>
  <c r="H212" i="5" s="1"/>
  <c r="H210" i="5"/>
  <c r="H171" i="5"/>
  <c r="H104" i="5"/>
  <c r="H94" i="5"/>
  <c r="H95" i="5" s="1"/>
  <c r="H97" i="5" s="1"/>
  <c r="H186" i="5"/>
  <c r="H76" i="5"/>
  <c r="H155" i="5" s="1"/>
  <c r="G59" i="5"/>
  <c r="G33" i="5" s="1"/>
  <c r="G63" i="5"/>
  <c r="H79" i="5" l="1"/>
  <c r="H154" i="5"/>
  <c r="H80" i="5"/>
  <c r="H86" i="5" s="1"/>
  <c r="H88" i="5" s="1"/>
  <c r="H89" i="5" s="1"/>
  <c r="H158" i="5"/>
  <c r="H159" i="5"/>
  <c r="H165" i="5" s="1"/>
  <c r="H167" i="5" s="1"/>
  <c r="H168" i="5" s="1"/>
  <c r="H99" i="5"/>
  <c r="H101" i="5"/>
  <c r="H100" i="5"/>
  <c r="H111" i="5" s="1"/>
  <c r="H112" i="5" s="1"/>
  <c r="H114" i="5" s="1"/>
  <c r="H179" i="5"/>
  <c r="H180" i="5"/>
  <c r="H183" i="5"/>
  <c r="H173" i="5"/>
  <c r="H174" i="5" s="1"/>
  <c r="H176" i="5" s="1"/>
  <c r="H116" i="5" l="1"/>
  <c r="H117" i="5" s="1"/>
  <c r="H85" i="5"/>
  <c r="H182" i="5"/>
  <c r="H228" i="5"/>
  <c r="H187" i="5"/>
  <c r="H188" i="5" s="1"/>
  <c r="H148" i="5"/>
  <c r="H103" i="5"/>
  <c r="H107" i="5"/>
  <c r="H108" i="5" s="1"/>
  <c r="H178" i="5"/>
  <c r="H201" i="5" s="1"/>
  <c r="H191" i="5"/>
  <c r="H192" i="5" s="1"/>
  <c r="H194" i="5" s="1"/>
  <c r="H196" i="5"/>
  <c r="H197" i="5" s="1"/>
  <c r="H164" i="5"/>
  <c r="H120" i="5" l="1"/>
  <c r="H115" i="5"/>
  <c r="H118" i="5" s="1"/>
  <c r="H121" i="5"/>
  <c r="H30" i="5"/>
  <c r="H195" i="5"/>
  <c r="H200" i="5"/>
  <c r="H198" i="5"/>
  <c r="H202" i="5"/>
  <c r="H203" i="5" s="1"/>
  <c r="H204" i="5"/>
  <c r="H205" i="5"/>
  <c r="H211" i="5" s="1"/>
  <c r="H213" i="5" s="1"/>
  <c r="H214" i="5" s="1"/>
  <c r="H215" i="5" s="1"/>
  <c r="H42" i="5"/>
  <c r="H27" i="5"/>
  <c r="H122" i="5" l="1"/>
  <c r="H123" i="5" s="1"/>
  <c r="H218" i="5"/>
  <c r="H223" i="5" s="1"/>
  <c r="H224" i="5" s="1"/>
  <c r="H225" i="5" s="1"/>
  <c r="H207" i="5"/>
  <c r="H208" i="5" s="1"/>
  <c r="H209" i="5" s="1"/>
  <c r="H125" i="5" l="1"/>
  <c r="H124" i="5"/>
  <c r="H58" i="5"/>
  <c r="H227" i="5"/>
  <c r="B149" i="5"/>
  <c r="H131" i="5" l="1"/>
  <c r="H127" i="5"/>
  <c r="H128" i="5" s="1"/>
  <c r="H129" i="5" s="1"/>
  <c r="C149" i="5"/>
  <c r="D149" i="5" s="1"/>
  <c r="E149" i="5" s="1"/>
  <c r="F149" i="5" s="1"/>
  <c r="G149" i="5" s="1"/>
  <c r="H149" i="5" s="1"/>
  <c r="I149" i="5" s="1"/>
  <c r="J149" i="5" s="1"/>
  <c r="K149" i="5" s="1"/>
  <c r="H133" i="5" l="1"/>
  <c r="H134" i="5" s="1"/>
  <c r="H135" i="5" s="1"/>
  <c r="H138" i="5"/>
  <c r="H143" i="5" s="1"/>
  <c r="H144" i="5" l="1"/>
  <c r="H145" i="5" s="1"/>
  <c r="H147" i="5" s="1"/>
  <c r="H28" i="5"/>
  <c r="H41" i="5"/>
  <c r="H43" i="5" l="1"/>
  <c r="H47" i="5" s="1"/>
  <c r="H45" i="5"/>
  <c r="H46" i="5" s="1"/>
  <c r="H49" i="5" s="1"/>
  <c r="H56" i="5"/>
  <c r="H52" i="5" l="1"/>
  <c r="H62" i="5" s="1"/>
  <c r="H31" i="5"/>
  <c r="H32" i="5"/>
  <c r="H44" i="5"/>
  <c r="H29" i="5" s="1"/>
  <c r="H61" i="5"/>
  <c r="H50" i="5"/>
  <c r="H53" i="5"/>
  <c r="H66" i="5" s="1"/>
  <c r="I20" i="5" l="1"/>
  <c r="I35" i="5" s="1"/>
  <c r="I21" i="5"/>
  <c r="I38" i="5" s="1"/>
  <c r="I77" i="5" s="1"/>
  <c r="H65" i="5"/>
  <c r="H57" i="5"/>
  <c r="H67" i="5" s="1"/>
  <c r="H55" i="5"/>
  <c r="I93" i="5" l="1"/>
  <c r="I132" i="5" s="1"/>
  <c r="I156" i="5"/>
  <c r="I92" i="5"/>
  <c r="I98" i="5"/>
  <c r="I177" i="5" s="1"/>
  <c r="I130" i="5"/>
  <c r="I36" i="5"/>
  <c r="I75" i="5" s="1"/>
  <c r="I74" i="5"/>
  <c r="I153" i="5" s="1"/>
  <c r="I37" i="5"/>
  <c r="H63" i="5"/>
  <c r="H59" i="5"/>
  <c r="H33" i="5" s="1"/>
  <c r="I76" i="5" l="1"/>
  <c r="I155" i="5" s="1"/>
  <c r="I186" i="5"/>
  <c r="I154" i="5"/>
  <c r="I79" i="5"/>
  <c r="I80" i="5"/>
  <c r="I86" i="5" s="1"/>
  <c r="I88" i="5" s="1"/>
  <c r="I89" i="5" s="1"/>
  <c r="I94" i="5"/>
  <c r="I95" i="5" s="1"/>
  <c r="I97" i="5" s="1"/>
  <c r="I104" i="5"/>
  <c r="I172" i="5"/>
  <c r="I212" i="5" s="1"/>
  <c r="I210" i="5"/>
  <c r="I171" i="5"/>
  <c r="I179" i="5" l="1"/>
  <c r="I228" i="5" s="1"/>
  <c r="I183" i="5"/>
  <c r="I180" i="5"/>
  <c r="I173" i="5"/>
  <c r="I174" i="5" s="1"/>
  <c r="I176" i="5" s="1"/>
  <c r="I178" i="5" s="1"/>
  <c r="I201" i="5" s="1"/>
  <c r="I99" i="5"/>
  <c r="I100" i="5"/>
  <c r="I101" i="5"/>
  <c r="I111" i="5"/>
  <c r="I112" i="5" s="1"/>
  <c r="I114" i="5" s="1"/>
  <c r="I116" i="5"/>
  <c r="I117" i="5" s="1"/>
  <c r="I85" i="5"/>
  <c r="I158" i="5"/>
  <c r="I164" i="5" s="1"/>
  <c r="I159" i="5"/>
  <c r="I165" i="5" s="1"/>
  <c r="I167" i="5" s="1"/>
  <c r="I168" i="5" s="1"/>
  <c r="I191" i="5" l="1"/>
  <c r="I192" i="5" s="1"/>
  <c r="I194" i="5" s="1"/>
  <c r="I103" i="5"/>
  <c r="I148" i="5"/>
  <c r="I107" i="5"/>
  <c r="I108" i="5" s="1"/>
  <c r="I196" i="5"/>
  <c r="I197" i="5" s="1"/>
  <c r="I187" i="5"/>
  <c r="I188" i="5" s="1"/>
  <c r="I182" i="5"/>
  <c r="I195" i="5" l="1"/>
  <c r="I198" i="5"/>
  <c r="I200" i="5"/>
  <c r="I202" i="5" s="1"/>
  <c r="I203" i="5" s="1"/>
  <c r="I205" i="5" s="1"/>
  <c r="I120" i="5"/>
  <c r="I115" i="5"/>
  <c r="I118" i="5" s="1"/>
  <c r="I30" i="5"/>
  <c r="I121" i="5"/>
  <c r="I27" i="5"/>
  <c r="I42" i="5"/>
  <c r="F7" i="5" s="1"/>
  <c r="I204" i="5" l="1"/>
  <c r="I211" i="5"/>
  <c r="I207" i="5"/>
  <c r="I208" i="5" s="1"/>
  <c r="I209" i="5" s="1"/>
  <c r="I122" i="5"/>
  <c r="I123" i="5" s="1"/>
  <c r="I213" i="5" l="1"/>
  <c r="I214" i="5" s="1"/>
  <c r="I215" i="5" s="1"/>
  <c r="I218" i="5"/>
  <c r="I223" i="5" s="1"/>
  <c r="I224" i="5" s="1"/>
  <c r="I225" i="5" s="1"/>
  <c r="I125" i="5"/>
  <c r="I124" i="5"/>
  <c r="I227" i="5" l="1"/>
  <c r="I58" i="5"/>
  <c r="I131" i="5"/>
  <c r="I127" i="5"/>
  <c r="I128" i="5" l="1"/>
  <c r="I133" i="5"/>
  <c r="I134" i="5" s="1"/>
  <c r="I135" i="5" s="1"/>
  <c r="I138" i="5"/>
  <c r="I143" i="5" s="1"/>
  <c r="I144" i="5" l="1"/>
  <c r="I145" i="5" s="1"/>
  <c r="I147" i="5" s="1"/>
  <c r="I41" i="5"/>
  <c r="I28" i="5"/>
  <c r="I129" i="5"/>
  <c r="I56" i="5" l="1"/>
  <c r="I45" i="5"/>
  <c r="I46" i="5" s="1"/>
  <c r="I49" i="5" s="1"/>
  <c r="I43" i="5"/>
  <c r="I47" i="5" s="1"/>
  <c r="I53" i="5" s="1"/>
  <c r="I66" i="5" s="1"/>
  <c r="I44" i="5" l="1"/>
  <c r="I29" i="5" s="1"/>
  <c r="I52" i="5"/>
  <c r="I62" i="5" s="1"/>
  <c r="I50" i="5"/>
  <c r="I65" i="5" s="1"/>
  <c r="I31" i="5"/>
  <c r="I32" i="5"/>
  <c r="I61" i="5"/>
  <c r="I55" i="5" l="1"/>
  <c r="I57" i="5"/>
  <c r="I67" i="5" s="1"/>
  <c r="J20" i="5"/>
  <c r="J35" i="5" s="1"/>
  <c r="J21" i="5"/>
  <c r="J38" i="5" s="1"/>
  <c r="I59" i="5" l="1"/>
  <c r="I33" i="5" s="1"/>
  <c r="I63" i="5"/>
  <c r="J77" i="5"/>
  <c r="J37" i="5"/>
  <c r="J36" i="5"/>
  <c r="J75" i="5" s="1"/>
  <c r="J74" i="5"/>
  <c r="J153" i="5" s="1"/>
  <c r="J154" i="5" l="1"/>
  <c r="J80" i="5"/>
  <c r="J86" i="5" s="1"/>
  <c r="J88" i="5" s="1"/>
  <c r="J89" i="5" s="1"/>
  <c r="J79" i="5"/>
  <c r="J76" i="5"/>
  <c r="J155" i="5" s="1"/>
  <c r="J186" i="5"/>
  <c r="J92" i="5"/>
  <c r="J98" i="5"/>
  <c r="J177" i="5" s="1"/>
  <c r="J178" i="5" s="1"/>
  <c r="J201" i="5" s="1"/>
  <c r="J130" i="5"/>
  <c r="J156" i="5"/>
  <c r="J93" i="5"/>
  <c r="J132" i="5" s="1"/>
  <c r="J104" i="5" l="1"/>
  <c r="J94" i="5"/>
  <c r="J95" i="5" s="1"/>
  <c r="J97" i="5" s="1"/>
  <c r="J171" i="5"/>
  <c r="J172" i="5"/>
  <c r="J212" i="5" s="1"/>
  <c r="J210" i="5"/>
  <c r="J158" i="5"/>
  <c r="J159" i="5"/>
  <c r="J165" i="5" s="1"/>
  <c r="J167" i="5" s="1"/>
  <c r="J168" i="5" s="1"/>
  <c r="J116" i="5"/>
  <c r="J117" i="5" s="1"/>
  <c r="J85" i="5"/>
  <c r="J196" i="5" l="1"/>
  <c r="J197" i="5" s="1"/>
  <c r="J183" i="5"/>
  <c r="J173" i="5"/>
  <c r="J174" i="5" s="1"/>
  <c r="J176" i="5" s="1"/>
  <c r="J179" i="5"/>
  <c r="J180" i="5"/>
  <c r="J99" i="5"/>
  <c r="J100" i="5"/>
  <c r="J101" i="5"/>
  <c r="J191" i="5" l="1"/>
  <c r="J192" i="5" s="1"/>
  <c r="J194" i="5" s="1"/>
  <c r="J111" i="5"/>
  <c r="J112" i="5" s="1"/>
  <c r="J114" i="5" s="1"/>
  <c r="J148" i="5"/>
  <c r="J103" i="5"/>
  <c r="J107" i="5"/>
  <c r="J108" i="5" s="1"/>
  <c r="J182" i="5"/>
  <c r="J187" i="5"/>
  <c r="J188" i="5" s="1"/>
  <c r="J198" i="5" l="1"/>
  <c r="J200" i="5"/>
  <c r="J202" i="5" s="1"/>
  <c r="J195" i="5"/>
  <c r="J203" i="5"/>
  <c r="J204" i="5"/>
  <c r="J205" i="5"/>
  <c r="J211" i="5" s="1"/>
  <c r="J213" i="5" s="1"/>
  <c r="J214" i="5" s="1"/>
  <c r="J215" i="5" s="1"/>
  <c r="J207" i="5"/>
  <c r="J208" i="5" s="1"/>
  <c r="J209" i="5" s="1"/>
  <c r="J218" i="5"/>
  <c r="J223" i="5" s="1"/>
  <c r="J224" i="5" s="1"/>
  <c r="J225" i="5" s="1"/>
  <c r="J30" i="5"/>
  <c r="J120" i="5"/>
  <c r="J115" i="5"/>
  <c r="J118" i="5" s="1"/>
  <c r="J121" i="5"/>
  <c r="J42" i="5"/>
  <c r="J27" i="5"/>
  <c r="J122" i="5" l="1"/>
  <c r="J123" i="5" s="1"/>
  <c r="J124" i="5" l="1"/>
  <c r="J125" i="5"/>
  <c r="J131" i="5" l="1"/>
  <c r="J127" i="5"/>
  <c r="J128" i="5" l="1"/>
  <c r="J129" i="5" s="1"/>
  <c r="J133" i="5"/>
  <c r="J134" i="5" s="1"/>
  <c r="J135" i="5" s="1"/>
  <c r="J138" i="5"/>
  <c r="J143" i="5" s="1"/>
  <c r="J144" i="5" l="1"/>
  <c r="J145" i="5" s="1"/>
  <c r="J28" i="5"/>
  <c r="J41" i="5"/>
  <c r="J43" i="5" l="1"/>
  <c r="J47" i="5" s="1"/>
  <c r="J45" i="5"/>
  <c r="J46" i="5" s="1"/>
  <c r="J49" i="5" s="1"/>
  <c r="J56" i="5"/>
  <c r="J147" i="5"/>
  <c r="J52" i="5" l="1"/>
  <c r="J62" i="5" s="1"/>
  <c r="J44" i="5"/>
  <c r="J29" i="5" s="1"/>
  <c r="K21" i="5" s="1"/>
  <c r="K38" i="5" s="1"/>
  <c r="J61" i="5"/>
  <c r="J31" i="5"/>
  <c r="J32" i="5"/>
  <c r="J50" i="5"/>
  <c r="J53" i="5"/>
  <c r="J66" i="5" s="1"/>
  <c r="K20" i="5" l="1"/>
  <c r="K35" i="5" s="1"/>
  <c r="K74" i="5" s="1"/>
  <c r="K153" i="5" s="1"/>
  <c r="J55" i="5"/>
  <c r="J57" i="5"/>
  <c r="J67" i="5" s="1"/>
  <c r="J65" i="5"/>
  <c r="K77" i="5"/>
  <c r="J59" i="5" l="1"/>
  <c r="J33" i="5" s="1"/>
  <c r="J63" i="5"/>
  <c r="K37" i="5"/>
  <c r="K186" i="5" s="1"/>
  <c r="K36" i="5"/>
  <c r="K75" i="5" s="1"/>
  <c r="K154" i="5" s="1"/>
  <c r="K92" i="5"/>
  <c r="K98" i="5"/>
  <c r="K177" i="5" s="1"/>
  <c r="K130" i="5"/>
  <c r="K156" i="5"/>
  <c r="K93" i="5"/>
  <c r="K132" i="5" s="1"/>
  <c r="K79" i="5" l="1"/>
  <c r="K85" i="5" s="1"/>
  <c r="K76" i="5"/>
  <c r="K155" i="5" s="1"/>
  <c r="K158" i="5" s="1"/>
  <c r="K80" i="5"/>
  <c r="K86" i="5" s="1"/>
  <c r="K88" i="5" s="1"/>
  <c r="K89" i="5" s="1"/>
  <c r="K104" i="5"/>
  <c r="K94" i="5"/>
  <c r="K95" i="5" s="1"/>
  <c r="K97" i="5" s="1"/>
  <c r="K171" i="5"/>
  <c r="K172" i="5"/>
  <c r="K212" i="5" s="1"/>
  <c r="K210" i="5"/>
  <c r="K159" i="5" l="1"/>
  <c r="K165" i="5" s="1"/>
  <c r="K167" i="5" s="1"/>
  <c r="K168" i="5" s="1"/>
  <c r="K116" i="5"/>
  <c r="K117" i="5" s="1"/>
  <c r="K196" i="5"/>
  <c r="K197" i="5" s="1"/>
  <c r="K164" i="5"/>
  <c r="K183" i="5"/>
  <c r="K173" i="5"/>
  <c r="K174" i="5" s="1"/>
  <c r="K176" i="5" s="1"/>
  <c r="K179" i="5"/>
  <c r="K180" i="5"/>
  <c r="K100" i="5"/>
  <c r="K99" i="5"/>
  <c r="K101" i="5"/>
  <c r="K191" i="5" l="1"/>
  <c r="K192" i="5" s="1"/>
  <c r="K194" i="5" s="1"/>
  <c r="K178" i="5"/>
  <c r="K201" i="5" s="1"/>
  <c r="K148" i="5"/>
  <c r="K103" i="5"/>
  <c r="K107" i="5"/>
  <c r="K108" i="5" s="1"/>
  <c r="K182" i="5"/>
  <c r="K228" i="5"/>
  <c r="K187" i="5"/>
  <c r="K188" i="5" s="1"/>
  <c r="K111" i="5"/>
  <c r="K112" i="5" s="1"/>
  <c r="K114" i="5" s="1"/>
  <c r="K120" i="5" l="1"/>
  <c r="K115" i="5"/>
  <c r="K118" i="5" s="1"/>
  <c r="K122" i="5" s="1"/>
  <c r="K121" i="5"/>
  <c r="K30" i="5"/>
  <c r="K198" i="5"/>
  <c r="K200" i="5"/>
  <c r="K195" i="5"/>
  <c r="K27" i="5"/>
  <c r="K42" i="5"/>
  <c r="K123" i="5" l="1"/>
  <c r="K125" i="5" s="1"/>
  <c r="K124" i="5"/>
  <c r="K202" i="5"/>
  <c r="K203" i="5" s="1"/>
  <c r="K204" i="5" s="1"/>
  <c r="K131" i="5" l="1"/>
  <c r="K127" i="5"/>
  <c r="K128" i="5" s="1"/>
  <c r="K129" i="5" s="1"/>
  <c r="K205" i="5"/>
  <c r="K133" i="5" l="1"/>
  <c r="K134" i="5" s="1"/>
  <c r="K135" i="5" s="1"/>
  <c r="K138" i="5"/>
  <c r="K143" i="5" s="1"/>
  <c r="K144" i="5" s="1"/>
  <c r="K145" i="5" s="1"/>
  <c r="K211" i="5"/>
  <c r="K207" i="5"/>
  <c r="K208" i="5" s="1"/>
  <c r="K209" i="5" s="1"/>
  <c r="K56" i="5" l="1"/>
  <c r="K147" i="5"/>
  <c r="K213" i="5"/>
  <c r="K214" i="5" s="1"/>
  <c r="K215" i="5" s="1"/>
  <c r="K218" i="5"/>
  <c r="K223" i="5" s="1"/>
  <c r="K224" i="5" l="1"/>
  <c r="K225" i="5" s="1"/>
  <c r="K28" i="5"/>
  <c r="K41" i="5"/>
  <c r="K45" i="5" l="1"/>
  <c r="K46" i="5" s="1"/>
  <c r="K43" i="5"/>
  <c r="K47" i="5" s="1"/>
  <c r="K50" i="5" s="1"/>
  <c r="K58" i="5"/>
  <c r="K227" i="5"/>
  <c r="K44" i="5" l="1"/>
  <c r="K29" i="5" s="1"/>
  <c r="K65" i="5"/>
  <c r="K31" i="5"/>
  <c r="C10" i="5" s="1"/>
  <c r="K32" i="5"/>
  <c r="J5" i="5"/>
  <c r="J4" i="5"/>
  <c r="K52" i="5"/>
  <c r="K62" i="5" s="1"/>
  <c r="K49" i="5"/>
  <c r="K53" i="5"/>
  <c r="K66" i="5" s="1"/>
  <c r="K55" i="5" l="1"/>
  <c r="K61" i="5"/>
  <c r="J6" i="5"/>
  <c r="J8" i="5"/>
  <c r="J9" i="5" s="1"/>
  <c r="J10" i="5" s="1"/>
  <c r="K57" i="5"/>
  <c r="K67" i="5" s="1"/>
  <c r="I4" i="5" s="1"/>
  <c r="K63" i="5" l="1"/>
  <c r="I5" i="5" s="1"/>
  <c r="I6" i="5" s="1"/>
  <c r="K59" i="5"/>
  <c r="K33" i="5" s="1"/>
  <c r="I8" i="5" l="1"/>
  <c r="I9" i="5" s="1"/>
  <c r="I10" i="5" s="1"/>
  <c r="C9" i="5" s="1"/>
</calcChain>
</file>

<file path=xl/sharedStrings.xml><?xml version="1.0" encoding="utf-8"?>
<sst xmlns="http://schemas.openxmlformats.org/spreadsheetml/2006/main" count="199" uniqueCount="143">
  <si>
    <t>The Hook of Divine Sandwiches</t>
  </si>
  <si>
    <t>by @ThogardPvP / FastLane Labs</t>
  </si>
  <si>
    <t>Variables</t>
  </si>
  <si>
    <t>Fee</t>
  </si>
  <si>
    <t>L</t>
  </si>
  <si>
    <t>User-Implied CEX P0</t>
  </si>
  <si>
    <t>Pool Effective P</t>
  </si>
  <si>
    <t>User Volume, Y</t>
  </si>
  <si>
    <t>User Volume, X</t>
  </si>
  <si>
    <t>SqrtPEquilibrium</t>
  </si>
  <si>
    <t>SqrtPMax</t>
  </si>
  <si>
    <t>SqrtPMin</t>
  </si>
  <si>
    <t>SqrtP0</t>
  </si>
  <si>
    <t>User Unsafe Surplus</t>
  </si>
  <si>
    <t>User Fee Surplus</t>
  </si>
  <si>
    <t>User Volume, Net of Fees</t>
  </si>
  <si>
    <t>User Volume, Gross</t>
  </si>
  <si>
    <t>User Volume, Fees</t>
  </si>
  <si>
    <t>Implied Surplus ∆SqrtP</t>
  </si>
  <si>
    <t>X Volume, User Expected</t>
  </si>
  <si>
    <t>SqrtP1</t>
  </si>
  <si>
    <t>∆SqrtP</t>
  </si>
  <si>
    <t>CEX P0</t>
  </si>
  <si>
    <t>1/SqrtP0</t>
  </si>
  <si>
    <t>1/SqrtP1</t>
  </si>
  <si>
    <t>∆1/SqrtP</t>
  </si>
  <si>
    <t>Effective P, User</t>
  </si>
  <si>
    <t>Implied Dex SqrtP1</t>
  </si>
  <si>
    <t>Implied CEX SqrtP0</t>
  </si>
  <si>
    <t>Marginal P, User</t>
  </si>
  <si>
    <t>Initial P, User</t>
  </si>
  <si>
    <t>Implied P1</t>
  </si>
  <si>
    <t>Implied SqrtP1</t>
  </si>
  <si>
    <t>User PnL, Y</t>
  </si>
  <si>
    <t>User MV0, Y</t>
  </si>
  <si>
    <t>User MV1, Y</t>
  </si>
  <si>
    <t>Donation Factor, Raw</t>
  </si>
  <si>
    <t>Donation Factor, Adj.</t>
  </si>
  <si>
    <t>Mininum Donation, Y</t>
  </si>
  <si>
    <t>PnL Base, Y</t>
  </si>
  <si>
    <t>Target P</t>
  </si>
  <si>
    <t>∆P for Mitigation</t>
  </si>
  <si>
    <t>∆SqrtP for Mitigation</t>
  </si>
  <si>
    <t xml:space="preserve">Pool Volume, Y, Ex fees </t>
  </si>
  <si>
    <t>Pool Fees, Y</t>
  </si>
  <si>
    <t>Pool Volume, Y</t>
  </si>
  <si>
    <t>Pool Fees Collected, Y</t>
  </si>
  <si>
    <t>Pool X Received</t>
  </si>
  <si>
    <t>SqrtP0a</t>
  </si>
  <si>
    <t>SqrtP0b</t>
  </si>
  <si>
    <t>1/SqrtP0a</t>
  </si>
  <si>
    <t>1/SqrtP0b</t>
  </si>
  <si>
    <t>PnL</t>
  </si>
  <si>
    <t>User X Received</t>
  </si>
  <si>
    <t>Effective Price, User</t>
  </si>
  <si>
    <t>Implied CEX Rate</t>
  </si>
  <si>
    <t>Actual CEX Rate</t>
  </si>
  <si>
    <t>Utilize Frontrun</t>
  </si>
  <si>
    <t>Should Frontrun</t>
  </si>
  <si>
    <t>User Profitable, Actual</t>
  </si>
  <si>
    <t>Results</t>
  </si>
  <si>
    <t>Sandwich Calculations</t>
  </si>
  <si>
    <t>Pool Equilibrium</t>
  </si>
  <si>
    <t>Pool P1</t>
  </si>
  <si>
    <t>PEquilibrium</t>
  </si>
  <si>
    <t>PMax</t>
  </si>
  <si>
    <t xml:space="preserve">PMin </t>
  </si>
  <si>
    <t>P0</t>
  </si>
  <si>
    <t>User Profitable, Sim.</t>
  </si>
  <si>
    <t>Inventory Management</t>
  </si>
  <si>
    <t>∆X, Cache</t>
  </si>
  <si>
    <t>∆Y, Cache</t>
  </si>
  <si>
    <t>∆X, Liquidity</t>
  </si>
  <si>
    <t>∆Y, Liquidity</t>
  </si>
  <si>
    <t>∆X, Total</t>
  </si>
  <si>
    <t>∆X, User</t>
  </si>
  <si>
    <t>∆Y, Total</t>
  </si>
  <si>
    <t>∆Y, User</t>
  </si>
  <si>
    <t>Threshold P0, Adj.</t>
  </si>
  <si>
    <t>Valid Inventory Calcs</t>
  </si>
  <si>
    <t>Valid ∆Inventory</t>
  </si>
  <si>
    <t>Pool P2</t>
  </si>
  <si>
    <t>Y Baseline Calculations</t>
  </si>
  <si>
    <t>Fee Offset Volume, Y</t>
  </si>
  <si>
    <t>Max Safe Volume,Y</t>
  </si>
  <si>
    <t>Target User Volume, Sim.</t>
  </si>
  <si>
    <t>1/SqrtP Equilibrium</t>
  </si>
  <si>
    <t>1/SqrtPMax</t>
  </si>
  <si>
    <t>1/SqrtPMin</t>
  </si>
  <si>
    <t>Fee Offset Volume, X</t>
  </si>
  <si>
    <t>Max Safe Volume,X</t>
  </si>
  <si>
    <t>Implied Surplus ∆1/SqrtP</t>
  </si>
  <si>
    <t>Implied Pool 1/SqrtP1</t>
  </si>
  <si>
    <t>X Baseline Calculations</t>
  </si>
  <si>
    <t>Y Volume, User Expected</t>
  </si>
  <si>
    <t>Implied 1/SqrtP1</t>
  </si>
  <si>
    <t>User MV0, X</t>
  </si>
  <si>
    <t>User MV1, X</t>
  </si>
  <si>
    <t>User PnL, X</t>
  </si>
  <si>
    <t>PnL Base, X</t>
  </si>
  <si>
    <t>Mininum Donation, X</t>
  </si>
  <si>
    <t>∆1/SqrtP for Mitigation</t>
  </si>
  <si>
    <t xml:space="preserve">Pool Volume, X, Ex fees </t>
  </si>
  <si>
    <t>Pool Fees Collected, X</t>
  </si>
  <si>
    <t>Pool Y Received</t>
  </si>
  <si>
    <t>PnL, Y</t>
  </si>
  <si>
    <t>PnL, X</t>
  </si>
  <si>
    <t>Pool Fees, X</t>
  </si>
  <si>
    <t>User Volume, X, Gross</t>
  </si>
  <si>
    <t>Token Swap Base</t>
  </si>
  <si>
    <t>CEX Pf</t>
  </si>
  <si>
    <t>Iteration</t>
  </si>
  <si>
    <t>∆X, Cache, Cumulative</t>
  </si>
  <si>
    <t>∆X, Liquidity, Cumulative</t>
  </si>
  <si>
    <t>∆X, Total, Cumulative</t>
  </si>
  <si>
    <t>∆Y, Cache, Cumulative</t>
  </si>
  <si>
    <t>∆Y, Liquidity, Cumulative</t>
  </si>
  <si>
    <t>∆Y, Total, Cumulative</t>
  </si>
  <si>
    <t>∆Liquidity,  X (Adj.)</t>
  </si>
  <si>
    <t>∆Liquidity, Y (Adj.)</t>
  </si>
  <si>
    <t>Total ∆Y</t>
  </si>
  <si>
    <t>Total ∆X</t>
  </si>
  <si>
    <t>With Hook</t>
  </si>
  <si>
    <t>Without Hook</t>
  </si>
  <si>
    <t>X Fees (User), Cumulative</t>
  </si>
  <si>
    <t>Y Fees (User), Cumulative</t>
  </si>
  <si>
    <t>Hook-Attributed PnL</t>
  </si>
  <si>
    <t>Pmin</t>
  </si>
  <si>
    <t>SqrtP2</t>
  </si>
  <si>
    <t>MV1</t>
  </si>
  <si>
    <t>MV0</t>
  </si>
  <si>
    <t>Reversion Skew</t>
  </si>
  <si>
    <t>PnL Skewed, Y</t>
  </si>
  <si>
    <t>PnL Skewed, X</t>
  </si>
  <si>
    <t>Y0, Inventory</t>
  </si>
  <si>
    <t>X0, Inventory</t>
  </si>
  <si>
    <t>No LP</t>
  </si>
  <si>
    <t>Net PnL vs No LP</t>
  </si>
  <si>
    <t>*P0 is P(StartOfBlock) if ABS(P1-P(StartOfBlock)) &gt; ABS(P1-P(Current)) else P(Current)</t>
  </si>
  <si>
    <t>Pool P0*</t>
  </si>
  <si>
    <t>CEX Pf (Implied)</t>
  </si>
  <si>
    <t>Disincentivized Volume</t>
  </si>
  <si>
    <t>NOTE: Only one token's volume can be submitted per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</si>
</sst>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#,##0.0000_);[Red]\(#,##0.0000\)"/>
    <numFmt numFmtId="168" formatCode="#,##0.00000000_);[Red]\(#,##0.00000000\)"/>
    <numFmt numFmtId="169" formatCode="#,##0.000000_);[Red]\(#,##0.000000\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10" fontId="1" fillId="2" borderId="1" xfId="0" applyNumberFormat="1" applyFont="1" applyFill="1" applyBorder="1"/>
    <xf numFmtId="38" fontId="1" fillId="2" borderId="1" xfId="0" applyNumberFormat="1" applyFont="1" applyFill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38" fontId="1" fillId="0" borderId="1" xfId="0" applyNumberFormat="1" applyFont="1" applyFill="1" applyBorder="1"/>
    <xf numFmtId="0" fontId="1" fillId="0" borderId="0" xfId="0" applyFont="1" applyFill="1" applyBorder="1"/>
    <xf numFmtId="0" fontId="1" fillId="0" borderId="1" xfId="0" applyFont="1" applyFill="1" applyBorder="1"/>
    <xf numFmtId="3" fontId="1" fillId="2" borderId="1" xfId="0" applyNumberFormat="1" applyFont="1" applyFill="1" applyBorder="1"/>
    <xf numFmtId="0" fontId="0" fillId="0" borderId="0" xfId="0" applyFill="1" applyBorder="1"/>
    <xf numFmtId="165" fontId="0" fillId="0" borderId="0" xfId="0" applyNumberFormat="1" applyFont="1" applyFill="1" applyBorder="1"/>
    <xf numFmtId="165" fontId="0" fillId="0" borderId="1" xfId="0" applyNumberFormat="1" applyBorder="1"/>
    <xf numFmtId="165" fontId="0" fillId="0" borderId="0" xfId="0" applyNumberFormat="1"/>
    <xf numFmtId="38" fontId="0" fillId="0" borderId="1" xfId="0" applyNumberFormat="1" applyBorder="1"/>
    <xf numFmtId="0" fontId="1" fillId="0" borderId="0" xfId="0" applyFont="1"/>
    <xf numFmtId="164" fontId="0" fillId="0" borderId="1" xfId="0" applyNumberFormat="1" applyBorder="1"/>
    <xf numFmtId="165" fontId="0" fillId="0" borderId="1" xfId="0" applyNumberFormat="1" applyFont="1" applyBorder="1"/>
    <xf numFmtId="165" fontId="0" fillId="0" borderId="1" xfId="0" applyNumberFormat="1" applyFont="1" applyFill="1" applyBorder="1"/>
    <xf numFmtId="3" fontId="0" fillId="0" borderId="1" xfId="0" applyNumberFormat="1" applyBorder="1"/>
    <xf numFmtId="38" fontId="1" fillId="0" borderId="1" xfId="0" applyNumberFormat="1" applyFont="1" applyBorder="1"/>
    <xf numFmtId="0" fontId="5" fillId="0" borderId="0" xfId="0" applyFont="1"/>
    <xf numFmtId="0" fontId="5" fillId="0" borderId="0" xfId="0" applyFont="1" applyFill="1" applyBorder="1"/>
    <xf numFmtId="168" fontId="0" fillId="0" borderId="1" xfId="0" applyNumberFormat="1" applyBorder="1"/>
    <xf numFmtId="169" fontId="0" fillId="0" borderId="1" xfId="0" applyNumberFormat="1" applyBorder="1"/>
    <xf numFmtId="38" fontId="1" fillId="2" borderId="0" xfId="0" applyNumberFormat="1" applyFont="1" applyFill="1" applyBorder="1"/>
    <xf numFmtId="165" fontId="0" fillId="0" borderId="0" xfId="0" applyNumberFormat="1" applyBorder="1"/>
    <xf numFmtId="38" fontId="1" fillId="0" borderId="0" xfId="0" applyNumberFormat="1" applyFont="1" applyFill="1" applyBorder="1"/>
    <xf numFmtId="10" fontId="1" fillId="0" borderId="1" xfId="0" applyNumberFormat="1" applyFont="1" applyFill="1" applyBorder="1"/>
    <xf numFmtId="4" fontId="1" fillId="0" borderId="1" xfId="0" applyNumberFormat="1" applyFont="1" applyBorder="1"/>
    <xf numFmtId="0" fontId="0" fillId="0" borderId="1" xfId="0" applyNumberFormat="1" applyBorder="1"/>
    <xf numFmtId="3" fontId="1" fillId="2" borderId="2" xfId="0" applyNumberFormat="1" applyFont="1" applyFill="1" applyBorder="1"/>
    <xf numFmtId="38" fontId="1" fillId="2" borderId="2" xfId="0" applyNumberFormat="1" applyFont="1" applyFill="1" applyBorder="1"/>
    <xf numFmtId="10" fontId="1" fillId="0" borderId="2" xfId="0" applyNumberFormat="1" applyFont="1" applyFill="1" applyBorder="1"/>
    <xf numFmtId="38" fontId="1" fillId="0" borderId="2" xfId="0" applyNumberFormat="1" applyFont="1" applyFill="1" applyBorder="1"/>
    <xf numFmtId="4" fontId="1" fillId="0" borderId="2" xfId="0" applyNumberFormat="1" applyFont="1" applyBorder="1"/>
    <xf numFmtId="10" fontId="1" fillId="0" borderId="0" xfId="0" applyNumberFormat="1" applyFont="1" applyFill="1" applyBorder="1"/>
    <xf numFmtId="4" fontId="1" fillId="0" borderId="0" xfId="0" applyNumberFormat="1" applyFont="1" applyBorder="1"/>
    <xf numFmtId="3" fontId="1" fillId="0" borderId="0" xfId="0" applyNumberFormat="1" applyFont="1" applyFill="1" applyBorder="1"/>
    <xf numFmtId="3" fontId="1" fillId="0" borderId="1" xfId="0" applyNumberFormat="1" applyFont="1" applyFill="1" applyBorder="1"/>
    <xf numFmtId="40" fontId="1" fillId="0" borderId="1" xfId="0" applyNumberFormat="1" applyFont="1" applyBorder="1"/>
    <xf numFmtId="0" fontId="6" fillId="0" borderId="0" xfId="0" applyFont="1"/>
    <xf numFmtId="0" fontId="0" fillId="0" borderId="2" xfId="0" applyBorder="1"/>
    <xf numFmtId="0" fontId="1" fillId="0" borderId="2" xfId="0" applyFont="1" applyBorder="1" applyAlignment="1">
      <alignment horizontal="center"/>
    </xf>
    <xf numFmtId="38" fontId="1" fillId="0" borderId="2" xfId="0" applyNumberFormat="1" applyFont="1" applyBorder="1"/>
    <xf numFmtId="165" fontId="0" fillId="0" borderId="2" xfId="0" applyNumberFormat="1" applyBorder="1"/>
    <xf numFmtId="169" fontId="0" fillId="0" borderId="2" xfId="0" applyNumberFormat="1" applyBorder="1"/>
    <xf numFmtId="168" fontId="0" fillId="0" borderId="2" xfId="0" applyNumberFormat="1" applyBorder="1"/>
    <xf numFmtId="165" fontId="0" fillId="0" borderId="2" xfId="0" applyNumberFormat="1" applyFont="1" applyBorder="1"/>
    <xf numFmtId="165" fontId="0" fillId="0" borderId="2" xfId="0" applyNumberFormat="1" applyFont="1" applyFill="1" applyBorder="1"/>
    <xf numFmtId="3" fontId="0" fillId="0" borderId="2" xfId="0" applyNumberFormat="1" applyBorder="1"/>
    <xf numFmtId="164" fontId="0" fillId="0" borderId="2" xfId="0" applyNumberFormat="1" applyBorder="1"/>
    <xf numFmtId="38" fontId="0" fillId="0" borderId="2" xfId="0" applyNumberFormat="1" applyBorder="1"/>
    <xf numFmtId="3" fontId="1" fillId="2" borderId="3" xfId="0" applyNumberFormat="1" applyFont="1" applyFill="1" applyBorder="1"/>
    <xf numFmtId="38" fontId="1" fillId="2" borderId="3" xfId="0" applyNumberFormat="1" applyFont="1" applyFill="1" applyBorder="1"/>
    <xf numFmtId="4" fontId="1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165" fontId="0" fillId="0" borderId="0" xfId="0" applyNumberFormat="1" applyFill="1" applyBorder="1"/>
    <xf numFmtId="169" fontId="0" fillId="0" borderId="0" xfId="0" applyNumberFormat="1" applyFill="1" applyBorder="1"/>
    <xf numFmtId="168" fontId="0" fillId="0" borderId="0" xfId="0" applyNumberFormat="1" applyFill="1" applyBorder="1"/>
    <xf numFmtId="3" fontId="0" fillId="0" borderId="0" xfId="0" applyNumberFormat="1" applyFill="1" applyBorder="1"/>
    <xf numFmtId="164" fontId="0" fillId="0" borderId="0" xfId="0" applyNumberFormat="1" applyFill="1" applyBorder="1"/>
    <xf numFmtId="38" fontId="0" fillId="0" borderId="0" xfId="0" applyNumberFormat="1" applyFill="1" applyBorder="1"/>
    <xf numFmtId="9" fontId="1" fillId="2" borderId="1" xfId="0" applyNumberFormat="1" applyFont="1" applyFill="1" applyBorder="1"/>
    <xf numFmtId="40" fontId="0" fillId="0" borderId="2" xfId="0" applyNumberFormat="1" applyFont="1" applyBorder="1"/>
    <xf numFmtId="40" fontId="0" fillId="0" borderId="1" xfId="0" applyNumberFormat="1" applyFont="1" applyBorder="1"/>
    <xf numFmtId="40" fontId="0" fillId="0" borderId="1" xfId="0" applyNumberFormat="1" applyFont="1" applyFill="1" applyBorder="1"/>
    <xf numFmtId="0" fontId="4" fillId="0" borderId="0" xfId="0" applyFont="1" applyBorder="1"/>
    <xf numFmtId="0" fontId="4" fillId="0" borderId="0" xfId="0" applyFont="1" applyFill="1" applyBorder="1"/>
    <xf numFmtId="1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44B4C-FC91-EA46-8A32-EABB82DD7347}">
  <dimension ref="A2:BA229"/>
  <sheetViews>
    <sheetView tabSelected="1" zoomScale="125" zoomScaleNormal="125" workbookViewId="0">
      <pane xSplit="1" topLeftCell="B1" activePane="topRight" state="frozen"/>
      <selection pane="topRight" activeCell="B14" sqref="B14"/>
    </sheetView>
  </sheetViews>
  <sheetFormatPr baseColWidth="10" defaultColWidth="13.83203125" defaultRowHeight="16" x14ac:dyDescent="0.2"/>
  <cols>
    <col min="1" max="1" width="21.83203125" style="19" customWidth="1"/>
    <col min="2" max="2" width="20.5" customWidth="1"/>
    <col min="3" max="3" width="23.33203125" bestFit="1" customWidth="1"/>
    <col min="4" max="8" width="15.5" customWidth="1"/>
    <col min="9" max="9" width="20.33203125" customWidth="1"/>
    <col min="10" max="10" width="22.6640625" bestFit="1" customWidth="1"/>
    <col min="11" max="11" width="18.1640625" customWidth="1"/>
    <col min="12" max="12" width="17.5" customWidth="1"/>
    <col min="13" max="50" width="15.5" customWidth="1"/>
  </cols>
  <sheetData>
    <row r="2" spans="1:53" ht="21" x14ac:dyDescent="0.25">
      <c r="B2" s="1" t="s">
        <v>0</v>
      </c>
    </row>
    <row r="3" spans="1:53" ht="19" x14ac:dyDescent="0.25">
      <c r="B3" s="2" t="s">
        <v>1</v>
      </c>
      <c r="E3" s="25"/>
      <c r="I3" s="25" t="s">
        <v>122</v>
      </c>
      <c r="J3" s="25" t="s">
        <v>123</v>
      </c>
      <c r="K3" s="25" t="s">
        <v>136</v>
      </c>
    </row>
    <row r="4" spans="1:53" x14ac:dyDescent="0.2">
      <c r="A4" s="45"/>
      <c r="H4" s="3" t="s">
        <v>120</v>
      </c>
      <c r="I4" s="21">
        <f>K67</f>
        <v>780000</v>
      </c>
      <c r="J4" s="68">
        <f>((SQRT(K29)-SQRT(F5))*C6)+K70</f>
        <v>1481017.0353297526</v>
      </c>
      <c r="K4" s="69">
        <v>0</v>
      </c>
    </row>
    <row r="5" spans="1:53" x14ac:dyDescent="0.2">
      <c r="A5" s="45"/>
      <c r="B5" s="3" t="s">
        <v>3</v>
      </c>
      <c r="C5" s="4">
        <v>3.0000000000000001E-3</v>
      </c>
      <c r="D5" s="11"/>
      <c r="E5" s="3" t="s">
        <v>22</v>
      </c>
      <c r="F5" s="5">
        <v>10000</v>
      </c>
      <c r="H5" s="3" t="s">
        <v>121</v>
      </c>
      <c r="I5" s="70">
        <f>K63</f>
        <v>-76.735155321595499</v>
      </c>
      <c r="J5" s="68">
        <f>((1/SQRT(K29))-(1/SQRT(F5)))*C6+K69</f>
        <v>-145.71307771532594</v>
      </c>
      <c r="K5" s="69">
        <v>0</v>
      </c>
    </row>
    <row r="6" spans="1:53" x14ac:dyDescent="0.2">
      <c r="B6" s="3" t="s">
        <v>4</v>
      </c>
      <c r="C6" s="5">
        <f>10^6</f>
        <v>1000000</v>
      </c>
      <c r="E6" s="12" t="s">
        <v>110</v>
      </c>
      <c r="F6" s="13">
        <v>10500</v>
      </c>
      <c r="H6" s="12" t="s">
        <v>6</v>
      </c>
      <c r="I6" s="69">
        <f>I4/I5*-1</f>
        <v>10164.832490806015</v>
      </c>
      <c r="J6" s="68">
        <f>J4/J5*-1</f>
        <v>10163.926660194213</v>
      </c>
      <c r="K6" s="69">
        <v>0</v>
      </c>
    </row>
    <row r="7" spans="1:53" x14ac:dyDescent="0.2">
      <c r="B7" s="12" t="s">
        <v>131</v>
      </c>
      <c r="C7" s="67">
        <v>0.1</v>
      </c>
      <c r="E7" s="3" t="s">
        <v>140</v>
      </c>
      <c r="F7" s="44">
        <f>I42^2</f>
        <v>10241.139902027946</v>
      </c>
      <c r="H7" s="12" t="s">
        <v>130</v>
      </c>
      <c r="I7" s="69">
        <f>F9+(F10*F5)</f>
        <v>2000000000</v>
      </c>
      <c r="J7" s="68">
        <f>F9+(F10*F5)</f>
        <v>2000000000</v>
      </c>
      <c r="K7" s="70">
        <f>F9+(F10*F5)</f>
        <v>2000000000</v>
      </c>
    </row>
    <row r="8" spans="1:53" x14ac:dyDescent="0.2">
      <c r="D8" s="42"/>
      <c r="H8" s="12" t="s">
        <v>129</v>
      </c>
      <c r="I8" s="69">
        <f>($F$9+I4)+(($F$10+I5)*$F$6)</f>
        <v>2049974280.8691232</v>
      </c>
      <c r="J8" s="69">
        <f>($F$9+J4)+(($F$10+J5)*$F$6)</f>
        <v>2049951029.7193189</v>
      </c>
      <c r="K8" s="69">
        <f>F9+(F10*F6)</f>
        <v>2050000000</v>
      </c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57"/>
      <c r="AZ8" s="13"/>
      <c r="BA8" s="13"/>
    </row>
    <row r="9" spans="1:53" x14ac:dyDescent="0.2">
      <c r="B9" s="3" t="s">
        <v>126</v>
      </c>
      <c r="C9" s="44">
        <f>I10-J10</f>
        <v>23251.149804353714</v>
      </c>
      <c r="D9" s="31"/>
      <c r="E9" s="43" t="s">
        <v>134</v>
      </c>
      <c r="F9" s="13">
        <v>1000000000</v>
      </c>
      <c r="G9" s="42"/>
      <c r="H9" s="12" t="s">
        <v>52</v>
      </c>
      <c r="I9" s="69">
        <f>I8-I7</f>
        <v>49974280.86912322</v>
      </c>
      <c r="J9" s="69">
        <f t="shared" ref="J9:K9" si="0">J8-J7</f>
        <v>49951029.719318867</v>
      </c>
      <c r="K9" s="69">
        <f t="shared" si="0"/>
        <v>50000000</v>
      </c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58"/>
      <c r="AZ9" s="5"/>
      <c r="BA9" s="5"/>
    </row>
    <row r="10" spans="1:53" x14ac:dyDescent="0.2">
      <c r="B10" s="12" t="s">
        <v>141</v>
      </c>
      <c r="C10" s="73">
        <f>COUNTIF(31:31,FALSE)/(COUNTIF(31:31,FALSE)+COUNTIF(31:31,TRUE))</f>
        <v>0.5</v>
      </c>
      <c r="D10" s="31"/>
      <c r="E10" s="10" t="s">
        <v>135</v>
      </c>
      <c r="F10" s="10">
        <f>F9/F5</f>
        <v>100000</v>
      </c>
      <c r="G10" s="31"/>
      <c r="H10" s="10" t="s">
        <v>137</v>
      </c>
      <c r="I10" s="10">
        <f>I9-$K$9</f>
        <v>-25719.130876779556</v>
      </c>
      <c r="J10" s="10">
        <f>J9-$K$9</f>
        <v>-48970.28068113327</v>
      </c>
      <c r="K10" s="10">
        <v>0</v>
      </c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29"/>
      <c r="AZ10" s="29"/>
      <c r="BA10" s="29"/>
    </row>
    <row r="11" spans="1:53" x14ac:dyDescent="0.2">
      <c r="D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8"/>
      <c r="AZ11" s="8"/>
    </row>
    <row r="12" spans="1:53" ht="19" x14ac:dyDescent="0.25">
      <c r="A12" s="25" t="s">
        <v>2</v>
      </c>
      <c r="B12" s="72" t="s">
        <v>142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9"/>
      <c r="AZ12" s="8"/>
    </row>
    <row r="13" spans="1:53" x14ac:dyDescent="0.2">
      <c r="A13" s="12" t="s">
        <v>7</v>
      </c>
      <c r="B13" s="13">
        <v>150000</v>
      </c>
      <c r="C13" s="35">
        <v>10000</v>
      </c>
      <c r="D13" s="13">
        <v>150000</v>
      </c>
      <c r="E13" s="35">
        <v>5000</v>
      </c>
      <c r="F13" s="13">
        <v>150000</v>
      </c>
      <c r="G13" s="35">
        <v>5000</v>
      </c>
      <c r="H13" s="13">
        <v>150000</v>
      </c>
      <c r="I13" s="35">
        <v>5000</v>
      </c>
      <c r="J13" s="13">
        <v>150000</v>
      </c>
      <c r="K13" s="13">
        <v>5000</v>
      </c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8"/>
    </row>
    <row r="14" spans="1:53" x14ac:dyDescent="0.2">
      <c r="A14" s="12" t="s">
        <v>8</v>
      </c>
      <c r="B14" s="5">
        <v>0</v>
      </c>
      <c r="C14" s="36">
        <v>0</v>
      </c>
      <c r="D14" s="5">
        <v>0</v>
      </c>
      <c r="E14" s="36">
        <v>0</v>
      </c>
      <c r="F14" s="5">
        <v>0</v>
      </c>
      <c r="G14" s="36">
        <v>0</v>
      </c>
      <c r="H14" s="5">
        <v>0</v>
      </c>
      <c r="I14" s="36">
        <v>0</v>
      </c>
      <c r="J14" s="5">
        <v>0</v>
      </c>
      <c r="K14" s="5">
        <v>0</v>
      </c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8"/>
    </row>
    <row r="15" spans="1:53" x14ac:dyDescent="0.2"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8"/>
      <c r="AZ15" s="8"/>
    </row>
    <row r="16" spans="1:53" x14ac:dyDescent="0.2">
      <c r="A16" s="3" t="s">
        <v>111</v>
      </c>
      <c r="B16" s="3">
        <v>1</v>
      </c>
      <c r="C16" s="46">
        <f>B16+1</f>
        <v>2</v>
      </c>
      <c r="D16" s="46">
        <f t="shared" ref="D16:E16" si="1">C16+1</f>
        <v>3</v>
      </c>
      <c r="E16" s="46">
        <f t="shared" si="1"/>
        <v>4</v>
      </c>
      <c r="F16" s="46">
        <f>E16+1</f>
        <v>5</v>
      </c>
      <c r="G16" s="46">
        <f t="shared" ref="G16:H16" si="2">F16+1</f>
        <v>6</v>
      </c>
      <c r="H16" s="46">
        <f t="shared" si="2"/>
        <v>7</v>
      </c>
      <c r="I16" s="46">
        <f t="shared" ref="I16:K16" si="3">H16+1</f>
        <v>8</v>
      </c>
      <c r="J16" s="46">
        <f t="shared" si="3"/>
        <v>9</v>
      </c>
      <c r="K16" s="6">
        <f t="shared" si="3"/>
        <v>10</v>
      </c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41"/>
      <c r="AZ16" s="8"/>
    </row>
    <row r="17" spans="1:52" x14ac:dyDescent="0.2">
      <c r="A17" s="3" t="s">
        <v>3</v>
      </c>
      <c r="B17" s="32">
        <f>$C$5</f>
        <v>3.0000000000000001E-3</v>
      </c>
      <c r="C17" s="37">
        <f>$C$5</f>
        <v>3.0000000000000001E-3</v>
      </c>
      <c r="D17" s="37">
        <f>$C$5</f>
        <v>3.0000000000000001E-3</v>
      </c>
      <c r="E17" s="37">
        <f>$C$5</f>
        <v>3.0000000000000001E-3</v>
      </c>
      <c r="F17" s="37">
        <f>$C$5</f>
        <v>3.0000000000000001E-3</v>
      </c>
      <c r="G17" s="37">
        <f>$C$5</f>
        <v>3.0000000000000001E-3</v>
      </c>
      <c r="H17" s="37">
        <f>$C$5</f>
        <v>3.0000000000000001E-3</v>
      </c>
      <c r="I17" s="37">
        <f>$C$5</f>
        <v>3.0000000000000001E-3</v>
      </c>
      <c r="J17" s="37">
        <f t="shared" ref="J17:K17" si="4">$C$5</f>
        <v>3.0000000000000001E-3</v>
      </c>
      <c r="K17" s="32">
        <f t="shared" si="4"/>
        <v>3.0000000000000001E-3</v>
      </c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41"/>
      <c r="AZ17" s="8"/>
    </row>
    <row r="18" spans="1:52" x14ac:dyDescent="0.2">
      <c r="A18" s="3" t="s">
        <v>4</v>
      </c>
      <c r="B18" s="10">
        <f>$C$6</f>
        <v>1000000</v>
      </c>
      <c r="C18" s="38">
        <f>$C$6</f>
        <v>1000000</v>
      </c>
      <c r="D18" s="38">
        <f>$C$6</f>
        <v>1000000</v>
      </c>
      <c r="E18" s="38">
        <f>$C$6</f>
        <v>1000000</v>
      </c>
      <c r="F18" s="38">
        <f>$C$6</f>
        <v>1000000</v>
      </c>
      <c r="G18" s="38">
        <f>$C$6</f>
        <v>1000000</v>
      </c>
      <c r="H18" s="38">
        <f>$C$6</f>
        <v>1000000</v>
      </c>
      <c r="I18" s="38">
        <f>$C$6</f>
        <v>1000000</v>
      </c>
      <c r="J18" s="38">
        <f t="shared" ref="J18:K18" si="5">$C$6</f>
        <v>1000000</v>
      </c>
      <c r="K18" s="10">
        <f t="shared" si="5"/>
        <v>1000000</v>
      </c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41"/>
      <c r="AZ18" s="8"/>
    </row>
    <row r="19" spans="1:52" x14ac:dyDescent="0.2"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2" x14ac:dyDescent="0.2">
      <c r="A20" s="3" t="s">
        <v>62</v>
      </c>
      <c r="B20" s="10">
        <f>F5</f>
        <v>10000</v>
      </c>
      <c r="C20" s="39">
        <f>IF(B30,B29,B20)</f>
        <v>10000</v>
      </c>
      <c r="D20" s="39">
        <f t="shared" ref="D20:E20" si="6">IF(C30,C29,C20)</f>
        <v>10061.10101294026</v>
      </c>
      <c r="E20" s="39">
        <f t="shared" si="6"/>
        <v>10061.10101294026</v>
      </c>
      <c r="F20" s="39">
        <f>IF(E30,E29,E20)</f>
        <v>10120.108566132089</v>
      </c>
      <c r="G20" s="39">
        <f t="shared" ref="G20:H20" si="7">IF(F30,F29,F20)</f>
        <v>10120.108566132089</v>
      </c>
      <c r="H20" s="39">
        <f t="shared" si="7"/>
        <v>10179.209889027345</v>
      </c>
      <c r="I20" s="39">
        <f t="shared" ref="I20:K20" si="8">IF(H30,H29,H20)</f>
        <v>10179.209889027345</v>
      </c>
      <c r="J20" s="39">
        <f t="shared" si="8"/>
        <v>10238.470348717992</v>
      </c>
      <c r="K20" s="33">
        <f t="shared" si="8"/>
        <v>10238.470348717992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2" x14ac:dyDescent="0.2">
      <c r="A21" s="3" t="s">
        <v>139</v>
      </c>
      <c r="B21" s="10">
        <f>B20</f>
        <v>10000</v>
      </c>
      <c r="C21" s="39">
        <f>IF(B30,B29,B28)</f>
        <v>10029.932365202501</v>
      </c>
      <c r="D21" s="39">
        <f t="shared" ref="D21:E21" si="9">IF(C30,C29,C28)</f>
        <v>10061.10101294026</v>
      </c>
      <c r="E21" s="39">
        <f t="shared" si="9"/>
        <v>10091.1246155524</v>
      </c>
      <c r="F21" s="39">
        <f>IF(E30,E29,E28)</f>
        <v>10120.108566132089</v>
      </c>
      <c r="G21" s="39">
        <f t="shared" ref="G21:H21" si="10">IF(F30,F29,F28)</f>
        <v>10150.220017555579</v>
      </c>
      <c r="H21" s="39">
        <f t="shared" si="10"/>
        <v>10179.209889027345</v>
      </c>
      <c r="I21" s="39">
        <f t="shared" ref="I21:K21" si="11">IF(H30,H29,H28)</f>
        <v>10209.409072515286</v>
      </c>
      <c r="J21" s="39">
        <f t="shared" si="11"/>
        <v>10238.470348717992</v>
      </c>
      <c r="K21" s="33">
        <f t="shared" si="11"/>
        <v>10268.757245150255</v>
      </c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</row>
    <row r="22" spans="1:52" x14ac:dyDescent="0.2">
      <c r="A22" s="71" t="s">
        <v>138</v>
      </c>
      <c r="B22" s="31"/>
      <c r="C22" s="41"/>
      <c r="D22" s="41"/>
      <c r="E22" s="41"/>
      <c r="F22" s="41"/>
      <c r="G22" s="41"/>
      <c r="H22" s="41"/>
      <c r="I22" s="41"/>
      <c r="J22" s="41"/>
      <c r="K22" s="41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2" x14ac:dyDescent="0.2"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</row>
    <row r="24" spans="1:52" x14ac:dyDescent="0.2">
      <c r="A24" s="3" t="s">
        <v>109</v>
      </c>
      <c r="B24" s="7" t="str">
        <f>IF(OR(AND(B13&lt;&gt;0,B14&lt;&gt;0),AND(B13=0,B14=0),B13&lt;0,B14&lt;0),"INVALID",IF(B13&gt;0,"Y","X"))</f>
        <v>Y</v>
      </c>
      <c r="C24" s="47" t="str">
        <f>IF(OR(AND(C13&lt;&gt;0,C14&lt;&gt;0),AND(C13=0,C14=0),C13&lt;0,C14&lt;0),"INVALID",IF(C13&gt;0,"Y","X"))</f>
        <v>Y</v>
      </c>
      <c r="D24" s="47" t="str">
        <f t="shared" ref="D24:E24" si="12">IF(OR(AND(D13&lt;&gt;0,D14&lt;&gt;0),AND(D13=0,D14=0),D13&lt;0,D14&lt;0),"INVALID",IF(D13&gt;0,"Y","X"))</f>
        <v>Y</v>
      </c>
      <c r="E24" s="47" t="str">
        <f t="shared" si="12"/>
        <v>Y</v>
      </c>
      <c r="F24" s="47" t="str">
        <f>IF(OR(AND(F13&lt;&gt;0,F14&lt;&gt;0),AND(F13=0,F14=0),F13&lt;0,F14&lt;0),"INVALID",IF(F13&gt;0,"Y","X"))</f>
        <v>Y</v>
      </c>
      <c r="G24" s="47" t="str">
        <f t="shared" ref="G24:H24" si="13">IF(OR(AND(G13&lt;&gt;0,G14&lt;&gt;0),AND(G13=0,G14=0),G13&lt;0,G14&lt;0),"INVALID",IF(G13&gt;0,"Y","X"))</f>
        <v>Y</v>
      </c>
      <c r="H24" s="47" t="str">
        <f t="shared" si="13"/>
        <v>Y</v>
      </c>
      <c r="I24" s="47" t="str">
        <f t="shared" ref="I24:K24" si="14">IF(OR(AND(I13&lt;&gt;0,I14&lt;&gt;0),AND(I13=0,I14=0),I13&lt;0,I14&lt;0),"INVALID",IF(I13&gt;0,"Y","X"))</f>
        <v>Y</v>
      </c>
      <c r="J24" s="47" t="str">
        <f t="shared" si="14"/>
        <v>Y</v>
      </c>
      <c r="K24" s="7" t="str">
        <f t="shared" si="14"/>
        <v>Y</v>
      </c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</row>
    <row r="25" spans="1:52" x14ac:dyDescent="0.2"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</row>
    <row r="26" spans="1:52" ht="19" x14ac:dyDescent="0.25">
      <c r="A26" s="26" t="s">
        <v>60</v>
      </c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</row>
    <row r="27" spans="1:52" x14ac:dyDescent="0.2">
      <c r="A27" s="3" t="s">
        <v>5</v>
      </c>
      <c r="B27" s="10">
        <f>IF(B24="INVALID",0,IF(B24="Y",B103^2,B182^2))</f>
        <v>10060.112703312438</v>
      </c>
      <c r="C27" s="38">
        <f>IF(C24="INVALID",0,IF(C24="Y",C103^2,C182^2))</f>
        <v>10062.115794012438</v>
      </c>
      <c r="D27" s="38">
        <f t="shared" ref="D27:E27" si="15">IF(D24="INVALID",0,IF(D24="Y",D103^2,D182^2))</f>
        <v>10121.489082800803</v>
      </c>
      <c r="E27" s="38">
        <f t="shared" si="15"/>
        <v>10122.493653623984</v>
      </c>
      <c r="F27" s="38">
        <f>IF(F24="INVALID",0,IF(F24="Y",F103^2,F182^2))</f>
        <v>10180.762304468986</v>
      </c>
      <c r="G27" s="38">
        <f t="shared" ref="G27:H27" si="16">IF(G24="INVALID",0,IF(G24="Y",G103^2,G182^2))</f>
        <v>10181.769812397197</v>
      </c>
      <c r="H27" s="38">
        <f t="shared" si="16"/>
        <v>10240.129460897979</v>
      </c>
      <c r="I27" s="10">
        <f t="shared" ref="I27:K27" si="17">IF(I24="INVALID",0,IF(I24="Y",I103^2,I182^2))</f>
        <v>10241.139902027946</v>
      </c>
      <c r="J27" s="10">
        <f t="shared" si="17"/>
        <v>10299.65621379163</v>
      </c>
      <c r="K27" s="10">
        <f t="shared" si="17"/>
        <v>10300.669587484092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</row>
    <row r="28" spans="1:52" x14ac:dyDescent="0.2">
      <c r="A28" s="12" t="s">
        <v>63</v>
      </c>
      <c r="B28" s="24">
        <f>IF(B24="INVALID",0,IF(B24="Y",B143^2,1/(B223^2)))</f>
        <v>10029.932365202501</v>
      </c>
      <c r="C28" s="48">
        <f>IF(C24="INVALID",0,IF(C24="Y",C143^2,1/(C223^2)))</f>
        <v>10051.97028610977</v>
      </c>
      <c r="D28" s="48">
        <f t="shared" ref="D28:E28" si="18">IF(D24="INVALID",0,IF(D24="Y",D143^2,1/(D223^2)))</f>
        <v>10091.1246155524</v>
      </c>
      <c r="E28" s="48">
        <f t="shared" si="18"/>
        <v>10098.655424752391</v>
      </c>
      <c r="F28" s="48">
        <f>IF(F24="INVALID",0,IF(F24="Y",F143^2,1/(F223^2)))</f>
        <v>10150.220017555579</v>
      </c>
      <c r="G28" s="48">
        <f t="shared" ref="G28:H28" si="19">IF(G24="INVALID",0,IF(G24="Y",G143^2,1/(G223^2)))</f>
        <v>10156.185062006973</v>
      </c>
      <c r="H28" s="48">
        <f t="shared" si="19"/>
        <v>10209.409072515286</v>
      </c>
      <c r="I28" s="24">
        <f t="shared" ref="I28:K28" si="20">IF(I24="INVALID",0,IF(I24="Y",I143^2,1/(I223^2)))</f>
        <v>10214.460028072639</v>
      </c>
      <c r="J28" s="24">
        <f t="shared" si="20"/>
        <v>10268.757245150255</v>
      </c>
      <c r="K28" s="24">
        <f t="shared" si="20"/>
        <v>10273.209134516623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</row>
    <row r="29" spans="1:52" x14ac:dyDescent="0.2">
      <c r="A29" s="12" t="s">
        <v>81</v>
      </c>
      <c r="B29" s="24">
        <f>B44^2</f>
        <v>10057.092629267123</v>
      </c>
      <c r="C29" s="48">
        <f t="shared" ref="C29:H29" si="21">C44^2</f>
        <v>10061.10101294026</v>
      </c>
      <c r="D29" s="48">
        <f t="shared" ref="D29:F29" si="22">D44^2</f>
        <v>10118.450583394242</v>
      </c>
      <c r="E29" s="48">
        <f t="shared" si="22"/>
        <v>10120.108566132089</v>
      </c>
      <c r="F29" s="48">
        <f t="shared" si="22"/>
        <v>10177.706011075063</v>
      </c>
      <c r="G29" s="48">
        <f t="shared" ref="G29:H29" si="23">G44^2</f>
        <v>10179.209889027345</v>
      </c>
      <c r="H29" s="48">
        <f t="shared" si="23"/>
        <v>10237.055345317211</v>
      </c>
      <c r="I29" s="24">
        <f t="shared" ref="I29:K29" si="24">I44^2</f>
        <v>10238.470348717992</v>
      </c>
      <c r="J29" s="24">
        <f t="shared" si="24"/>
        <v>10296.564228112711</v>
      </c>
      <c r="K29" s="24">
        <f t="shared" si="24"/>
        <v>10297.921892840763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</row>
    <row r="30" spans="1:52" x14ac:dyDescent="0.2">
      <c r="A30" s="12" t="s">
        <v>57</v>
      </c>
      <c r="B30" s="16" t="b">
        <f>IF(B24="INVALID",0,IF(B24="Y",B108,B188))</f>
        <v>0</v>
      </c>
      <c r="C30" s="49" t="b">
        <f>IF(C24="INVALID",0,IF(C24="Y",C108,C188))</f>
        <v>1</v>
      </c>
      <c r="D30" s="49" t="b">
        <f t="shared" ref="D30:E30" si="25">IF(D24="INVALID",0,IF(D24="Y",D108,D188))</f>
        <v>0</v>
      </c>
      <c r="E30" s="49" t="b">
        <f t="shared" si="25"/>
        <v>1</v>
      </c>
      <c r="F30" s="49" t="b">
        <f>IF(F24="INVALID",0,IF(F24="Y",F108,F188))</f>
        <v>0</v>
      </c>
      <c r="G30" s="49" t="b">
        <f t="shared" ref="G30:H30" si="26">IF(G24="INVALID",0,IF(G24="Y",G108,G188))</f>
        <v>1</v>
      </c>
      <c r="H30" s="49" t="b">
        <f t="shared" si="26"/>
        <v>0</v>
      </c>
      <c r="I30" s="16" t="b">
        <f t="shared" ref="I30:K30" si="27">IF(I24="INVALID",0,IF(I24="Y",I108,I188))</f>
        <v>1</v>
      </c>
      <c r="J30" s="16" t="b">
        <f t="shared" si="27"/>
        <v>0</v>
      </c>
      <c r="K30" s="16" t="b">
        <f t="shared" si="27"/>
        <v>1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</row>
    <row r="31" spans="1:52" x14ac:dyDescent="0.2">
      <c r="A31" s="12" t="s">
        <v>68</v>
      </c>
      <c r="B31" s="6" t="b">
        <f>IF(B24="INVALID",0,IF(B24="Y",B147&lt;B27,B227&gt;B27))</f>
        <v>1</v>
      </c>
      <c r="C31" s="46" t="b">
        <f>IF(C24="INVALID",0,IF(C24="Y",C147&lt;C27,C227&gt;C27))</f>
        <v>0</v>
      </c>
      <c r="D31" s="46" t="b">
        <f t="shared" ref="D31:E31" si="28">IF(D24="INVALID",0,IF(D24="Y",D147&lt;D27,D227&gt;D27))</f>
        <v>1</v>
      </c>
      <c r="E31" s="46" t="b">
        <f t="shared" si="28"/>
        <v>0</v>
      </c>
      <c r="F31" s="46" t="b">
        <f>IF(F24="INVALID",0,IF(F24="Y",F147&lt;F27,F227&gt;F27))</f>
        <v>1</v>
      </c>
      <c r="G31" s="46" t="b">
        <f t="shared" ref="G31:H31" si="29">IF(G24="INVALID",0,IF(G24="Y",G147&lt;G27,G227&gt;G27))</f>
        <v>0</v>
      </c>
      <c r="H31" s="46" t="b">
        <f t="shared" si="29"/>
        <v>1</v>
      </c>
      <c r="I31" s="6" t="b">
        <f t="shared" ref="I31:K31" si="30">IF(I24="INVALID",0,IF(I24="Y",I147&lt;I27,I227&gt;I27))</f>
        <v>0</v>
      </c>
      <c r="J31" s="6" t="b">
        <f t="shared" si="30"/>
        <v>1</v>
      </c>
      <c r="K31" s="6" t="b">
        <f t="shared" si="30"/>
        <v>0</v>
      </c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</row>
    <row r="32" spans="1:52" x14ac:dyDescent="0.2">
      <c r="A32" s="12" t="s">
        <v>59</v>
      </c>
      <c r="B32" s="6" t="b">
        <f>IF(B24="INVALID",0,IF(B24="Y",B147&lt;F5,B227&gt;F5))</f>
        <v>1</v>
      </c>
      <c r="C32" s="46" t="b">
        <f>IF(C24="INVALID",0,IF(C24="Y",C147&lt;G3,C227&gt;G3))</f>
        <v>0</v>
      </c>
      <c r="D32" s="46" t="b">
        <f>IF(D24="INVALID",0,IF(D24="Y",D147&lt;H3,D227&gt;H3))</f>
        <v>0</v>
      </c>
      <c r="E32" s="46" t="b">
        <f>IF(E24="INVALID",0,IF(E24="Y",E147&lt;I3,E227&gt;I3))</f>
        <v>1</v>
      </c>
      <c r="F32" s="46" t="b">
        <f>IF(F24="INVALID",0,IF(F24="Y",F147&lt;J3,F227&gt;J3))</f>
        <v>1</v>
      </c>
      <c r="G32" s="46" t="b">
        <f>IF(G24="INVALID",0,IF(G24="Y",G147&lt;K3,G227&gt;K3))</f>
        <v>1</v>
      </c>
      <c r="H32" s="46" t="b">
        <f t="shared" ref="H32:I32" si="31">IF(H24="INVALID",0,IF(H24="Y",H147&lt;L2,H227&gt;L2))</f>
        <v>0</v>
      </c>
      <c r="I32" s="6" t="b">
        <f t="shared" si="31"/>
        <v>0</v>
      </c>
      <c r="J32" s="6" t="b">
        <f t="shared" ref="J32" si="32">IF(J24="INVALID",0,IF(J24="Y",J147&lt;N2,J227&gt;N2))</f>
        <v>0</v>
      </c>
      <c r="K32" s="6" t="b">
        <f t="shared" ref="K32" si="33">IF(K24="INVALID",0,IF(K24="Y",K147&lt;O2,K227&gt;O2))</f>
        <v>0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</row>
    <row r="33" spans="1:50" x14ac:dyDescent="0.2">
      <c r="A33" s="12" t="s">
        <v>80</v>
      </c>
      <c r="B33" s="6" t="b">
        <f>B59</f>
        <v>1</v>
      </c>
      <c r="C33" s="46" t="b">
        <f>C59</f>
        <v>1</v>
      </c>
      <c r="D33" s="46" t="b">
        <f t="shared" ref="D33:E33" si="34">D59</f>
        <v>1</v>
      </c>
      <c r="E33" s="46" t="b">
        <f t="shared" si="34"/>
        <v>0</v>
      </c>
      <c r="F33" s="46" t="b">
        <f>F59</f>
        <v>1</v>
      </c>
      <c r="G33" s="46" t="b">
        <f t="shared" ref="G33:H33" si="35">G59</f>
        <v>0</v>
      </c>
      <c r="H33" s="46" t="b">
        <f t="shared" si="35"/>
        <v>1</v>
      </c>
      <c r="I33" s="6" t="b">
        <f t="shared" ref="I33:K33" si="36">I59</f>
        <v>0</v>
      </c>
      <c r="J33" s="6" t="b">
        <f t="shared" si="36"/>
        <v>1</v>
      </c>
      <c r="K33" s="6" t="b">
        <f t="shared" si="36"/>
        <v>0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</row>
    <row r="34" spans="1:50" x14ac:dyDescent="0.2"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</row>
    <row r="35" spans="1:50" x14ac:dyDescent="0.2">
      <c r="A35" s="3" t="s">
        <v>64</v>
      </c>
      <c r="B35" s="16">
        <f>B20</f>
        <v>10000</v>
      </c>
      <c r="C35" s="49">
        <f>C20</f>
        <v>10000</v>
      </c>
      <c r="D35" s="49">
        <f t="shared" ref="D35:E35" si="37">D20</f>
        <v>10061.10101294026</v>
      </c>
      <c r="E35" s="49">
        <f t="shared" si="37"/>
        <v>10061.10101294026</v>
      </c>
      <c r="F35" s="49">
        <f>F20</f>
        <v>10120.108566132089</v>
      </c>
      <c r="G35" s="49">
        <f t="shared" ref="G35:H35" si="38">G20</f>
        <v>10120.108566132089</v>
      </c>
      <c r="H35" s="49">
        <f t="shared" si="38"/>
        <v>10179.209889027345</v>
      </c>
      <c r="I35" s="49">
        <f t="shared" ref="I35:K35" si="39">I20</f>
        <v>10179.209889027345</v>
      </c>
      <c r="J35" s="49">
        <f t="shared" si="39"/>
        <v>10238.470348717992</v>
      </c>
      <c r="K35" s="16">
        <f t="shared" si="39"/>
        <v>10238.470348717992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</row>
    <row r="36" spans="1:50" x14ac:dyDescent="0.2">
      <c r="A36" s="3" t="s">
        <v>65</v>
      </c>
      <c r="B36" s="16">
        <f>B35/(1-B17)</f>
        <v>10030.090270812438</v>
      </c>
      <c r="C36" s="49">
        <f>C35/(1-C17)</f>
        <v>10030.090270812438</v>
      </c>
      <c r="D36" s="49">
        <f t="shared" ref="D36:E36" si="40">D35/(1-D17)</f>
        <v>10091.375138355326</v>
      </c>
      <c r="E36" s="49">
        <f t="shared" si="40"/>
        <v>10091.375138355326</v>
      </c>
      <c r="F36" s="49">
        <f>F35/(1-F17)</f>
        <v>10150.560246872707</v>
      </c>
      <c r="G36" s="49">
        <f t="shared" ref="G36" si="41">G35/(1-G17)</f>
        <v>10150.560246872707</v>
      </c>
      <c r="H36" s="49">
        <f t="shared" ref="H36:I36" si="42">H35/(1-H17)</f>
        <v>10209.839407249092</v>
      </c>
      <c r="I36" s="49">
        <f t="shared" si="42"/>
        <v>10209.839407249092</v>
      </c>
      <c r="J36" s="49">
        <f t="shared" ref="J36" si="43">J35/(1-J17)</f>
        <v>10269.278183267796</v>
      </c>
      <c r="K36" s="16">
        <f t="shared" ref="K36" si="44">K35/(1-K17)</f>
        <v>10269.278183267796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</row>
    <row r="37" spans="1:50" x14ac:dyDescent="0.2">
      <c r="A37" s="3" t="s">
        <v>66</v>
      </c>
      <c r="B37" s="16">
        <f>B35*(1-B17)</f>
        <v>9970</v>
      </c>
      <c r="C37" s="49">
        <f>C35*(1-C17)</f>
        <v>9970</v>
      </c>
      <c r="D37" s="49">
        <f t="shared" ref="D37:E37" si="45">D35*(1-D17)</f>
        <v>10030.91770990144</v>
      </c>
      <c r="E37" s="49">
        <f t="shared" si="45"/>
        <v>10030.91770990144</v>
      </c>
      <c r="F37" s="49">
        <f>F35*(1-F17)</f>
        <v>10089.748240433692</v>
      </c>
      <c r="G37" s="49">
        <f t="shared" ref="G37:H37" si="46">G35*(1-G17)</f>
        <v>10089.748240433692</v>
      </c>
      <c r="H37" s="49">
        <f t="shared" si="46"/>
        <v>10148.672259360263</v>
      </c>
      <c r="I37" s="49">
        <f t="shared" ref="I37:K37" si="47">I35*(1-I17)</f>
        <v>10148.672259360263</v>
      </c>
      <c r="J37" s="49">
        <f t="shared" si="47"/>
        <v>10207.754937671838</v>
      </c>
      <c r="K37" s="16">
        <f t="shared" si="47"/>
        <v>10207.754937671838</v>
      </c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</row>
    <row r="38" spans="1:50" x14ac:dyDescent="0.2">
      <c r="A38" s="3" t="s">
        <v>67</v>
      </c>
      <c r="B38" s="16">
        <f>B21</f>
        <v>10000</v>
      </c>
      <c r="C38" s="49">
        <f>C21</f>
        <v>10029.932365202501</v>
      </c>
      <c r="D38" s="49">
        <f t="shared" ref="D38:E38" si="48">D21</f>
        <v>10061.10101294026</v>
      </c>
      <c r="E38" s="49">
        <f t="shared" si="48"/>
        <v>10091.1246155524</v>
      </c>
      <c r="F38" s="49">
        <f>F21</f>
        <v>10120.108566132089</v>
      </c>
      <c r="G38" s="49">
        <f t="shared" ref="G38:H38" si="49">G21</f>
        <v>10150.220017555579</v>
      </c>
      <c r="H38" s="49">
        <f t="shared" si="49"/>
        <v>10179.209889027345</v>
      </c>
      <c r="I38" s="49">
        <f t="shared" ref="I38:K38" si="50">I21</f>
        <v>10209.409072515286</v>
      </c>
      <c r="J38" s="49">
        <f t="shared" si="50"/>
        <v>10238.470348717992</v>
      </c>
      <c r="K38" s="16">
        <f t="shared" si="50"/>
        <v>10268.757245150255</v>
      </c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</row>
    <row r="39" spans="1:50" x14ac:dyDescent="0.2"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</row>
    <row r="40" spans="1:50" ht="19" x14ac:dyDescent="0.25">
      <c r="A40" s="25" t="s">
        <v>69</v>
      </c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</row>
    <row r="41" spans="1:50" x14ac:dyDescent="0.2">
      <c r="A41" s="3" t="s">
        <v>20</v>
      </c>
      <c r="B41" s="16">
        <f>IF(B24="INVALID",0,IF(B24="Y",B143,1/B223))</f>
        <v>100.14955</v>
      </c>
      <c r="C41" s="49">
        <f>IF(C24="INVALID",0,IF(C24="Y",C143,1/C223))</f>
        <v>100.25951469117418</v>
      </c>
      <c r="D41" s="49">
        <f t="shared" ref="D41:E41" si="51">IF(D24="INVALID",0,IF(D24="Y",D143,1/D223))</f>
        <v>100.45458981824773</v>
      </c>
      <c r="E41" s="49">
        <f t="shared" si="51"/>
        <v>100.49206647667462</v>
      </c>
      <c r="F41" s="49">
        <f>IF(F24="INVALID",0,IF(F24="Y",F143,1/F223))</f>
        <v>100.7483003209264</v>
      </c>
      <c r="G41" s="49">
        <f t="shared" ref="G41:H41" si="52">IF(G24="INVALID",0,IF(G24="Y",G143,1/G223))</f>
        <v>100.77789967054767</v>
      </c>
      <c r="H41" s="49">
        <f t="shared" si="52"/>
        <v>101.04162049628502</v>
      </c>
      <c r="I41" s="49">
        <f t="shared" ref="I41:K41" si="53">IF(I24="INVALID",0,IF(I24="Y",I143,1/I223))</f>
        <v>101.06661183631634</v>
      </c>
      <c r="J41" s="49">
        <f t="shared" si="53"/>
        <v>101.33487674611469</v>
      </c>
      <c r="K41" s="16">
        <f t="shared" si="53"/>
        <v>101.35684059064106</v>
      </c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</row>
    <row r="42" spans="1:50" x14ac:dyDescent="0.2">
      <c r="A42" s="3" t="s">
        <v>28</v>
      </c>
      <c r="B42" s="16">
        <f>IF(B24="INVALID",0,IF(B24="Y",B103,B182))</f>
        <v>100.30011317696724</v>
      </c>
      <c r="C42" s="49">
        <f>IF(C24="INVALID",0,IF(C24="Y",C103,C182))</f>
        <v>100.31009816570034</v>
      </c>
      <c r="D42" s="49">
        <f t="shared" ref="D42:E42" si="54">IF(D24="INVALID",0,IF(D24="Y",D103,D182))</f>
        <v>100.60561158703227</v>
      </c>
      <c r="E42" s="49">
        <f t="shared" si="54"/>
        <v>100.61060408139882</v>
      </c>
      <c r="F42" s="49">
        <f>IF(F24="INVALID",0,IF(F24="Y",F103,F182))</f>
        <v>100.89976364922262</v>
      </c>
      <c r="G42" s="49">
        <f t="shared" ref="G42:H42" si="55">IF(G24="INVALID",0,IF(G24="Y",G103,G182))</f>
        <v>100.90475614358917</v>
      </c>
      <c r="H42" s="49">
        <f t="shared" si="55"/>
        <v>101.19352479728127</v>
      </c>
      <c r="I42" s="49">
        <f t="shared" ref="I42:K42" si="56">IF(I24="INVALID",0,IF(I24="Y",I103,I182))</f>
        <v>101.19851729164783</v>
      </c>
      <c r="J42" s="49">
        <f t="shared" si="56"/>
        <v>101.48722192370639</v>
      </c>
      <c r="K42" s="16">
        <f t="shared" si="56"/>
        <v>101.49221441807293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</row>
    <row r="43" spans="1:50" x14ac:dyDescent="0.2">
      <c r="A43" s="3" t="s">
        <v>21</v>
      </c>
      <c r="B43" s="28">
        <f>IF(B24="INVALID",0,B42-B41)*(1-$C$7)</f>
        <v>0.13550685927051517</v>
      </c>
      <c r="C43" s="28">
        <f>IF(C24="INVALID",0,C42-C41)*(1-$C$7)</f>
        <v>4.5525127073547368E-2</v>
      </c>
      <c r="D43" s="28">
        <f>IF(D24="INVALID",0,D42-D41)*(1-$C$7)</f>
        <v>0.1359195919060909</v>
      </c>
      <c r="E43" s="28">
        <f>IF(E24="INVALID",0,E42-E41)*(1-$C$7)</f>
        <v>0.10668384425177635</v>
      </c>
      <c r="F43" s="28">
        <f>IF(F24="INVALID",0,F42-F41)*(1-$C$7)</f>
        <v>0.1363169954665949</v>
      </c>
      <c r="G43" s="28">
        <f>IF(G24="INVALID",0,G42-G41)*(1-$C$7)</f>
        <v>0.11417082573734945</v>
      </c>
      <c r="H43" s="28">
        <f>IF(H24="INVALID",0,H42-H41)*(1-$C$7)</f>
        <v>0.13671387089662518</v>
      </c>
      <c r="I43" s="28">
        <f>IF(I24="INVALID",0,I42-I41)*(1-$C$7)</f>
        <v>0.11871490979834221</v>
      </c>
      <c r="J43" s="28">
        <f t="shared" ref="J43:K43" si="57">IF(J24="INVALID",0,J42-J41)*(1-$C$7)</f>
        <v>0.13711065983252838</v>
      </c>
      <c r="K43" s="28">
        <f t="shared" si="57"/>
        <v>0.12183644468868948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</row>
    <row r="44" spans="1:50" x14ac:dyDescent="0.2">
      <c r="A44" s="3" t="s">
        <v>128</v>
      </c>
      <c r="B44" s="28">
        <f>B41+B43</f>
        <v>100.28505685927053</v>
      </c>
      <c r="C44" s="50">
        <f t="shared" ref="C44" si="58">C41+C43</f>
        <v>100.30503981824772</v>
      </c>
      <c r="D44" s="50">
        <f t="shared" ref="D44" si="59">D41+D43</f>
        <v>100.59050941015381</v>
      </c>
      <c r="E44" s="50">
        <f t="shared" ref="E44" si="60">E41+E43</f>
        <v>100.5987503209264</v>
      </c>
      <c r="F44" s="50">
        <f t="shared" ref="F44" si="61">F41+F43</f>
        <v>100.884617316393</v>
      </c>
      <c r="G44" s="50">
        <f t="shared" ref="G44" si="62">G41+G43</f>
        <v>100.89207049628502</v>
      </c>
      <c r="H44" s="50">
        <f t="shared" ref="H44:I44" si="63">H41+H43</f>
        <v>101.17833436718165</v>
      </c>
      <c r="I44" s="50">
        <f t="shared" si="63"/>
        <v>101.18532674611468</v>
      </c>
      <c r="J44" s="50">
        <f t="shared" ref="J44" si="64">J41+J43</f>
        <v>101.47198740594722</v>
      </c>
      <c r="K44" s="28">
        <f t="shared" ref="K44" si="65">K41+K43</f>
        <v>101.47867703532975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</row>
    <row r="45" spans="1:50" x14ac:dyDescent="0.2">
      <c r="A45" s="3" t="s">
        <v>25</v>
      </c>
      <c r="B45" s="27">
        <f>IF(B24="INVALID",0,(1/B42)-(1/B41))</f>
        <v>-1.4988851079917112E-5</v>
      </c>
      <c r="C45" s="51">
        <f>IF(C24="INVALID",0,(1/C42)-(1/C41))</f>
        <v>-5.0296574012186762E-6</v>
      </c>
      <c r="D45" s="51">
        <f t="shared" ref="D45:E45" si="66">IF(D24="INVALID",0,(1/D42)-(1/D41))</f>
        <v>-1.4943336022641904E-5</v>
      </c>
      <c r="E45" s="51">
        <f t="shared" si="66"/>
        <v>-1.1724129685567256E-5</v>
      </c>
      <c r="F45" s="51">
        <f>IF(F24="INVALID",0,(1/F42)-(1/F41))</f>
        <v>-1.4899771866016057E-5</v>
      </c>
      <c r="G45" s="51">
        <f t="shared" ref="G45:H45" si="67">IF(G24="INVALID",0,(1/G42)-(1/G41))</f>
        <v>-1.2474860348657066E-5</v>
      </c>
      <c r="H45" s="51">
        <f t="shared" si="67"/>
        <v>-1.4856518366367782E-5</v>
      </c>
      <c r="I45" s="51">
        <f t="shared" ref="I45:K45" si="68">IF(I24="INVALID",0,(1/I42)-(1/I41))</f>
        <v>-1.289676841334346E-5</v>
      </c>
      <c r="J45" s="51">
        <f t="shared" si="68"/>
        <v>-1.4813524611389725E-5</v>
      </c>
      <c r="K45" s="27">
        <f t="shared" si="68"/>
        <v>-1.3159788666465902E-5</v>
      </c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</row>
    <row r="46" spans="1:50" x14ac:dyDescent="0.2">
      <c r="A46" s="3" t="s">
        <v>118</v>
      </c>
      <c r="B46" s="6">
        <f>IF(OR(B24="INVALID",B30=FALSE),0,B45*B18)</f>
        <v>0</v>
      </c>
      <c r="C46" s="46">
        <f>IF(OR(C24="INVALID",C30=FALSE),0,C45*C18)</f>
        <v>-5.0296574012186763</v>
      </c>
      <c r="D46" s="46">
        <f t="shared" ref="D46:E46" si="69">IF(OR(D24="INVALID",D30=FALSE),0,D45*D18)</f>
        <v>0</v>
      </c>
      <c r="E46" s="46">
        <f t="shared" si="69"/>
        <v>-11.724129685567256</v>
      </c>
      <c r="F46" s="46">
        <f>IF(OR(F24="INVALID",F30=FALSE),0,F45*F18)</f>
        <v>0</v>
      </c>
      <c r="G46" s="46">
        <f t="shared" ref="G46" si="70">IF(OR(G24="INVALID",G30=FALSE),0,G45*G18)</f>
        <v>-12.474860348657066</v>
      </c>
      <c r="H46" s="46">
        <f t="shared" ref="H46:I46" si="71">IF(OR(H24="INVALID",H30=FALSE),0,H45*H18)</f>
        <v>0</v>
      </c>
      <c r="I46" s="46">
        <f t="shared" si="71"/>
        <v>-12.896768413343459</v>
      </c>
      <c r="J46" s="46">
        <f t="shared" ref="J46" si="72">IF(OR(J24="INVALID",J30=FALSE),0,J45*J18)</f>
        <v>0</v>
      </c>
      <c r="K46" s="6">
        <f t="shared" ref="K46" si="73">IF(OR(K24="INVALID",K30=FALSE),0,K45*K18)</f>
        <v>-13.159788666465902</v>
      </c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</row>
    <row r="47" spans="1:50" x14ac:dyDescent="0.2">
      <c r="A47" s="3" t="s">
        <v>119</v>
      </c>
      <c r="B47" s="6">
        <f>IF(OR(B24="INVALID",B30=FALSE),0,B43*B18)</f>
        <v>0</v>
      </c>
      <c r="C47" s="46">
        <f>IF(OR(C24="INVALID",C30=FALSE),0,C43*C18)</f>
        <v>45525.127073547366</v>
      </c>
      <c r="D47" s="46">
        <f t="shared" ref="D47:E47" si="74">IF(OR(D24="INVALID",D30=FALSE),0,D43*D18)</f>
        <v>0</v>
      </c>
      <c r="E47" s="46">
        <f t="shared" si="74"/>
        <v>106683.84425177635</v>
      </c>
      <c r="F47" s="46">
        <f>IF(OR(F24="INVALID",F30=FALSE),0,F43*F18)</f>
        <v>0</v>
      </c>
      <c r="G47" s="46">
        <f t="shared" ref="G47:H47" si="75">IF(OR(G24="INVALID",G30=FALSE),0,G43*G18)</f>
        <v>114170.82573734946</v>
      </c>
      <c r="H47" s="46">
        <f t="shared" si="75"/>
        <v>0</v>
      </c>
      <c r="I47" s="46">
        <f t="shared" ref="I47:K47" si="76">IF(OR(I24="INVALID",I30=FALSE),0,I43*I18)</f>
        <v>118714.90979834221</v>
      </c>
      <c r="J47" s="46">
        <f t="shared" si="76"/>
        <v>0</v>
      </c>
      <c r="K47" s="6">
        <f t="shared" si="76"/>
        <v>121836.44468868949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</row>
    <row r="48" spans="1:50" x14ac:dyDescent="0.2"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</row>
    <row r="49" spans="1:50" x14ac:dyDescent="0.2">
      <c r="A49" s="3" t="s">
        <v>70</v>
      </c>
      <c r="B49" s="16">
        <f>IF(B24="INVALID",0,IF(B24="Y",B135+-B46,-B208+B209+B220-B46))</f>
        <v>0</v>
      </c>
      <c r="C49" s="49">
        <f>IF(C24="INVALID",0,IF(C24="Y",C135+-C46,-C208+C209+C220-C46))</f>
        <v>14.989340782057061</v>
      </c>
      <c r="D49" s="49">
        <f t="shared" ref="D49:E49" si="77">IF(D24="INVALID",0,IF(D24="Y",D135+-D46,-D208+D209+D220-D46))</f>
        <v>0</v>
      </c>
      <c r="E49" s="49">
        <f t="shared" si="77"/>
        <v>14.94291389030067</v>
      </c>
      <c r="F49" s="49">
        <f>IF(F24="INVALID",0,IF(F24="Y",F135+-F46,-F208+F209+F220-F46))</f>
        <v>0</v>
      </c>
      <c r="G49" s="49">
        <f t="shared" ref="G49:H49" si="78">IF(G24="INVALID",0,IF(G24="Y",G135+-G46,-G208+G209+G220-G46))</f>
        <v>14.899274537289244</v>
      </c>
      <c r="H49" s="49">
        <f t="shared" si="78"/>
        <v>0</v>
      </c>
      <c r="I49" s="49">
        <f t="shared" ref="I49:K49" si="79">IF(I24="INVALID",0,IF(I24="Y",I135+-I46,-I208+I209+I220-I46))</f>
        <v>14.855978725953829</v>
      </c>
      <c r="J49" s="49">
        <f t="shared" si="79"/>
        <v>0</v>
      </c>
      <c r="K49" s="49">
        <f t="shared" si="79"/>
        <v>14.812958544876617</v>
      </c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</row>
    <row r="50" spans="1:50" x14ac:dyDescent="0.2">
      <c r="A50" s="3" t="s">
        <v>71</v>
      </c>
      <c r="B50" s="16">
        <f>IF(B24="INVALID",0,IF(B24="Y",-B128+B129+B140-B47,B215+-B47))</f>
        <v>450</v>
      </c>
      <c r="C50" s="49">
        <f>IF(C24="INVALID",0,IF(C24="Y",-C128+C129+C140-C47,C215+-C47))</f>
        <v>-145489.81824772185</v>
      </c>
      <c r="D50" s="49">
        <f t="shared" ref="D50:E50" si="80">IF(D24="INVALID",0,IF(D24="Y",-D128+D129+D140-D47,D215+-D47))</f>
        <v>450</v>
      </c>
      <c r="E50" s="49">
        <f t="shared" si="80"/>
        <v>-139160.5026786683</v>
      </c>
      <c r="F50" s="49">
        <f>IF(F24="INVALID",0,IF(F24="Y",-F128+F129+F140-F47,F215+-F47))</f>
        <v>450</v>
      </c>
      <c r="G50" s="49">
        <f t="shared" ref="G50:H50" si="81">IF(G24="INVALID",0,IF(G24="Y",-G128+G129+G140-G47,G215+-G47))</f>
        <v>-138770.17535860909</v>
      </c>
      <c r="H50" s="49">
        <f t="shared" si="81"/>
        <v>450</v>
      </c>
      <c r="I50" s="49">
        <f t="shared" ref="I50:K50" si="82">IF(I24="INVALID",0,IF(I24="Y",-I128+I129+I140-I47,I215+-I47))</f>
        <v>-138706.24982965773</v>
      </c>
      <c r="J50" s="49">
        <f t="shared" si="82"/>
        <v>450</v>
      </c>
      <c r="K50" s="49">
        <f t="shared" si="82"/>
        <v>-138800.28921505294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</row>
    <row r="51" spans="1:50" x14ac:dyDescent="0.2"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</row>
    <row r="52" spans="1:50" x14ac:dyDescent="0.2">
      <c r="A52" s="3" t="s">
        <v>72</v>
      </c>
      <c r="B52" s="16">
        <f>IF(B24="INVALID",0,IF(B24="Y",B145+B46-B135,B207+B221+B46))</f>
        <v>-14.932668194715323</v>
      </c>
      <c r="C52" s="49">
        <f>IF(C24="INVALID",0,IF(C24="Y",C145+C46-C135,C207+C221+C46))</f>
        <v>-15.981284774216341</v>
      </c>
      <c r="D52" s="49">
        <f t="shared" ref="D52:E52" si="83">IF(D24="INVALID",0,IF(D24="Y",D145+D46-D135,D207+D221+D46))</f>
        <v>-14.842049580993111</v>
      </c>
      <c r="E52" s="49">
        <f t="shared" si="83"/>
        <v>-15.436568450044597</v>
      </c>
      <c r="F52" s="49">
        <f>IF(F24="INVALID",0,IF(F24="Y",F145+F46-F135,F207+F221+F46))</f>
        <v>-14.755573831798028</v>
      </c>
      <c r="G52" s="49">
        <f t="shared" ref="G52:H52" si="84">IF(G24="INVALID",0,IF(G24="Y",G145+G46-G135,G207+G221+G46))</f>
        <v>-15.390132725265348</v>
      </c>
      <c r="H52" s="49">
        <f t="shared" si="84"/>
        <v>-14.669965075169225</v>
      </c>
      <c r="I52" s="49">
        <f t="shared" ref="I52:K52" si="85">IF(I24="INVALID",0,IF(I24="Y",I145+I46-I135,I207+I221+I46))</f>
        <v>-15.344036428279264</v>
      </c>
      <c r="J52" s="49">
        <f t="shared" si="85"/>
        <v>-14.585117604515654</v>
      </c>
      <c r="K52" s="49">
        <f t="shared" si="85"/>
        <v>-15.298225137076043</v>
      </c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</row>
    <row r="53" spans="1:50" x14ac:dyDescent="0.2">
      <c r="A53" s="3" t="s">
        <v>73</v>
      </c>
      <c r="B53" s="16">
        <f>IF(B24="INVALID",0,IF(B24="Y",B127+B141+B47,B225+B47-B215))</f>
        <v>149550</v>
      </c>
      <c r="C53" s="49">
        <f>IF(C24="INVALID",0,IF(C24="Y",C127+C141+C47,C225+C47-C215))</f>
        <v>155489.81824772185</v>
      </c>
      <c r="D53" s="49">
        <f t="shared" ref="D53:E53" si="86">IF(D24="INVALID",0,IF(D24="Y",D127+D141+D47,D225+D47-D215))</f>
        <v>149550</v>
      </c>
      <c r="E53" s="49">
        <f t="shared" si="86"/>
        <v>144160.5026786683</v>
      </c>
      <c r="F53" s="49">
        <f>IF(F24="INVALID",0,IF(F24="Y",F127+F141+F47,F225+F47-F215))</f>
        <v>149550</v>
      </c>
      <c r="G53" s="49">
        <f t="shared" ref="G53:H53" si="87">IF(G24="INVALID",0,IF(G24="Y",G127+G141+G47,G225+G47-G215))</f>
        <v>143770.17535860909</v>
      </c>
      <c r="H53" s="49">
        <f t="shared" si="87"/>
        <v>149550</v>
      </c>
      <c r="I53" s="49">
        <f t="shared" ref="I53:K53" si="88">IF(I24="INVALID",0,IF(I24="Y",I127+I141+I47,I225+I47-I215))</f>
        <v>143706.24982965773</v>
      </c>
      <c r="J53" s="49">
        <f t="shared" si="88"/>
        <v>149550</v>
      </c>
      <c r="K53" s="49">
        <f t="shared" si="88"/>
        <v>143800.28921505294</v>
      </c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</row>
    <row r="54" spans="1:50" x14ac:dyDescent="0.2"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</row>
    <row r="55" spans="1:50" x14ac:dyDescent="0.2">
      <c r="A55" s="3" t="s">
        <v>74</v>
      </c>
      <c r="B55" s="16">
        <f>IF(B24="INVALID",0,B49+B52)</f>
        <v>-14.932668194715323</v>
      </c>
      <c r="C55" s="49">
        <f>IF(C24="INVALID",0,C49+C52)</f>
        <v>-0.99194399215928009</v>
      </c>
      <c r="D55" s="49">
        <f t="shared" ref="D55:E55" si="89">IF(D24="INVALID",0,D49+D52)</f>
        <v>-14.842049580993111</v>
      </c>
      <c r="E55" s="49">
        <f t="shared" si="89"/>
        <v>-0.49365455974392702</v>
      </c>
      <c r="F55" s="49">
        <f>IF(F24="INVALID",0,F49+F52)</f>
        <v>-14.755573831798028</v>
      </c>
      <c r="G55" s="49">
        <f t="shared" ref="G55:H55" si="90">IF(G24="INVALID",0,G49+G52)</f>
        <v>-0.49085818797610337</v>
      </c>
      <c r="H55" s="49">
        <f t="shared" si="90"/>
        <v>-14.669965075169225</v>
      </c>
      <c r="I55" s="49">
        <f t="shared" ref="I55:K55" si="91">IF(I24="INVALID",0,I49+I52)</f>
        <v>-0.48805770232543466</v>
      </c>
      <c r="J55" s="49">
        <f t="shared" si="91"/>
        <v>-14.585117604515654</v>
      </c>
      <c r="K55" s="49">
        <f t="shared" si="91"/>
        <v>-0.48526659219942658</v>
      </c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</row>
    <row r="56" spans="1:50" x14ac:dyDescent="0.2">
      <c r="A56" s="3" t="s">
        <v>75</v>
      </c>
      <c r="B56" s="16">
        <f>IF(B24="INVALID",0,IF(B24="Y",B145,B219))</f>
        <v>-14.932668194715323</v>
      </c>
      <c r="C56" s="49">
        <f>IF(C24="INVALID",0,IF(C24="Y",C145,C219))</f>
        <v>-0.99194399215928042</v>
      </c>
      <c r="D56" s="49">
        <f t="shared" ref="D56:E56" si="92">IF(D24="INVALID",0,IF(D24="Y",D145,D219))</f>
        <v>-14.842049580993111</v>
      </c>
      <c r="E56" s="49">
        <f t="shared" si="92"/>
        <v>-0.49365455974392791</v>
      </c>
      <c r="F56" s="49">
        <f>IF(F24="INVALID",0,IF(F24="Y",F145,F219))</f>
        <v>-14.755573831798028</v>
      </c>
      <c r="G56" s="49">
        <f t="shared" ref="G56:H56" si="93">IF(G24="INVALID",0,IF(G24="Y",G145,G219))</f>
        <v>-0.4908581879761037</v>
      </c>
      <c r="H56" s="49">
        <f t="shared" si="93"/>
        <v>-14.669965075169225</v>
      </c>
      <c r="I56" s="49">
        <f t="shared" ref="I56:K56" si="94">IF(I24="INVALID",0,IF(I24="Y",I145,I219))</f>
        <v>-0.488057702325434</v>
      </c>
      <c r="J56" s="49">
        <f t="shared" si="94"/>
        <v>-14.585117604515654</v>
      </c>
      <c r="K56" s="49">
        <f t="shared" si="94"/>
        <v>-0.48526659219942647</v>
      </c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</row>
    <row r="57" spans="1:50" x14ac:dyDescent="0.2">
      <c r="A57" s="3" t="s">
        <v>76</v>
      </c>
      <c r="B57" s="16">
        <f>IF(B24="INVALID",0,B50+B53)</f>
        <v>150000</v>
      </c>
      <c r="C57" s="49">
        <f>IF(C24="INVALID",0,C50+C53)</f>
        <v>10000</v>
      </c>
      <c r="D57" s="49">
        <f t="shared" ref="D57:E57" si="95">IF(D24="INVALID",0,D50+D53)</f>
        <v>150000</v>
      </c>
      <c r="E57" s="49">
        <f t="shared" si="95"/>
        <v>5000</v>
      </c>
      <c r="F57" s="49">
        <f>IF(F24="INVALID",0,F50+F53)</f>
        <v>150000</v>
      </c>
      <c r="G57" s="49">
        <f t="shared" ref="G57:H57" si="96">IF(G24="INVALID",0,G50+G53)</f>
        <v>5000</v>
      </c>
      <c r="H57" s="49">
        <f t="shared" si="96"/>
        <v>150000</v>
      </c>
      <c r="I57" s="49">
        <f t="shared" ref="I57:K57" si="97">IF(I24="INVALID",0,I50+I53)</f>
        <v>5000</v>
      </c>
      <c r="J57" s="49">
        <f t="shared" si="97"/>
        <v>150000</v>
      </c>
      <c r="K57" s="49">
        <f t="shared" si="97"/>
        <v>5000</v>
      </c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</row>
    <row r="58" spans="1:50" x14ac:dyDescent="0.2">
      <c r="A58" s="3" t="s">
        <v>77</v>
      </c>
      <c r="B58" s="16">
        <f>IF(B24="INVALID",0,IF(B24="Y",B139,B225))</f>
        <v>150000</v>
      </c>
      <c r="C58" s="49">
        <f>IF(C24="INVALID",0,IF(C24="Y",C139,C225))</f>
        <v>10000</v>
      </c>
      <c r="D58" s="49">
        <f t="shared" ref="D58:E58" si="98">IF(D24="INVALID",0,IF(D24="Y",D139,D225))</f>
        <v>150000</v>
      </c>
      <c r="E58" s="49">
        <f t="shared" si="98"/>
        <v>5000</v>
      </c>
      <c r="F58" s="49">
        <f>IF(F24="INVALID",0,IF(F24="Y",F139,F225))</f>
        <v>150000</v>
      </c>
      <c r="G58" s="49">
        <f t="shared" ref="G58:H58" si="99">IF(G24="INVALID",0,IF(G24="Y",G139,G225))</f>
        <v>5000</v>
      </c>
      <c r="H58" s="49">
        <f t="shared" si="99"/>
        <v>150000</v>
      </c>
      <c r="I58" s="49">
        <f t="shared" ref="I58:K58" si="100">IF(I24="INVALID",0,IF(I24="Y",I139,I225))</f>
        <v>5000</v>
      </c>
      <c r="J58" s="49">
        <f t="shared" si="100"/>
        <v>150000</v>
      </c>
      <c r="K58" s="49">
        <f t="shared" si="100"/>
        <v>5000</v>
      </c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</row>
    <row r="59" spans="1:50" x14ac:dyDescent="0.2">
      <c r="A59" s="3" t="s">
        <v>79</v>
      </c>
      <c r="B59" s="6" t="b">
        <f>IF(B24="INVALID",0,AND(B55=B56,B57=B58))</f>
        <v>1</v>
      </c>
      <c r="C59" s="46" t="b">
        <f>IF(C24="INVALID",0,AND(C55=C56,C57=C58))</f>
        <v>1</v>
      </c>
      <c r="D59" s="46" t="b">
        <f t="shared" ref="D59:E59" si="101">IF(D24="INVALID",0,AND(D55=D56,D57=D58))</f>
        <v>1</v>
      </c>
      <c r="E59" s="46" t="b">
        <f t="shared" si="101"/>
        <v>0</v>
      </c>
      <c r="F59" s="46" t="b">
        <f>IF(F24="INVALID",0,AND(F55=F56,F57=F58))</f>
        <v>1</v>
      </c>
      <c r="G59" s="46" t="b">
        <f t="shared" ref="G59" si="102">IF(G24="INVALID",0,AND(G55=G56,G57=G58))</f>
        <v>0</v>
      </c>
      <c r="H59" s="46" t="b">
        <f t="shared" ref="H59:I59" si="103">IF(H24="INVALID",0,AND(H55=H56,H57=H58))</f>
        <v>1</v>
      </c>
      <c r="I59" s="46" t="b">
        <f t="shared" si="103"/>
        <v>0</v>
      </c>
      <c r="J59" s="46" t="b">
        <f t="shared" ref="J59" si="104">IF(J24="INVALID",0,AND(J55=J56,J57=J58))</f>
        <v>1</v>
      </c>
      <c r="K59" s="46" t="b">
        <f t="shared" ref="K59" si="105">IF(K24="INVALID",0,AND(K55=K56,K57=K58))</f>
        <v>0</v>
      </c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</row>
    <row r="60" spans="1:50" x14ac:dyDescent="0.2"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</row>
    <row r="61" spans="1:50" x14ac:dyDescent="0.2">
      <c r="A61" s="3" t="s">
        <v>112</v>
      </c>
      <c r="B61" s="16">
        <f>B49</f>
        <v>0</v>
      </c>
      <c r="C61" s="49">
        <f>B61+C49</f>
        <v>14.989340782057061</v>
      </c>
      <c r="D61" s="49">
        <f t="shared" ref="D61:E61" si="106">C61+D49</f>
        <v>14.989340782057061</v>
      </c>
      <c r="E61" s="49">
        <f t="shared" si="106"/>
        <v>29.932254672357729</v>
      </c>
      <c r="F61" s="49">
        <f>E61+F49</f>
        <v>29.932254672357729</v>
      </c>
      <c r="G61" s="49">
        <f t="shared" ref="G61:H61" si="107">F61+G49</f>
        <v>44.831529209646973</v>
      </c>
      <c r="H61" s="49">
        <f t="shared" si="107"/>
        <v>44.831529209646973</v>
      </c>
      <c r="I61" s="49">
        <f t="shared" ref="I61:K61" si="108">H61+I49</f>
        <v>59.687507935600806</v>
      </c>
      <c r="J61" s="49">
        <f t="shared" si="108"/>
        <v>59.687507935600806</v>
      </c>
      <c r="K61" s="49">
        <f t="shared" si="108"/>
        <v>74.500466480477428</v>
      </c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</row>
    <row r="62" spans="1:50" x14ac:dyDescent="0.2">
      <c r="A62" s="3" t="s">
        <v>113</v>
      </c>
      <c r="B62" s="16">
        <f>B52</f>
        <v>-14.932668194715323</v>
      </c>
      <c r="C62" s="49">
        <f>B62+C52</f>
        <v>-30.913952968931664</v>
      </c>
      <c r="D62" s="49">
        <f t="shared" ref="D62:E62" si="109">C62+D52</f>
        <v>-45.756002549924773</v>
      </c>
      <c r="E62" s="49">
        <f t="shared" si="109"/>
        <v>-61.192570999969369</v>
      </c>
      <c r="F62" s="49">
        <f>E62+F52</f>
        <v>-75.948144831767394</v>
      </c>
      <c r="G62" s="49">
        <f t="shared" ref="G62:H62" si="110">F62+G52</f>
        <v>-91.33827755703274</v>
      </c>
      <c r="H62" s="49">
        <f t="shared" si="110"/>
        <v>-106.00824263220197</v>
      </c>
      <c r="I62" s="49">
        <f t="shared" ref="I62:K62" si="111">H62+I52</f>
        <v>-121.35227906048124</v>
      </c>
      <c r="J62" s="49">
        <f t="shared" si="111"/>
        <v>-135.9373966649969</v>
      </c>
      <c r="K62" s="49">
        <f t="shared" si="111"/>
        <v>-151.23562180207293</v>
      </c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</row>
    <row r="63" spans="1:50" x14ac:dyDescent="0.2">
      <c r="A63" s="3" t="s">
        <v>114</v>
      </c>
      <c r="B63" s="16">
        <f>B55</f>
        <v>-14.932668194715323</v>
      </c>
      <c r="C63" s="49">
        <f>B63+C55</f>
        <v>-15.924612186874603</v>
      </c>
      <c r="D63" s="49">
        <f t="shared" ref="D63:E63" si="112">C63+D55</f>
        <v>-30.766661767867713</v>
      </c>
      <c r="E63" s="49">
        <f t="shared" si="112"/>
        <v>-31.26031632761164</v>
      </c>
      <c r="F63" s="49">
        <f>E63+F55</f>
        <v>-46.015890159409665</v>
      </c>
      <c r="G63" s="49">
        <f t="shared" ref="G63:H63" si="113">F63+G55</f>
        <v>-46.506748347385766</v>
      </c>
      <c r="H63" s="49">
        <f t="shared" si="113"/>
        <v>-61.17671342255499</v>
      </c>
      <c r="I63" s="49">
        <f t="shared" ref="I63:K63" si="114">H63+I55</f>
        <v>-61.664771124880424</v>
      </c>
      <c r="J63" s="49">
        <f t="shared" si="114"/>
        <v>-76.249888729396076</v>
      </c>
      <c r="K63" s="49">
        <f t="shared" si="114"/>
        <v>-76.735155321595499</v>
      </c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</row>
    <row r="64" spans="1:50" x14ac:dyDescent="0.2"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</row>
    <row r="65" spans="1:50" x14ac:dyDescent="0.2">
      <c r="A65" s="3" t="s">
        <v>115</v>
      </c>
      <c r="B65" s="16">
        <f>B50</f>
        <v>450</v>
      </c>
      <c r="C65" s="49">
        <f>B65+C50</f>
        <v>-145039.81824772185</v>
      </c>
      <c r="D65" s="49">
        <f t="shared" ref="D65:E65" si="115">C65+D50</f>
        <v>-144589.81824772185</v>
      </c>
      <c r="E65" s="49">
        <f t="shared" si="115"/>
        <v>-283750.32092639012</v>
      </c>
      <c r="F65" s="49">
        <f>E65+F50</f>
        <v>-283300.32092639012</v>
      </c>
      <c r="G65" s="49">
        <f t="shared" ref="G65:H65" si="116">F65+G50</f>
        <v>-422070.49628499919</v>
      </c>
      <c r="H65" s="49">
        <f t="shared" si="116"/>
        <v>-421620.49628499919</v>
      </c>
      <c r="I65" s="49">
        <f t="shared" ref="I65:K65" si="117">H65+I50</f>
        <v>-560326.74611465691</v>
      </c>
      <c r="J65" s="49">
        <f t="shared" si="117"/>
        <v>-559876.74611465691</v>
      </c>
      <c r="K65" s="49">
        <f t="shared" si="117"/>
        <v>-698677.03532970988</v>
      </c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</row>
    <row r="66" spans="1:50" x14ac:dyDescent="0.2">
      <c r="A66" s="3" t="s">
        <v>116</v>
      </c>
      <c r="B66" s="16">
        <f>B53</f>
        <v>149550</v>
      </c>
      <c r="C66" s="49">
        <f>B66+C53</f>
        <v>305039.81824772188</v>
      </c>
      <c r="D66" s="49">
        <f t="shared" ref="D66:E66" si="118">C66+D53</f>
        <v>454589.81824772188</v>
      </c>
      <c r="E66" s="49">
        <f t="shared" si="118"/>
        <v>598750.32092639012</v>
      </c>
      <c r="F66" s="49">
        <f>E66+F53</f>
        <v>748300.32092639012</v>
      </c>
      <c r="G66" s="49">
        <f t="shared" ref="G66:H66" si="119">F66+G53</f>
        <v>892070.49628499919</v>
      </c>
      <c r="H66" s="49">
        <f t="shared" si="119"/>
        <v>1041620.4962849992</v>
      </c>
      <c r="I66" s="49">
        <f t="shared" ref="I66:K66" si="120">H66+I53</f>
        <v>1185326.7461146568</v>
      </c>
      <c r="J66" s="49">
        <f t="shared" si="120"/>
        <v>1334876.7461146568</v>
      </c>
      <c r="K66" s="49">
        <f t="shared" si="120"/>
        <v>1478677.0353297098</v>
      </c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</row>
    <row r="67" spans="1:50" x14ac:dyDescent="0.2">
      <c r="A67" s="3" t="s">
        <v>117</v>
      </c>
      <c r="B67" s="16">
        <f>B57</f>
        <v>150000</v>
      </c>
      <c r="C67" s="49">
        <f>B67+C57</f>
        <v>160000</v>
      </c>
      <c r="D67" s="49">
        <f t="shared" ref="D67:E67" si="121">C67+D57</f>
        <v>310000</v>
      </c>
      <c r="E67" s="49">
        <f t="shared" si="121"/>
        <v>315000</v>
      </c>
      <c r="F67" s="49">
        <f>E67+F57</f>
        <v>465000</v>
      </c>
      <c r="G67" s="49">
        <f t="shared" ref="G67:H67" si="122">F67+G57</f>
        <v>470000</v>
      </c>
      <c r="H67" s="49">
        <f t="shared" si="122"/>
        <v>620000</v>
      </c>
      <c r="I67" s="49">
        <f t="shared" ref="I67:K67" si="123">H67+I57</f>
        <v>625000</v>
      </c>
      <c r="J67" s="49">
        <f t="shared" si="123"/>
        <v>775000</v>
      </c>
      <c r="K67" s="49">
        <f t="shared" si="123"/>
        <v>780000</v>
      </c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</row>
    <row r="68" spans="1:50" x14ac:dyDescent="0.2">
      <c r="A68" s="9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</row>
    <row r="69" spans="1:50" x14ac:dyDescent="0.2">
      <c r="A69" s="12" t="s">
        <v>124</v>
      </c>
      <c r="B69" s="16">
        <f>B220</f>
        <v>0</v>
      </c>
      <c r="C69" s="49">
        <f>B69+C220</f>
        <v>0</v>
      </c>
      <c r="D69" s="49">
        <f t="shared" ref="D69:E69" si="124">C69+D220</f>
        <v>0</v>
      </c>
      <c r="E69" s="49">
        <f t="shared" si="124"/>
        <v>0</v>
      </c>
      <c r="F69" s="49">
        <f>E69+F220</f>
        <v>0</v>
      </c>
      <c r="G69" s="49">
        <f t="shared" ref="G69:H69" si="125">F69+G220</f>
        <v>0</v>
      </c>
      <c r="H69" s="49">
        <f t="shared" si="125"/>
        <v>0</v>
      </c>
      <c r="I69" s="49">
        <f t="shared" ref="I69:K69" si="126">H69+I220</f>
        <v>0</v>
      </c>
      <c r="J69" s="49">
        <f t="shared" si="126"/>
        <v>0</v>
      </c>
      <c r="K69" s="49">
        <f t="shared" si="126"/>
        <v>0</v>
      </c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</row>
    <row r="70" spans="1:50" x14ac:dyDescent="0.2">
      <c r="A70" s="12" t="s">
        <v>125</v>
      </c>
      <c r="B70" s="16">
        <f>B140</f>
        <v>450</v>
      </c>
      <c r="C70" s="49">
        <f>B70+C140</f>
        <v>480</v>
      </c>
      <c r="D70" s="49">
        <f t="shared" ref="D70:E70" si="127">C70+D140</f>
        <v>930</v>
      </c>
      <c r="E70" s="49">
        <f t="shared" si="127"/>
        <v>945</v>
      </c>
      <c r="F70" s="49">
        <f>E70+F140</f>
        <v>1395</v>
      </c>
      <c r="G70" s="49">
        <f t="shared" ref="G70:H70" si="128">F70+G140</f>
        <v>1410</v>
      </c>
      <c r="H70" s="49">
        <f t="shared" si="128"/>
        <v>1860</v>
      </c>
      <c r="I70" s="49">
        <f t="shared" ref="I70:K70" si="129">H70+I140</f>
        <v>1875</v>
      </c>
      <c r="J70" s="49">
        <f t="shared" si="129"/>
        <v>2325</v>
      </c>
      <c r="K70" s="49">
        <f t="shared" si="129"/>
        <v>2340</v>
      </c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</row>
    <row r="71" spans="1:50" x14ac:dyDescent="0.2"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</row>
    <row r="72" spans="1:50" x14ac:dyDescent="0.2"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</row>
    <row r="73" spans="1:50" ht="19" x14ac:dyDescent="0.25">
      <c r="A73" s="26" t="s">
        <v>82</v>
      </c>
      <c r="B73" s="17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</row>
    <row r="74" spans="1:50" x14ac:dyDescent="0.2">
      <c r="A74" s="3" t="s">
        <v>9</v>
      </c>
      <c r="B74" s="21">
        <f>SQRT(B35)</f>
        <v>100</v>
      </c>
      <c r="C74" s="52">
        <f>SQRT(C35)</f>
        <v>100</v>
      </c>
      <c r="D74" s="52">
        <f t="shared" ref="D74:E74" si="130">SQRT(D35)</f>
        <v>100.30503981824772</v>
      </c>
      <c r="E74" s="52">
        <f t="shared" si="130"/>
        <v>100.30503981824772</v>
      </c>
      <c r="F74" s="52">
        <f>SQRT(F35)</f>
        <v>100.5987503209264</v>
      </c>
      <c r="G74" s="52">
        <f t="shared" ref="G74:H74" si="131">SQRT(G35)</f>
        <v>100.5987503209264</v>
      </c>
      <c r="H74" s="52">
        <f t="shared" si="131"/>
        <v>100.89207049628502</v>
      </c>
      <c r="I74" s="52">
        <f t="shared" ref="I74:K74" si="132">SQRT(I35)</f>
        <v>100.89207049628502</v>
      </c>
      <c r="J74" s="52">
        <f t="shared" si="132"/>
        <v>101.18532674611468</v>
      </c>
      <c r="K74" s="52">
        <f t="shared" si="132"/>
        <v>101.18532674611468</v>
      </c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</row>
    <row r="75" spans="1:50" x14ac:dyDescent="0.2">
      <c r="A75" s="12" t="s">
        <v>10</v>
      </c>
      <c r="B75" s="21">
        <f>SQRT(B36)</f>
        <v>100.15033834597084</v>
      </c>
      <c r="C75" s="52">
        <f>SQRT(C36)</f>
        <v>100.15033834597084</v>
      </c>
      <c r="D75" s="52">
        <f t="shared" ref="D75:E75" si="133">SQRT(D36)</f>
        <v>100.45583675603586</v>
      </c>
      <c r="E75" s="52">
        <f t="shared" si="133"/>
        <v>100.45583675603586</v>
      </c>
      <c r="F75" s="52">
        <f>SQRT(F36)</f>
        <v>100.74998881822621</v>
      </c>
      <c r="G75" s="52">
        <f t="shared" ref="G75:H75" si="134">SQRT(G36)</f>
        <v>100.74998881822621</v>
      </c>
      <c r="H75" s="52">
        <f t="shared" si="134"/>
        <v>101.04374996628486</v>
      </c>
      <c r="I75" s="52">
        <f t="shared" ref="I75:K75" si="135">SQRT(I36)</f>
        <v>101.04374996628486</v>
      </c>
      <c r="J75" s="52">
        <f t="shared" si="135"/>
        <v>101.33744709270998</v>
      </c>
      <c r="K75" s="52">
        <f t="shared" si="135"/>
        <v>101.33744709270998</v>
      </c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</row>
    <row r="76" spans="1:50" x14ac:dyDescent="0.2">
      <c r="A76" s="3" t="s">
        <v>11</v>
      </c>
      <c r="B76" s="21">
        <f>SQRT(B37)</f>
        <v>99.84988733093293</v>
      </c>
      <c r="C76" s="52">
        <f>SQRT(C37)</f>
        <v>99.84988733093293</v>
      </c>
      <c r="D76" s="52">
        <f t="shared" ref="D76:E76" si="136">SQRT(D37)</f>
        <v>100.15446924576776</v>
      </c>
      <c r="E76" s="52">
        <f t="shared" si="136"/>
        <v>100.15446924576776</v>
      </c>
      <c r="F76" s="52">
        <f>SQRT(F37)</f>
        <v>100.44773885177153</v>
      </c>
      <c r="G76" s="52">
        <f t="shared" ref="G76:H76" si="137">SQRT(G37)</f>
        <v>100.44773885177153</v>
      </c>
      <c r="H76" s="52">
        <f t="shared" si="137"/>
        <v>100.74061871638601</v>
      </c>
      <c r="I76" s="52">
        <f t="shared" ref="I76:K76" si="138">SQRT(I37)</f>
        <v>100.74061871638601</v>
      </c>
      <c r="J76" s="52">
        <f t="shared" si="138"/>
        <v>101.03343475143186</v>
      </c>
      <c r="K76" s="52">
        <f t="shared" si="138"/>
        <v>101.03343475143186</v>
      </c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</row>
    <row r="77" spans="1:50" x14ac:dyDescent="0.2">
      <c r="A77" s="3" t="s">
        <v>12</v>
      </c>
      <c r="B77" s="21">
        <f>SQRT(B38)</f>
        <v>100</v>
      </c>
      <c r="C77" s="52">
        <f>SQRT(C38)</f>
        <v>100.14955</v>
      </c>
      <c r="D77" s="52">
        <f t="shared" ref="D77:E77" si="139">SQRT(D38)</f>
        <v>100.30503981824772</v>
      </c>
      <c r="E77" s="52">
        <f t="shared" si="139"/>
        <v>100.45458981824773</v>
      </c>
      <c r="F77" s="52">
        <f>SQRT(F38)</f>
        <v>100.5987503209264</v>
      </c>
      <c r="G77" s="52">
        <f t="shared" ref="G77:H77" si="140">SQRT(G38)</f>
        <v>100.7483003209264</v>
      </c>
      <c r="H77" s="52">
        <f t="shared" si="140"/>
        <v>100.89207049628502</v>
      </c>
      <c r="I77" s="52">
        <f t="shared" ref="I77:K77" si="141">SQRT(I38)</f>
        <v>101.04162049628502</v>
      </c>
      <c r="J77" s="52">
        <f t="shared" si="141"/>
        <v>101.18532674611468</v>
      </c>
      <c r="K77" s="52">
        <f t="shared" si="141"/>
        <v>101.33487674611469</v>
      </c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</row>
    <row r="78" spans="1:50" x14ac:dyDescent="0.2"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</row>
    <row r="79" spans="1:50" x14ac:dyDescent="0.2">
      <c r="A79" s="3" t="s">
        <v>83</v>
      </c>
      <c r="B79" s="22">
        <f>(B75-B74)*B18</f>
        <v>150338.3459708374</v>
      </c>
      <c r="C79" s="53">
        <f>(C75-C74)*C18</f>
        <v>150338.3459708374</v>
      </c>
      <c r="D79" s="53">
        <f t="shared" ref="D79:E79" si="142">(D75-D74)*D18</f>
        <v>150796.93778814372</v>
      </c>
      <c r="E79" s="53">
        <f t="shared" si="142"/>
        <v>150796.93778814372</v>
      </c>
      <c r="F79" s="53">
        <f>(F75-F74)*F18</f>
        <v>151238.49729981486</v>
      </c>
      <c r="G79" s="53">
        <f t="shared" ref="G79:H79" si="143">(G75-G74)*G18</f>
        <v>151238.49729981486</v>
      </c>
      <c r="H79" s="53">
        <f t="shared" si="143"/>
        <v>151679.46999984849</v>
      </c>
      <c r="I79" s="53">
        <f t="shared" ref="I79:K79" si="144">(I75-I74)*I18</f>
        <v>151679.46999984849</v>
      </c>
      <c r="J79" s="53">
        <f t="shared" si="144"/>
        <v>152120.34659529649</v>
      </c>
      <c r="K79" s="53">
        <f t="shared" si="144"/>
        <v>152120.34659529649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</row>
    <row r="80" spans="1:50" x14ac:dyDescent="0.2">
      <c r="A80" s="3" t="s">
        <v>84</v>
      </c>
      <c r="B80" s="16">
        <f>(B75-B77)*B18</f>
        <v>150338.3459708374</v>
      </c>
      <c r="C80" s="49">
        <f>(C75-C77)*C18</f>
        <v>788.34597083243807</v>
      </c>
      <c r="D80" s="49">
        <f t="shared" ref="D80:E80" si="145">(D75-D77)*D18</f>
        <v>150796.93778814372</v>
      </c>
      <c r="E80" s="49">
        <f t="shared" si="145"/>
        <v>1246.93778813878</v>
      </c>
      <c r="F80" s="49">
        <f>(F75-F77)*F18</f>
        <v>151238.49729981486</v>
      </c>
      <c r="G80" s="49">
        <f t="shared" ref="G80:H80" si="146">(G75-G77)*G18</f>
        <v>1688.4972998099101</v>
      </c>
      <c r="H80" s="49">
        <f t="shared" si="146"/>
        <v>151679.46999984849</v>
      </c>
      <c r="I80" s="49">
        <f t="shared" ref="I80:K80" si="147">(I75-I77)*I18</f>
        <v>2129.4699998435362</v>
      </c>
      <c r="J80" s="49">
        <f t="shared" si="147"/>
        <v>152120.34659529649</v>
      </c>
      <c r="K80" s="49">
        <f t="shared" si="147"/>
        <v>2570.3465952915394</v>
      </c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</row>
    <row r="81" spans="1:50" x14ac:dyDescent="0.2"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</row>
    <row r="82" spans="1:50" x14ac:dyDescent="0.2">
      <c r="A82" s="3" t="s">
        <v>16</v>
      </c>
      <c r="B82" s="23">
        <f>B13</f>
        <v>150000</v>
      </c>
      <c r="C82" s="54">
        <f>C13</f>
        <v>10000</v>
      </c>
      <c r="D82" s="54">
        <f t="shared" ref="D82:E82" si="148">D13</f>
        <v>150000</v>
      </c>
      <c r="E82" s="54">
        <f t="shared" si="148"/>
        <v>5000</v>
      </c>
      <c r="F82" s="54">
        <f>F13</f>
        <v>150000</v>
      </c>
      <c r="G82" s="54">
        <f t="shared" ref="G82:H82" si="149">G13</f>
        <v>5000</v>
      </c>
      <c r="H82" s="54">
        <f t="shared" si="149"/>
        <v>150000</v>
      </c>
      <c r="I82" s="54">
        <f t="shared" ref="I82:K82" si="150">I13</f>
        <v>5000</v>
      </c>
      <c r="J82" s="54">
        <f t="shared" si="150"/>
        <v>150000</v>
      </c>
      <c r="K82" s="54">
        <f t="shared" si="150"/>
        <v>5000</v>
      </c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</row>
    <row r="83" spans="1:50" x14ac:dyDescent="0.2">
      <c r="A83" s="3" t="s">
        <v>17</v>
      </c>
      <c r="B83" s="6">
        <f>B82*B17</f>
        <v>450</v>
      </c>
      <c r="C83" s="46">
        <f>C82*C17</f>
        <v>30</v>
      </c>
      <c r="D83" s="46">
        <f t="shared" ref="D83:E83" si="151">D82*D17</f>
        <v>450</v>
      </c>
      <c r="E83" s="46">
        <f t="shared" si="151"/>
        <v>15</v>
      </c>
      <c r="F83" s="46">
        <f>F82*F17</f>
        <v>450</v>
      </c>
      <c r="G83" s="46">
        <f t="shared" ref="G83" si="152">G82*G17</f>
        <v>15</v>
      </c>
      <c r="H83" s="46">
        <f t="shared" ref="H83:I83" si="153">H82*H17</f>
        <v>450</v>
      </c>
      <c r="I83" s="46">
        <f t="shared" si="153"/>
        <v>15</v>
      </c>
      <c r="J83" s="46">
        <f t="shared" ref="J83" si="154">J82*J17</f>
        <v>450</v>
      </c>
      <c r="K83" s="46">
        <f t="shared" ref="K83" si="155">K82*K17</f>
        <v>15</v>
      </c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</row>
    <row r="84" spans="1:50" x14ac:dyDescent="0.2">
      <c r="A84" s="3" t="s">
        <v>15</v>
      </c>
      <c r="B84" s="6">
        <f>B13*(1-B17)</f>
        <v>149550</v>
      </c>
      <c r="C84" s="46">
        <f>C13*(1-C17)</f>
        <v>9970</v>
      </c>
      <c r="D84" s="46">
        <f t="shared" ref="D84:E84" si="156">D13*(1-D17)</f>
        <v>149550</v>
      </c>
      <c r="E84" s="46">
        <f t="shared" si="156"/>
        <v>4985</v>
      </c>
      <c r="F84" s="46">
        <f>F13*(1-F17)</f>
        <v>149550</v>
      </c>
      <c r="G84" s="46">
        <f t="shared" ref="G84:H84" si="157">G13*(1-G17)</f>
        <v>4985</v>
      </c>
      <c r="H84" s="46">
        <f t="shared" si="157"/>
        <v>149550</v>
      </c>
      <c r="I84" s="46">
        <f t="shared" ref="I84:K84" si="158">I13*(1-I17)</f>
        <v>4985</v>
      </c>
      <c r="J84" s="46">
        <f t="shared" si="158"/>
        <v>149550</v>
      </c>
      <c r="K84" s="46">
        <f t="shared" si="158"/>
        <v>4985</v>
      </c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</row>
    <row r="85" spans="1:50" x14ac:dyDescent="0.2">
      <c r="A85" s="3" t="s">
        <v>14</v>
      </c>
      <c r="B85" s="16">
        <f>B84-B79</f>
        <v>-788.34597083739936</v>
      </c>
      <c r="C85" s="49">
        <f>C84-C79</f>
        <v>-140368.3459708374</v>
      </c>
      <c r="D85" s="49">
        <f t="shared" ref="D85:E85" si="159">D84-D79</f>
        <v>-1246.9377881437249</v>
      </c>
      <c r="E85" s="49">
        <f t="shared" si="159"/>
        <v>-145811.93778814372</v>
      </c>
      <c r="F85" s="49">
        <f>F84-F79</f>
        <v>-1688.4972998148587</v>
      </c>
      <c r="G85" s="49">
        <f t="shared" ref="G85" si="160">G84-G79</f>
        <v>-146253.49729981486</v>
      </c>
      <c r="H85" s="49">
        <f t="shared" ref="H85:I85" si="161">H84-H79</f>
        <v>-2129.4699998484866</v>
      </c>
      <c r="I85" s="49">
        <f t="shared" si="161"/>
        <v>-146694.46999984849</v>
      </c>
      <c r="J85" s="49">
        <f t="shared" ref="J85" si="162">J84-J79</f>
        <v>-2570.3465952964907</v>
      </c>
      <c r="K85" s="49">
        <f t="shared" ref="K85" si="163">K84-K79</f>
        <v>-147135.34659529649</v>
      </c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</row>
    <row r="86" spans="1:50" x14ac:dyDescent="0.2">
      <c r="A86" s="3" t="s">
        <v>13</v>
      </c>
      <c r="B86" s="16">
        <f>B84-B80</f>
        <v>-788.34597083739936</v>
      </c>
      <c r="C86" s="49">
        <f>C84-C80</f>
        <v>9181.6540291675628</v>
      </c>
      <c r="D86" s="49">
        <f t="shared" ref="D86:E86" si="164">D84-D80</f>
        <v>-1246.9377881437249</v>
      </c>
      <c r="E86" s="49">
        <f t="shared" si="164"/>
        <v>3738.06221186122</v>
      </c>
      <c r="F86" s="49">
        <f>F84-F80</f>
        <v>-1688.4972998148587</v>
      </c>
      <c r="G86" s="49">
        <f t="shared" ref="G86:H86" si="165">G84-G80</f>
        <v>3296.5027001900899</v>
      </c>
      <c r="H86" s="49">
        <f t="shared" si="165"/>
        <v>-2129.4699998484866</v>
      </c>
      <c r="I86" s="49">
        <f t="shared" ref="I86:K86" si="166">I84-I80</f>
        <v>2855.5300001564638</v>
      </c>
      <c r="J86" s="49">
        <f t="shared" si="166"/>
        <v>-2570.3465952964907</v>
      </c>
      <c r="K86" s="49">
        <f t="shared" si="166"/>
        <v>2414.6534047084606</v>
      </c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</row>
    <row r="87" spans="1:50" x14ac:dyDescent="0.2"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</row>
    <row r="88" spans="1:50" x14ac:dyDescent="0.2">
      <c r="A88" s="3" t="s">
        <v>18</v>
      </c>
      <c r="B88" s="16">
        <f>B86/B18</f>
        <v>-7.8834597083739938E-4</v>
      </c>
      <c r="C88" s="49">
        <f>C86/C18</f>
        <v>9.1816540291675634E-3</v>
      </c>
      <c r="D88" s="49">
        <f t="shared" ref="D88:E88" si="167">D86/D18</f>
        <v>-1.2469377881437248E-3</v>
      </c>
      <c r="E88" s="49">
        <f t="shared" si="167"/>
        <v>3.7380622118612199E-3</v>
      </c>
      <c r="F88" s="49">
        <f>F86/F18</f>
        <v>-1.6884972998148587E-3</v>
      </c>
      <c r="G88" s="49">
        <f t="shared" ref="G88:H88" si="168">G86/G18</f>
        <v>3.2965027001900897E-3</v>
      </c>
      <c r="H88" s="49">
        <f t="shared" si="168"/>
        <v>-2.1294699998484867E-3</v>
      </c>
      <c r="I88" s="49">
        <f t="shared" ref="I88:K88" si="169">I86/I18</f>
        <v>2.8555300001564636E-3</v>
      </c>
      <c r="J88" s="49">
        <f t="shared" si="169"/>
        <v>-2.5703465952964907E-3</v>
      </c>
      <c r="K88" s="49">
        <f t="shared" si="169"/>
        <v>2.4146534047084604E-3</v>
      </c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</row>
    <row r="89" spans="1:50" x14ac:dyDescent="0.2">
      <c r="A89" s="3" t="s">
        <v>27</v>
      </c>
      <c r="B89" s="16">
        <f>B75+B88</f>
        <v>100.14955</v>
      </c>
      <c r="C89" s="49">
        <f>C75+C88</f>
        <v>100.15952</v>
      </c>
      <c r="D89" s="49">
        <f t="shared" ref="D89:E89" si="170">D75+D88</f>
        <v>100.45458981824773</v>
      </c>
      <c r="E89" s="49">
        <f t="shared" si="170"/>
        <v>100.45957481824773</v>
      </c>
      <c r="F89" s="49">
        <f>F75+F88</f>
        <v>100.7483003209264</v>
      </c>
      <c r="G89" s="49">
        <f t="shared" ref="G89" si="171">G75+G88</f>
        <v>100.75328532092641</v>
      </c>
      <c r="H89" s="49">
        <f t="shared" ref="H89:I89" si="172">H75+H88</f>
        <v>101.04162049628502</v>
      </c>
      <c r="I89" s="49">
        <f t="shared" si="172"/>
        <v>101.04660549628503</v>
      </c>
      <c r="J89" s="49">
        <f t="shared" ref="J89" si="173">J75+J88</f>
        <v>101.33487674611469</v>
      </c>
      <c r="K89" s="49">
        <f t="shared" ref="K89" si="174">K75+K88</f>
        <v>101.33986174611469</v>
      </c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</row>
    <row r="90" spans="1:50" x14ac:dyDescent="0.2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</row>
    <row r="91" spans="1:50" x14ac:dyDescent="0.2">
      <c r="A91" s="3" t="s">
        <v>21</v>
      </c>
      <c r="B91" s="27">
        <f>B84/B18</f>
        <v>0.14954999999999999</v>
      </c>
      <c r="C91" s="51">
        <f>C84/C18</f>
        <v>9.9699999999999997E-3</v>
      </c>
      <c r="D91" s="51">
        <f t="shared" ref="D91:E91" si="175">D84/D18</f>
        <v>0.14954999999999999</v>
      </c>
      <c r="E91" s="51">
        <f t="shared" si="175"/>
        <v>4.9849999999999998E-3</v>
      </c>
      <c r="F91" s="51">
        <f>F84/F18</f>
        <v>0.14954999999999999</v>
      </c>
      <c r="G91" s="51">
        <f t="shared" ref="G91:H91" si="176">G84/G18</f>
        <v>4.9849999999999998E-3</v>
      </c>
      <c r="H91" s="51">
        <f t="shared" si="176"/>
        <v>0.14954999999999999</v>
      </c>
      <c r="I91" s="51">
        <f t="shared" ref="I91:K91" si="177">I84/I18</f>
        <v>4.9849999999999998E-3</v>
      </c>
      <c r="J91" s="51">
        <f t="shared" si="177"/>
        <v>0.14954999999999999</v>
      </c>
      <c r="K91" s="51">
        <f t="shared" si="177"/>
        <v>4.9849999999999998E-3</v>
      </c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</row>
    <row r="92" spans="1:50" x14ac:dyDescent="0.2">
      <c r="A92" s="3" t="s">
        <v>20</v>
      </c>
      <c r="B92" s="27">
        <f>B77+B91</f>
        <v>100.14955</v>
      </c>
      <c r="C92" s="51">
        <f>C77+C91</f>
        <v>100.15952</v>
      </c>
      <c r="D92" s="51">
        <f t="shared" ref="D92:E92" si="178">D77+D91</f>
        <v>100.45458981824773</v>
      </c>
      <c r="E92" s="51">
        <f t="shared" si="178"/>
        <v>100.45957481824773</v>
      </c>
      <c r="F92" s="51">
        <f>F77+F91</f>
        <v>100.7483003209264</v>
      </c>
      <c r="G92" s="51">
        <f t="shared" ref="G92" si="179">G77+G91</f>
        <v>100.75328532092641</v>
      </c>
      <c r="H92" s="51">
        <f t="shared" ref="H92:I92" si="180">H77+H91</f>
        <v>101.04162049628502</v>
      </c>
      <c r="I92" s="51">
        <f t="shared" si="180"/>
        <v>101.04660549628503</v>
      </c>
      <c r="J92" s="51">
        <f t="shared" ref="J92" si="181">J77+J91</f>
        <v>101.33487674611469</v>
      </c>
      <c r="K92" s="51">
        <f t="shared" ref="K92" si="182">K77+K91</f>
        <v>101.33986174611469</v>
      </c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</row>
    <row r="93" spans="1:50" x14ac:dyDescent="0.2">
      <c r="A93" s="3" t="s">
        <v>23</v>
      </c>
      <c r="B93" s="28">
        <f>1/B77</f>
        <v>0.01</v>
      </c>
      <c r="C93" s="50">
        <f>1/C77</f>
        <v>9.9850673318052849E-3</v>
      </c>
      <c r="D93" s="50">
        <f t="shared" ref="D93:E93" si="183">1/D77</f>
        <v>9.9695887844917404E-3</v>
      </c>
      <c r="E93" s="50">
        <f t="shared" si="183"/>
        <v>9.9547467349107473E-3</v>
      </c>
      <c r="F93" s="50">
        <f>1/F77</f>
        <v>9.9404813360984817E-3</v>
      </c>
      <c r="G93" s="50">
        <f t="shared" ref="G93:H93" si="184">1/G77</f>
        <v>9.9257257622666836E-3</v>
      </c>
      <c r="H93" s="50">
        <f t="shared" si="184"/>
        <v>9.9115817039042865E-3</v>
      </c>
      <c r="I93" s="50">
        <f t="shared" ref="I93:K93" si="185">1/I77</f>
        <v>9.8969117388291172E-3</v>
      </c>
      <c r="J93" s="50">
        <f t="shared" si="185"/>
        <v>9.8828558661386949E-3</v>
      </c>
      <c r="K93" s="50">
        <f t="shared" si="185"/>
        <v>9.8682707485341793E-3</v>
      </c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</row>
    <row r="94" spans="1:50" x14ac:dyDescent="0.2">
      <c r="A94" s="3" t="s">
        <v>24</v>
      </c>
      <c r="B94" s="28">
        <f>1/B92</f>
        <v>9.9850673318052849E-3</v>
      </c>
      <c r="C94" s="50">
        <f>1/C92</f>
        <v>9.9840734061025851E-3</v>
      </c>
      <c r="D94" s="50">
        <f t="shared" ref="D94:E94" si="186">1/D92</f>
        <v>9.9547467349107473E-3</v>
      </c>
      <c r="E94" s="50">
        <f t="shared" si="186"/>
        <v>9.9542527609658722E-3</v>
      </c>
      <c r="F94" s="50">
        <f>1/F92</f>
        <v>9.9257257622666836E-3</v>
      </c>
      <c r="G94" s="50">
        <f t="shared" ref="G94:H94" si="187">1/G92</f>
        <v>9.9252346642070294E-3</v>
      </c>
      <c r="H94" s="50">
        <f t="shared" si="187"/>
        <v>9.8969117388291172E-3</v>
      </c>
      <c r="I94" s="50">
        <f t="shared" ref="I94:K94" si="188">1/I92</f>
        <v>9.8964234878406183E-3</v>
      </c>
      <c r="J94" s="50">
        <f t="shared" si="188"/>
        <v>9.8682707485341793E-3</v>
      </c>
      <c r="K94" s="50">
        <f t="shared" si="188"/>
        <v>9.8677853193177394E-3</v>
      </c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</row>
    <row r="95" spans="1:50" x14ac:dyDescent="0.2">
      <c r="A95" s="3" t="s">
        <v>25</v>
      </c>
      <c r="B95" s="27">
        <f>B94-B93</f>
        <v>-1.4932668194715323E-5</v>
      </c>
      <c r="C95" s="51">
        <f>C94-C93</f>
        <v>-9.9392570269973834E-7</v>
      </c>
      <c r="D95" s="51">
        <f t="shared" ref="D95:E95" si="189">D94-D93</f>
        <v>-1.4842049580993111E-5</v>
      </c>
      <c r="E95" s="51">
        <f t="shared" si="189"/>
        <v>-4.9397394487511737E-7</v>
      </c>
      <c r="F95" s="51">
        <f>F94-F93</f>
        <v>-1.4755573831798027E-5</v>
      </c>
      <c r="G95" s="51">
        <f t="shared" ref="G95" si="190">G94-G93</f>
        <v>-4.9109805965417974E-7</v>
      </c>
      <c r="H95" s="51">
        <f t="shared" ref="H95:I95" si="191">H94-H93</f>
        <v>-1.4669965075169225E-5</v>
      </c>
      <c r="I95" s="51">
        <f t="shared" si="191"/>
        <v>-4.8825098849895887E-7</v>
      </c>
      <c r="J95" s="51">
        <f t="shared" ref="J95" si="192">J94-J93</f>
        <v>-1.4585117604515654E-5</v>
      </c>
      <c r="K95" s="51">
        <f t="shared" ref="K95" si="193">K94-K93</f>
        <v>-4.8542921643988934E-7</v>
      </c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</row>
    <row r="96" spans="1:50" x14ac:dyDescent="0.2"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</row>
    <row r="97" spans="1:50" x14ac:dyDescent="0.2">
      <c r="A97" s="3" t="s">
        <v>19</v>
      </c>
      <c r="B97" s="16">
        <f>B95*B18</f>
        <v>-14.932668194715323</v>
      </c>
      <c r="C97" s="49">
        <f>C95*C18</f>
        <v>-0.99392570269973834</v>
      </c>
      <c r="D97" s="49">
        <f t="shared" ref="D97:E97" si="194">D95*D18</f>
        <v>-14.842049580993111</v>
      </c>
      <c r="E97" s="49">
        <f t="shared" si="194"/>
        <v>-0.49397394487511737</v>
      </c>
      <c r="F97" s="49">
        <f>F95*F18</f>
        <v>-14.755573831798028</v>
      </c>
      <c r="G97" s="49">
        <f t="shared" ref="G97:H97" si="195">G95*G18</f>
        <v>-0.49109805965417974</v>
      </c>
      <c r="H97" s="49">
        <f t="shared" si="195"/>
        <v>-14.669965075169225</v>
      </c>
      <c r="I97" s="49">
        <f t="shared" ref="I97:K97" si="196">I95*I18</f>
        <v>-0.48825098849895887</v>
      </c>
      <c r="J97" s="49">
        <f t="shared" si="196"/>
        <v>-14.585117604515654</v>
      </c>
      <c r="K97" s="49">
        <f t="shared" si="196"/>
        <v>-0.48542921643988934</v>
      </c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</row>
    <row r="98" spans="1:50" x14ac:dyDescent="0.2">
      <c r="A98" s="3" t="s">
        <v>30</v>
      </c>
      <c r="B98" s="6">
        <f>(B77^2)/(1-B17)</f>
        <v>10030.090270812438</v>
      </c>
      <c r="C98" s="46">
        <f>(C77^2)/(1-C17)</f>
        <v>10060.112703312439</v>
      </c>
      <c r="D98" s="46">
        <f t="shared" ref="D98:E98" si="197">(D77^2)/(1-D17)</f>
        <v>10091.375138355326</v>
      </c>
      <c r="E98" s="46">
        <f t="shared" si="197"/>
        <v>10121.489082800803</v>
      </c>
      <c r="F98" s="46">
        <f>(F77^2)/(1-F17)</f>
        <v>10150.560246872707</v>
      </c>
      <c r="G98" s="46">
        <f t="shared" ref="G98:H98" si="198">(G77^2)/(1-G17)</f>
        <v>10180.762304468986</v>
      </c>
      <c r="H98" s="46">
        <f t="shared" si="198"/>
        <v>10209.839407249092</v>
      </c>
      <c r="I98" s="46">
        <f t="shared" ref="I98:K98" si="199">(I77^2)/(1-I17)</f>
        <v>10240.129460897979</v>
      </c>
      <c r="J98" s="46">
        <f t="shared" si="199"/>
        <v>10269.278183267796</v>
      </c>
      <c r="K98" s="46">
        <f t="shared" si="199"/>
        <v>10299.65621379163</v>
      </c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</row>
    <row r="99" spans="1:50" x14ac:dyDescent="0.2">
      <c r="A99" s="3" t="s">
        <v>26</v>
      </c>
      <c r="B99" s="6">
        <f>B82/B97*-1</f>
        <v>10045.090270812088</v>
      </c>
      <c r="C99" s="46">
        <f>IF(C97=0,0,C82/C97*-1)</f>
        <v>10061.114198815489</v>
      </c>
      <c r="D99" s="46">
        <f t="shared" ref="D99:E99" si="200">IF(D97=0,0,D82/D97*-1)</f>
        <v>10106.420894327939</v>
      </c>
      <c r="E99" s="46">
        <f t="shared" si="200"/>
        <v>10121.991355766873</v>
      </c>
      <c r="F99" s="46">
        <f>IF(F97=0,0,F82/F97*-1)</f>
        <v>10165.650059420419</v>
      </c>
      <c r="G99" s="46">
        <f t="shared" ref="G99:H99" si="201">IF(G97=0,0,G82/G97*-1)</f>
        <v>10181.266045972343</v>
      </c>
      <c r="H99" s="46">
        <f t="shared" si="201"/>
        <v>10224.97321782272</v>
      </c>
      <c r="I99" s="46">
        <f t="shared" ref="I99:K99" si="202">IF(I97=0,0,I82/I97*-1)</f>
        <v>10240.634669008277</v>
      </c>
      <c r="J99" s="46">
        <f t="shared" si="202"/>
        <v>10284.455982278741</v>
      </c>
      <c r="K99" s="46">
        <f t="shared" si="202"/>
        <v>10300.162888154364</v>
      </c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</row>
    <row r="100" spans="1:50" x14ac:dyDescent="0.2">
      <c r="A100" s="3" t="s">
        <v>29</v>
      </c>
      <c r="B100" s="6">
        <f>(B92^2)/(1-B17)</f>
        <v>10060.112703312439</v>
      </c>
      <c r="C100" s="46">
        <f>IF(C97=0,0,(C92^2)/(1-C17))</f>
        <v>10062.115794012438</v>
      </c>
      <c r="D100" s="46">
        <f t="shared" ref="D100:E100" si="203">IF(D97=0,0,(D92^2)/(1-D17))</f>
        <v>10121.489082800803</v>
      </c>
      <c r="E100" s="46">
        <f t="shared" si="203"/>
        <v>10122.493653623986</v>
      </c>
      <c r="F100" s="46">
        <f>IF(F97=0,0,(F92^2)/(1-F17))</f>
        <v>10180.762304468986</v>
      </c>
      <c r="G100" s="46">
        <f t="shared" ref="G100:H100" si="204">IF(G97=0,0,(G92^2)/(1-G17))</f>
        <v>10181.769812397197</v>
      </c>
      <c r="H100" s="46">
        <f t="shared" si="204"/>
        <v>10240.129460897979</v>
      </c>
      <c r="I100" s="46">
        <f t="shared" ref="I100:K100" si="205">IF(I97=0,0,(I92^2)/(1-I17))</f>
        <v>10241.139902027944</v>
      </c>
      <c r="J100" s="46">
        <f t="shared" si="205"/>
        <v>10299.65621379163</v>
      </c>
      <c r="K100" s="46">
        <f t="shared" si="205"/>
        <v>10300.669587484092</v>
      </c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</row>
    <row r="101" spans="1:50" x14ac:dyDescent="0.2">
      <c r="A101" s="3" t="s">
        <v>31</v>
      </c>
      <c r="B101" s="16">
        <f>B92^2</f>
        <v>10029.932365202501</v>
      </c>
      <c r="C101" s="49">
        <f>IF(C97=0,0,C92^2)</f>
        <v>10031.9294466304</v>
      </c>
      <c r="D101" s="49">
        <f t="shared" ref="D101:E101" si="206">IF(D97=0,0,D92^2)</f>
        <v>10091.1246155524</v>
      </c>
      <c r="E101" s="49">
        <f t="shared" si="206"/>
        <v>10092.126172663113</v>
      </c>
      <c r="F101" s="49">
        <f>IF(F97=0,0,F92^2)</f>
        <v>10150.220017555579</v>
      </c>
      <c r="G101" s="49">
        <f t="shared" ref="G101:H101" si="207">IF(G97=0,0,G92^2)</f>
        <v>10151.224502960005</v>
      </c>
      <c r="H101" s="49">
        <f t="shared" si="207"/>
        <v>10209.409072515286</v>
      </c>
      <c r="I101" s="49">
        <f t="shared" ref="I101:K101" si="208">IF(I97=0,0,I92^2)</f>
        <v>10210.41648232186</v>
      </c>
      <c r="J101" s="49">
        <f t="shared" si="208"/>
        <v>10268.757245150255</v>
      </c>
      <c r="K101" s="49">
        <f t="shared" si="208"/>
        <v>10269.767578721639</v>
      </c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</row>
    <row r="102" spans="1:50" x14ac:dyDescent="0.2"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</row>
    <row r="103" spans="1:50" x14ac:dyDescent="0.2">
      <c r="A103" s="3" t="s">
        <v>28</v>
      </c>
      <c r="B103" s="16">
        <f>SQRT(B100)</f>
        <v>100.30011317696724</v>
      </c>
      <c r="C103" s="49">
        <f>SQRT(C100)</f>
        <v>100.31009816570034</v>
      </c>
      <c r="D103" s="49">
        <f t="shared" ref="D103:E103" si="209">SQRT(D100)</f>
        <v>100.60561158703227</v>
      </c>
      <c r="E103" s="49">
        <f t="shared" si="209"/>
        <v>100.61060408139882</v>
      </c>
      <c r="F103" s="49">
        <f>SQRT(F100)</f>
        <v>100.89976364922262</v>
      </c>
      <c r="G103" s="49">
        <f t="shared" ref="G103:H103" si="210">SQRT(G100)</f>
        <v>100.90475614358917</v>
      </c>
      <c r="H103" s="49">
        <f t="shared" si="210"/>
        <v>101.19352479728127</v>
      </c>
      <c r="I103" s="49">
        <f t="shared" ref="I103:K103" si="211">SQRT(I100)</f>
        <v>101.19851729164783</v>
      </c>
      <c r="J103" s="49">
        <f t="shared" si="211"/>
        <v>101.48722192370639</v>
      </c>
      <c r="K103" s="49">
        <f t="shared" si="211"/>
        <v>101.49221441807293</v>
      </c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</row>
    <row r="104" spans="1:50" x14ac:dyDescent="0.2">
      <c r="A104" s="3" t="s">
        <v>32</v>
      </c>
      <c r="B104" s="16">
        <f>B92</f>
        <v>100.14955</v>
      </c>
      <c r="C104" s="49">
        <f>C92</f>
        <v>100.15952</v>
      </c>
      <c r="D104" s="49">
        <f t="shared" ref="D104:E104" si="212">D92</f>
        <v>100.45458981824773</v>
      </c>
      <c r="E104" s="49">
        <f t="shared" si="212"/>
        <v>100.45957481824773</v>
      </c>
      <c r="F104" s="49">
        <f>F92</f>
        <v>100.7483003209264</v>
      </c>
      <c r="G104" s="49">
        <f t="shared" ref="G104:H104" si="213">G92</f>
        <v>100.75328532092641</v>
      </c>
      <c r="H104" s="49">
        <f t="shared" si="213"/>
        <v>101.04162049628502</v>
      </c>
      <c r="I104" s="49">
        <f t="shared" ref="I104:K104" si="214">I92</f>
        <v>101.04660549628503</v>
      </c>
      <c r="J104" s="49">
        <f t="shared" si="214"/>
        <v>101.33487674611469</v>
      </c>
      <c r="K104" s="49">
        <f t="shared" si="214"/>
        <v>101.33986174611469</v>
      </c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</row>
    <row r="105" spans="1:50" x14ac:dyDescent="0.2"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</row>
    <row r="106" spans="1:50" ht="19" x14ac:dyDescent="0.25">
      <c r="A106" s="25" t="s">
        <v>61</v>
      </c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</row>
    <row r="107" spans="1:50" x14ac:dyDescent="0.2">
      <c r="A107" s="3" t="s">
        <v>78</v>
      </c>
      <c r="B107" s="6">
        <f>SQRT(B38*B100)</f>
        <v>10030.011317696724</v>
      </c>
      <c r="C107" s="46">
        <f>SQRT(C38*C100)</f>
        <v>10046.011191750715</v>
      </c>
      <c r="D107" s="46">
        <f t="shared" ref="D107:E107" si="215">SQRT(D38*D100)</f>
        <v>10091.249876176436</v>
      </c>
      <c r="E107" s="46">
        <f t="shared" si="215"/>
        <v>10106.79696436304</v>
      </c>
      <c r="F107" s="46">
        <f>SQRT(F38*F100)</f>
        <v>10150.390130788632</v>
      </c>
      <c r="G107" s="46">
        <f t="shared" ref="G107:H107" si="216">SQRT(G38*G100)</f>
        <v>10165.982675764166</v>
      </c>
      <c r="H107" s="46">
        <f t="shared" si="216"/>
        <v>10209.624237614868</v>
      </c>
      <c r="I107" s="46">
        <f t="shared" ref="I107:K107" si="217">SQRT(I38*I100)</f>
        <v>10225.262178969417</v>
      </c>
      <c r="J107" s="46">
        <f t="shared" si="217"/>
        <v>10269.017710905684</v>
      </c>
      <c r="K107" s="46">
        <f t="shared" si="217"/>
        <v>10284.701038745665</v>
      </c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</row>
    <row r="108" spans="1:50" x14ac:dyDescent="0.2">
      <c r="A108" s="3" t="s">
        <v>58</v>
      </c>
      <c r="B108" s="16" t="b">
        <f>AND(B24="Y",B107&gt;B36)</f>
        <v>0</v>
      </c>
      <c r="C108" s="16" t="b">
        <f t="shared" ref="C108:I108" si="218">AND(C24="Y",C107&gt;C36)</f>
        <v>1</v>
      </c>
      <c r="D108" s="16" t="b">
        <f t="shared" si="218"/>
        <v>0</v>
      </c>
      <c r="E108" s="16" t="b">
        <f t="shared" si="218"/>
        <v>1</v>
      </c>
      <c r="F108" s="16" t="b">
        <f t="shared" si="218"/>
        <v>0</v>
      </c>
      <c r="G108" s="16" t="b">
        <f t="shared" si="218"/>
        <v>1</v>
      </c>
      <c r="H108" s="16" t="b">
        <f t="shared" si="218"/>
        <v>0</v>
      </c>
      <c r="I108" s="16" t="b">
        <f t="shared" si="218"/>
        <v>1</v>
      </c>
      <c r="J108" s="16" t="b">
        <f t="shared" ref="J108" si="219">AND(J24="Y",J107&gt;J36)</f>
        <v>0</v>
      </c>
      <c r="K108" s="16" t="b">
        <f t="shared" ref="K108" si="220">AND(K24="Y",K107&gt;K36)</f>
        <v>1</v>
      </c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</row>
    <row r="109" spans="1:50" x14ac:dyDescent="0.2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</row>
    <row r="110" spans="1:50" x14ac:dyDescent="0.2">
      <c r="A110" s="3" t="s">
        <v>34</v>
      </c>
      <c r="B110" s="16">
        <f>B13</f>
        <v>150000</v>
      </c>
      <c r="C110" s="49">
        <f>C13</f>
        <v>10000</v>
      </c>
      <c r="D110" s="49">
        <f t="shared" ref="D110:E110" si="221">D13</f>
        <v>150000</v>
      </c>
      <c r="E110" s="49">
        <f t="shared" si="221"/>
        <v>5000</v>
      </c>
      <c r="F110" s="49">
        <f>F13</f>
        <v>150000</v>
      </c>
      <c r="G110" s="49">
        <f t="shared" ref="G110:H110" si="222">G13</f>
        <v>5000</v>
      </c>
      <c r="H110" s="49">
        <f t="shared" si="222"/>
        <v>150000</v>
      </c>
      <c r="I110" s="49">
        <f t="shared" ref="I110:K110" si="223">I13</f>
        <v>5000</v>
      </c>
      <c r="J110" s="49">
        <f t="shared" si="223"/>
        <v>150000</v>
      </c>
      <c r="K110" s="49">
        <f t="shared" si="223"/>
        <v>5000</v>
      </c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</row>
    <row r="111" spans="1:50" x14ac:dyDescent="0.2">
      <c r="A111" s="3" t="s">
        <v>35</v>
      </c>
      <c r="B111" s="16">
        <f>B97*-1*B100</f>
        <v>150224.32500000525</v>
      </c>
      <c r="C111" s="49">
        <f>C97*-1*C100</f>
        <v>10000.995511209947</v>
      </c>
      <c r="D111" s="49">
        <f t="shared" ref="D111:E111" si="224">D97*-1*D100</f>
        <v>150223.64280040999</v>
      </c>
      <c r="E111" s="49">
        <f t="shared" si="224"/>
        <v>5000.2481220539803</v>
      </c>
      <c r="F111" s="49">
        <f>F97*-1*F100</f>
        <v>150222.98984757837</v>
      </c>
      <c r="G111" s="49">
        <f t="shared" ref="G111:H111" si="225">G97*-1*G100</f>
        <v>5000.2473987137646</v>
      </c>
      <c r="H111" s="49">
        <f t="shared" si="225"/>
        <v>150222.34155658481</v>
      </c>
      <c r="I111" s="49">
        <f t="shared" ref="I111:K111" si="226">I97*-1*I100</f>
        <v>5000.2466805212744</v>
      </c>
      <c r="J111" s="49">
        <f t="shared" si="226"/>
        <v>150221.69716423136</v>
      </c>
      <c r="K111" s="49">
        <f t="shared" si="226"/>
        <v>5000.245966658601</v>
      </c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</row>
    <row r="112" spans="1:50" x14ac:dyDescent="0.2">
      <c r="A112" s="3" t="s">
        <v>33</v>
      </c>
      <c r="B112" s="16">
        <f>B111-B110</f>
        <v>224.32500000525033</v>
      </c>
      <c r="C112" s="49">
        <f>C111-C110</f>
        <v>0.9955112099469261</v>
      </c>
      <c r="D112" s="49">
        <f t="shared" ref="D112:E112" si="227">D111-D110</f>
        <v>223.6428004099871</v>
      </c>
      <c r="E112" s="49">
        <f t="shared" si="227"/>
        <v>0.24812205398029619</v>
      </c>
      <c r="F112" s="49">
        <f>F111-F110</f>
        <v>222.98984757837025</v>
      </c>
      <c r="G112" s="49">
        <f t="shared" ref="G112" si="228">G111-G110</f>
        <v>0.24739871376459632</v>
      </c>
      <c r="H112" s="49">
        <f t="shared" ref="H112:I112" si="229">H111-H110</f>
        <v>222.34155658481177</v>
      </c>
      <c r="I112" s="49">
        <f t="shared" si="229"/>
        <v>0.24668052127435658</v>
      </c>
      <c r="J112" s="49">
        <f t="shared" ref="J112" si="230">J111-J110</f>
        <v>221.69716423135833</v>
      </c>
      <c r="K112" s="49">
        <f t="shared" ref="K112" si="231">K111-K110</f>
        <v>0.24596665860099165</v>
      </c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</row>
    <row r="113" spans="1:50" x14ac:dyDescent="0.2"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</row>
    <row r="114" spans="1:50" x14ac:dyDescent="0.2">
      <c r="A114" s="3" t="s">
        <v>39</v>
      </c>
      <c r="B114" s="16">
        <f>B112</f>
        <v>224.32500000525033</v>
      </c>
      <c r="C114" s="49">
        <f>C112</f>
        <v>0.9955112099469261</v>
      </c>
      <c r="D114" s="49">
        <f t="shared" ref="D114:E114" si="232">D112</f>
        <v>223.6428004099871</v>
      </c>
      <c r="E114" s="49">
        <f t="shared" si="232"/>
        <v>0.24812205398029619</v>
      </c>
      <c r="F114" s="49">
        <f>F112</f>
        <v>222.98984757837025</v>
      </c>
      <c r="G114" s="49">
        <f t="shared" ref="G114:H114" si="233">G112</f>
        <v>0.24739871376459632</v>
      </c>
      <c r="H114" s="49">
        <f t="shared" si="233"/>
        <v>222.34155658481177</v>
      </c>
      <c r="I114" s="49">
        <f t="shared" ref="I114:K114" si="234">I112</f>
        <v>0.24668052127435658</v>
      </c>
      <c r="J114" s="49">
        <f t="shared" si="234"/>
        <v>221.69716423135833</v>
      </c>
      <c r="K114" s="49">
        <f t="shared" si="234"/>
        <v>0.24596665860099165</v>
      </c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</row>
    <row r="115" spans="1:50" x14ac:dyDescent="0.2">
      <c r="A115" s="3" t="s">
        <v>132</v>
      </c>
      <c r="B115" s="6">
        <f>IF(B108,B114+(B114*(B79-B80)/B80)*$C$7,0)</f>
        <v>0</v>
      </c>
      <c r="C115" s="6">
        <f>IF(C108,C114+(C114*(C79-C80)/C80)*$C$7,0)</f>
        <v>19.88045601284384</v>
      </c>
      <c r="D115" s="6">
        <f>IF(D108,D114+(D114*(D79-D80)/D80)*$C$7,0)</f>
        <v>0</v>
      </c>
      <c r="E115" s="6">
        <f>IF(E108,E114+(E114*(E79-E80)/E80)*$C$7,0)</f>
        <v>3.2239443865556145</v>
      </c>
      <c r="F115" s="6">
        <f>IF(F108,F114+(F114*(F79-F80)/F80)*$C$7,0)</f>
        <v>0</v>
      </c>
      <c r="G115" s="6">
        <f>IF(G108,G114+(G114*(G79-G80)/G80)*$C$7,0)</f>
        <v>2.4386061055479216</v>
      </c>
      <c r="H115" s="6">
        <f>IF(H108,H114+(H114*(H79-H80)/H80)*$C$7,0)</f>
        <v>0</v>
      </c>
      <c r="I115" s="6">
        <f>IF(I108,I114+(I114*(I79-I80)/I80)*$C$7,0)</f>
        <v>1.9790867988594756</v>
      </c>
      <c r="J115" s="6">
        <f t="shared" ref="J115:K115" si="235">IF(J108,J114+(J114*(J79-J80)/J80)*$C$7,0)</f>
        <v>0</v>
      </c>
      <c r="K115" s="6">
        <f t="shared" si="235"/>
        <v>1.6770699137480778</v>
      </c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</row>
    <row r="116" spans="1:50" x14ac:dyDescent="0.2">
      <c r="A116" s="3" t="s">
        <v>36</v>
      </c>
      <c r="B116" s="20">
        <f>B79/(B79+B80)</f>
        <v>0.5</v>
      </c>
      <c r="C116" s="55">
        <f>C79/(C79+C80)</f>
        <v>0.99478354246557099</v>
      </c>
      <c r="D116" s="55">
        <f t="shared" ref="D116:E116" si="236">D79/(D79+D80)</f>
        <v>0.5</v>
      </c>
      <c r="E116" s="55">
        <f t="shared" si="236"/>
        <v>0.99179882922996676</v>
      </c>
      <c r="F116" s="55">
        <f>F79/(F79+F80)</f>
        <v>0.5</v>
      </c>
      <c r="G116" s="55">
        <f t="shared" ref="G116:H116" si="237">G79/(G79+G80)</f>
        <v>0.98895880152336391</v>
      </c>
      <c r="H116" s="55">
        <f t="shared" si="237"/>
        <v>0.5</v>
      </c>
      <c r="I116" s="55">
        <f t="shared" ref="I116:K116" si="238">I79/(I79+I80)</f>
        <v>0.98615509605717455</v>
      </c>
      <c r="J116" s="55">
        <f t="shared" si="238"/>
        <v>0.5</v>
      </c>
      <c r="K116" s="55">
        <f t="shared" si="238"/>
        <v>0.9833839609722046</v>
      </c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</row>
    <row r="117" spans="1:50" x14ac:dyDescent="0.2">
      <c r="A117" s="3" t="s">
        <v>37</v>
      </c>
      <c r="B117" s="20">
        <f>SQRT(B116)</f>
        <v>0.70710678118654757</v>
      </c>
      <c r="C117" s="55">
        <f>SQRT(C116)</f>
        <v>0.99738836090340011</v>
      </c>
      <c r="D117" s="55">
        <f t="shared" ref="D117:E117" si="239">SQRT(D116)</f>
        <v>0.70710678118654757</v>
      </c>
      <c r="E117" s="55">
        <f t="shared" si="239"/>
        <v>0.9958909725617392</v>
      </c>
      <c r="F117" s="55">
        <f>SQRT(F116)</f>
        <v>0.70710678118654757</v>
      </c>
      <c r="G117" s="55">
        <f t="shared" ref="G117" si="240">SQRT(G116)</f>
        <v>0.99446407754295674</v>
      </c>
      <c r="H117" s="55">
        <f t="shared" ref="H117:I117" si="241">SQRT(H116)</f>
        <v>0.70710678118654757</v>
      </c>
      <c r="I117" s="55">
        <f t="shared" si="241"/>
        <v>0.99305342054552859</v>
      </c>
      <c r="J117" s="55">
        <f t="shared" ref="J117" si="242">SQRT(J116)</f>
        <v>0.70710678118654757</v>
      </c>
      <c r="K117" s="55">
        <f t="shared" ref="K117" si="243">SQRT(K116)</f>
        <v>0.99165717915628715</v>
      </c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</row>
    <row r="118" spans="1:50" x14ac:dyDescent="0.2">
      <c r="A118" s="3" t="s">
        <v>38</v>
      </c>
      <c r="B118" s="49">
        <f>IF(B108,B115*B117/(1-B17),0)</f>
        <v>0</v>
      </c>
      <c r="C118" s="49">
        <f>IF(C108,C115*C117/(1-C17),0)</f>
        <v>19.88820003677278</v>
      </c>
      <c r="D118" s="49">
        <f t="shared" ref="D118:E118" si="244">IF(D108,D115*D117/(1-D17),0)</f>
        <v>0</v>
      </c>
      <c r="E118" s="49">
        <f t="shared" si="244"/>
        <v>3.2203581851673326</v>
      </c>
      <c r="F118" s="49">
        <f>IF(F108,F115*F117/(1-F17),0)</f>
        <v>0</v>
      </c>
      <c r="G118" s="49">
        <f t="shared" ref="G118" si="245">IF(G108,G115*G117/(1-G17),0)</f>
        <v>2.4324033813885015</v>
      </c>
      <c r="H118" s="49">
        <f t="shared" ref="H118:I118" si="246">IF(H108,H115*H117/(1-H17),0)</f>
        <v>0</v>
      </c>
      <c r="I118" s="49">
        <f t="shared" si="246"/>
        <v>1.971252673183453</v>
      </c>
      <c r="J118" s="49">
        <f t="shared" ref="J118" si="247">IF(J108,J115*J117/(1-J17),0)</f>
        <v>0</v>
      </c>
      <c r="K118" s="49">
        <f t="shared" ref="K118" si="248">IF(K108,K115*K117/(1-K17),0)</f>
        <v>1.6680826679190537</v>
      </c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</row>
    <row r="119" spans="1:50" x14ac:dyDescent="0.2"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</row>
    <row r="120" spans="1:50" x14ac:dyDescent="0.2">
      <c r="A120" s="3" t="s">
        <v>15</v>
      </c>
      <c r="B120" s="16">
        <f>IF(B108,B84,0)</f>
        <v>0</v>
      </c>
      <c r="C120" s="49">
        <f>IF(C108,C84,0)</f>
        <v>9970</v>
      </c>
      <c r="D120" s="49">
        <f t="shared" ref="D120:E120" si="249">IF(D108,D84,0)</f>
        <v>0</v>
      </c>
      <c r="E120" s="49">
        <f t="shared" si="249"/>
        <v>4985</v>
      </c>
      <c r="F120" s="49">
        <f>IF(F108,F84,0)</f>
        <v>0</v>
      </c>
      <c r="G120" s="49">
        <f t="shared" ref="G120:H120" si="250">IF(G108,G84,0)</f>
        <v>4985</v>
      </c>
      <c r="H120" s="49">
        <f t="shared" si="250"/>
        <v>0</v>
      </c>
      <c r="I120" s="49">
        <f t="shared" ref="I120:K120" si="251">IF(I108,I84,0)</f>
        <v>4985</v>
      </c>
      <c r="J120" s="49">
        <f t="shared" si="251"/>
        <v>0</v>
      </c>
      <c r="K120" s="49">
        <f t="shared" si="251"/>
        <v>4985</v>
      </c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</row>
    <row r="121" spans="1:50" x14ac:dyDescent="0.2">
      <c r="A121" s="3" t="s">
        <v>26</v>
      </c>
      <c r="B121" s="16">
        <f>IF(B108,B99,0)</f>
        <v>0</v>
      </c>
      <c r="C121" s="49">
        <f>IF(C108,C99,0)</f>
        <v>10061.114198815489</v>
      </c>
      <c r="D121" s="49">
        <f t="shared" ref="D121:E121" si="252">IF(D108,D99,0)</f>
        <v>0</v>
      </c>
      <c r="E121" s="49">
        <f t="shared" si="252"/>
        <v>10121.991355766873</v>
      </c>
      <c r="F121" s="49">
        <f>IF(F108,F99,0)</f>
        <v>0</v>
      </c>
      <c r="G121" s="49">
        <f t="shared" ref="G121:H121" si="253">IF(G108,G99,0)</f>
        <v>10181.266045972343</v>
      </c>
      <c r="H121" s="49">
        <f t="shared" si="253"/>
        <v>0</v>
      </c>
      <c r="I121" s="49">
        <f t="shared" ref="I121:K121" si="254">IF(I108,I99,0)</f>
        <v>10240.634669008277</v>
      </c>
      <c r="J121" s="49">
        <f t="shared" si="254"/>
        <v>0</v>
      </c>
      <c r="K121" s="49">
        <f t="shared" si="254"/>
        <v>10300.162888154364</v>
      </c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</row>
    <row r="122" spans="1:50" x14ac:dyDescent="0.2">
      <c r="A122" s="3" t="s">
        <v>85</v>
      </c>
      <c r="B122" s="16">
        <f>B120+B118</f>
        <v>0</v>
      </c>
      <c r="C122" s="49">
        <f>IF(C108,C120+C118,0)</f>
        <v>9989.8882000367721</v>
      </c>
      <c r="D122" s="49">
        <f t="shared" ref="D122:E122" si="255">IF(D108,D120+D118,0)</f>
        <v>0</v>
      </c>
      <c r="E122" s="49">
        <f t="shared" si="255"/>
        <v>4988.2203581851672</v>
      </c>
      <c r="F122" s="49">
        <f>IF(F108,F120+F118,0)</f>
        <v>0</v>
      </c>
      <c r="G122" s="49">
        <f t="shared" ref="G122:H122" si="256">IF(G108,G120+G118,0)</f>
        <v>4987.4324033813882</v>
      </c>
      <c r="H122" s="49">
        <f t="shared" si="256"/>
        <v>0</v>
      </c>
      <c r="I122" s="49">
        <f t="shared" ref="I122:K122" si="257">IF(I108,I120+I118,0)</f>
        <v>4986.9712526731837</v>
      </c>
      <c r="J122" s="49">
        <f t="shared" si="257"/>
        <v>0</v>
      </c>
      <c r="K122" s="49">
        <f t="shared" si="257"/>
        <v>4986.6680826679194</v>
      </c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</row>
    <row r="123" spans="1:50" x14ac:dyDescent="0.2">
      <c r="A123" s="3" t="s">
        <v>40</v>
      </c>
      <c r="B123" s="16">
        <f>IF(B108,B122*B121/B120,0)</f>
        <v>0</v>
      </c>
      <c r="C123" s="49">
        <f>IF(C108,C122*C121/C120,0)</f>
        <v>10081.184153858503</v>
      </c>
      <c r="D123" s="49">
        <f t="shared" ref="D123:E123" si="258">IF(D108,D122*D121/D120,0)</f>
        <v>0</v>
      </c>
      <c r="E123" s="49">
        <f t="shared" si="258"/>
        <v>10128.530260022186</v>
      </c>
      <c r="F123" s="49">
        <f>IF(F108,F122*F121/F120,0)</f>
        <v>0</v>
      </c>
      <c r="G123" s="49">
        <f t="shared" ref="G123" si="259">IF(G108,G122*G121/G120,0)</f>
        <v>10186.233938842361</v>
      </c>
      <c r="H123" s="49">
        <f t="shared" ref="H123:I123" si="260">IF(H108,H122*H121/H120,0)</f>
        <v>0</v>
      </c>
      <c r="I123" s="49">
        <f t="shared" si="260"/>
        <v>10244.684193274352</v>
      </c>
      <c r="J123" s="49">
        <f t="shared" ref="J123" si="261">IF(J108,J122*J121/J120,0)</f>
        <v>0</v>
      </c>
      <c r="K123" s="49">
        <f t="shared" ref="K123" si="262">IF(K108,K122*K121/K120,0)</f>
        <v>10303.609532726174</v>
      </c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</row>
    <row r="124" spans="1:50" x14ac:dyDescent="0.2">
      <c r="A124" s="3" t="s">
        <v>41</v>
      </c>
      <c r="B124" s="16">
        <f>IF(B108,B123-B121,0)</f>
        <v>0</v>
      </c>
      <c r="C124" s="49">
        <f>IF(C108,C123-C121,0)</f>
        <v>20.069955043014488</v>
      </c>
      <c r="D124" s="49">
        <f t="shared" ref="D124:E124" si="263">IF(D108,D123-D121,0)</f>
        <v>0</v>
      </c>
      <c r="E124" s="49">
        <f t="shared" si="263"/>
        <v>6.5389042553124455</v>
      </c>
      <c r="F124" s="49">
        <f>IF(F108,F123-F121,0)</f>
        <v>0</v>
      </c>
      <c r="G124" s="49">
        <f t="shared" ref="G124" si="264">IF(G108,G123-G121,0)</f>
        <v>4.9678928700177494</v>
      </c>
      <c r="H124" s="49">
        <f t="shared" ref="H124:I124" si="265">IF(H108,H123-H121,0)</f>
        <v>0</v>
      </c>
      <c r="I124" s="49">
        <f t="shared" si="265"/>
        <v>4.0495242660745134</v>
      </c>
      <c r="J124" s="49">
        <f t="shared" ref="J124" si="266">IF(J108,J123-J121,0)</f>
        <v>0</v>
      </c>
      <c r="K124" s="49">
        <f t="shared" ref="K124" si="267">IF(K108,K123-K121,0)</f>
        <v>3.4466445718098839</v>
      </c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</row>
    <row r="125" spans="1:50" x14ac:dyDescent="0.2">
      <c r="A125" s="3" t="s">
        <v>42</v>
      </c>
      <c r="B125" s="16">
        <f>IF(B108,SQRT(B123)-SQRT(B121),0)</f>
        <v>0</v>
      </c>
      <c r="C125" s="49">
        <f>IF(C108,SQRT(C123)-SQRT(C121),0)</f>
        <v>9.9994691174174477E-2</v>
      </c>
      <c r="D125" s="49">
        <f t="shared" ref="D125:E125" si="268">IF(D108,SQRT(D123)-SQRT(D121),0)</f>
        <v>0</v>
      </c>
      <c r="E125" s="49">
        <f t="shared" si="268"/>
        <v>3.2491658426891945E-2</v>
      </c>
      <c r="F125" s="49">
        <f>IF(F108,SQRT(F123)-SQRT(F121),0)</f>
        <v>0</v>
      </c>
      <c r="G125" s="49">
        <f t="shared" ref="G125:H125" si="269">IF(G108,SQRT(G123)-SQRT(G121),0)</f>
        <v>2.4614349621259635E-2</v>
      </c>
      <c r="H125" s="49">
        <f t="shared" si="269"/>
        <v>0</v>
      </c>
      <c r="I125" s="49">
        <f t="shared" ref="I125:K125" si="270">IF(I108,SQRT(I123)-SQRT(I121),0)</f>
        <v>2.0006340031315517E-2</v>
      </c>
      <c r="J125" s="49">
        <f t="shared" si="270"/>
        <v>0</v>
      </c>
      <c r="K125" s="49">
        <f t="shared" si="270"/>
        <v>1.6978844526363446E-2</v>
      </c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</row>
    <row r="126" spans="1:50" x14ac:dyDescent="0.2"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</row>
    <row r="127" spans="1:50" x14ac:dyDescent="0.2">
      <c r="A127" s="3" t="s">
        <v>43</v>
      </c>
      <c r="B127" s="16">
        <f>IF(B108,B125*B18,0)</f>
        <v>0</v>
      </c>
      <c r="C127" s="49">
        <f>IF(C108,C125*C18,0)</f>
        <v>99994.691174174484</v>
      </c>
      <c r="D127" s="49">
        <f t="shared" ref="D127:E127" si="271">IF(D108,D125*D18,0)</f>
        <v>0</v>
      </c>
      <c r="E127" s="49">
        <f t="shared" si="271"/>
        <v>32491.658426891947</v>
      </c>
      <c r="F127" s="49">
        <f>IF(F108,F125*F18,0)</f>
        <v>0</v>
      </c>
      <c r="G127" s="49">
        <f t="shared" ref="G127:H127" si="272">IF(G108,G125*G18,0)</f>
        <v>24614.349621259636</v>
      </c>
      <c r="H127" s="49">
        <f t="shared" si="272"/>
        <v>0</v>
      </c>
      <c r="I127" s="49">
        <f t="shared" ref="I127:K127" si="273">IF(I108,I125*I18,0)</f>
        <v>20006.340031315518</v>
      </c>
      <c r="J127" s="49">
        <f t="shared" si="273"/>
        <v>0</v>
      </c>
      <c r="K127" s="49">
        <f t="shared" si="273"/>
        <v>16978.844526363446</v>
      </c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</row>
    <row r="128" spans="1:50" x14ac:dyDescent="0.2">
      <c r="A128" s="3" t="s">
        <v>45</v>
      </c>
      <c r="B128" s="16">
        <f>B127/(1-B17)</f>
        <v>0</v>
      </c>
      <c r="C128" s="49">
        <f>C127/(1-C17)</f>
        <v>100295.57790789817</v>
      </c>
      <c r="D128" s="49">
        <f t="shared" ref="D128:E128" si="274">D127/(1-D17)</f>
        <v>0</v>
      </c>
      <c r="E128" s="49">
        <f t="shared" si="274"/>
        <v>32589.426707012986</v>
      </c>
      <c r="F128" s="49">
        <f>F127/(1-F17)</f>
        <v>0</v>
      </c>
      <c r="G128" s="49">
        <f t="shared" ref="G128" si="275">G127/(1-G17)</f>
        <v>24688.414865857208</v>
      </c>
      <c r="H128" s="49">
        <f t="shared" ref="H128:I128" si="276">H127/(1-H17)</f>
        <v>0</v>
      </c>
      <c r="I128" s="49">
        <f t="shared" si="276"/>
        <v>20066.539650266317</v>
      </c>
      <c r="J128" s="49">
        <f t="shared" ref="J128" si="277">J127/(1-J17)</f>
        <v>0</v>
      </c>
      <c r="K128" s="49">
        <f t="shared" ref="K128" si="278">K127/(1-K17)</f>
        <v>17029.934329351501</v>
      </c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</row>
    <row r="129" spans="1:50" x14ac:dyDescent="0.2">
      <c r="A129" s="3" t="s">
        <v>46</v>
      </c>
      <c r="B129" s="16">
        <f>B128-B127</f>
        <v>0</v>
      </c>
      <c r="C129" s="49">
        <f>C128-C127</f>
        <v>300.88673372368794</v>
      </c>
      <c r="D129" s="49">
        <f t="shared" ref="D129:E129" si="279">D128-D127</f>
        <v>0</v>
      </c>
      <c r="E129" s="49">
        <f t="shared" si="279"/>
        <v>97.768280121039425</v>
      </c>
      <c r="F129" s="49">
        <f>F128-F127</f>
        <v>0</v>
      </c>
      <c r="G129" s="49">
        <f t="shared" ref="G129" si="280">G128-G127</f>
        <v>74.065244597572018</v>
      </c>
      <c r="H129" s="49">
        <f t="shared" ref="H129:I129" si="281">H128-H127</f>
        <v>0</v>
      </c>
      <c r="I129" s="49">
        <f t="shared" si="281"/>
        <v>60.199618950799049</v>
      </c>
      <c r="J129" s="49">
        <f t="shared" ref="J129" si="282">J128-J127</f>
        <v>0</v>
      </c>
      <c r="K129" s="49">
        <f t="shared" ref="K129" si="283">K128-K127</f>
        <v>51.089802988055453</v>
      </c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</row>
    <row r="130" spans="1:50" x14ac:dyDescent="0.2">
      <c r="A130" s="3" t="s">
        <v>48</v>
      </c>
      <c r="B130" s="28">
        <f>B77</f>
        <v>100</v>
      </c>
      <c r="C130" s="50">
        <f>C77</f>
        <v>100.14955</v>
      </c>
      <c r="D130" s="50">
        <f t="shared" ref="D130:E130" si="284">D77</f>
        <v>100.30503981824772</v>
      </c>
      <c r="E130" s="50">
        <f t="shared" si="284"/>
        <v>100.45458981824773</v>
      </c>
      <c r="F130" s="50">
        <f>F77</f>
        <v>100.5987503209264</v>
      </c>
      <c r="G130" s="50">
        <f t="shared" ref="G130:H130" si="285">G77</f>
        <v>100.7483003209264</v>
      </c>
      <c r="H130" s="50">
        <f t="shared" si="285"/>
        <v>100.89207049628502</v>
      </c>
      <c r="I130" s="50">
        <f t="shared" ref="I130:K130" si="286">I77</f>
        <v>101.04162049628502</v>
      </c>
      <c r="J130" s="50">
        <f t="shared" si="286"/>
        <v>101.18532674611468</v>
      </c>
      <c r="K130" s="50">
        <f t="shared" si="286"/>
        <v>101.33487674611469</v>
      </c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</row>
    <row r="131" spans="1:50" x14ac:dyDescent="0.2">
      <c r="A131" s="3" t="s">
        <v>49</v>
      </c>
      <c r="B131" s="28">
        <f>B130+B125</f>
        <v>100</v>
      </c>
      <c r="C131" s="50">
        <f>C130+C125</f>
        <v>100.24954469117418</v>
      </c>
      <c r="D131" s="50">
        <f t="shared" ref="D131:E131" si="287">D130+D125</f>
        <v>100.30503981824772</v>
      </c>
      <c r="E131" s="50">
        <f t="shared" si="287"/>
        <v>100.48708147667462</v>
      </c>
      <c r="F131" s="50">
        <f>F130+F125</f>
        <v>100.5987503209264</v>
      </c>
      <c r="G131" s="50">
        <f t="shared" ref="G131" si="288">G130+G125</f>
        <v>100.77291467054766</v>
      </c>
      <c r="H131" s="50">
        <f t="shared" ref="H131:I131" si="289">H130+H125</f>
        <v>100.89207049628502</v>
      </c>
      <c r="I131" s="50">
        <f t="shared" si="289"/>
        <v>101.06162683631634</v>
      </c>
      <c r="J131" s="50">
        <f t="shared" ref="J131" si="290">J130+J125</f>
        <v>101.18532674611468</v>
      </c>
      <c r="K131" s="50">
        <f t="shared" ref="K131" si="291">K130+K125</f>
        <v>101.35185559064105</v>
      </c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</row>
    <row r="132" spans="1:50" x14ac:dyDescent="0.2">
      <c r="A132" s="3" t="s">
        <v>50</v>
      </c>
      <c r="B132" s="28">
        <f>B93</f>
        <v>0.01</v>
      </c>
      <c r="C132" s="50">
        <f>C93</f>
        <v>9.9850673318052849E-3</v>
      </c>
      <c r="D132" s="50">
        <f t="shared" ref="D132:E132" si="292">D93</f>
        <v>9.9695887844917404E-3</v>
      </c>
      <c r="E132" s="50">
        <f t="shared" si="292"/>
        <v>9.9547467349107473E-3</v>
      </c>
      <c r="F132" s="50">
        <f>F93</f>
        <v>9.9404813360984817E-3</v>
      </c>
      <c r="G132" s="50">
        <f t="shared" ref="G132:H132" si="293">G93</f>
        <v>9.9257257622666836E-3</v>
      </c>
      <c r="H132" s="50">
        <f t="shared" si="293"/>
        <v>9.9115817039042865E-3</v>
      </c>
      <c r="I132" s="50">
        <f t="shared" ref="I132:K132" si="294">I93</f>
        <v>9.8969117388291172E-3</v>
      </c>
      <c r="J132" s="50">
        <f t="shared" si="294"/>
        <v>9.8828558661386949E-3</v>
      </c>
      <c r="K132" s="50">
        <f t="shared" si="294"/>
        <v>9.8682707485341793E-3</v>
      </c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</row>
    <row r="133" spans="1:50" x14ac:dyDescent="0.2">
      <c r="A133" s="3" t="s">
        <v>51</v>
      </c>
      <c r="B133" s="28">
        <f>1/B131</f>
        <v>0.01</v>
      </c>
      <c r="C133" s="50">
        <f>1/C131</f>
        <v>9.9751076484244465E-3</v>
      </c>
      <c r="D133" s="50">
        <f t="shared" ref="D133:E133" si="295">1/D131</f>
        <v>9.9695887844917404E-3</v>
      </c>
      <c r="E133" s="50">
        <f t="shared" si="295"/>
        <v>9.9515279507060139E-3</v>
      </c>
      <c r="F133" s="50">
        <f>1/F131</f>
        <v>9.9404813360984817E-3</v>
      </c>
      <c r="G133" s="50">
        <f t="shared" ref="G133:H133" si="296">1/G131</f>
        <v>9.9233013480780514E-3</v>
      </c>
      <c r="H133" s="50">
        <f t="shared" si="296"/>
        <v>9.9115817039042865E-3</v>
      </c>
      <c r="I133" s="50">
        <f t="shared" ref="I133:K133" si="297">1/I131</f>
        <v>9.8949525285165069E-3</v>
      </c>
      <c r="J133" s="50">
        <f t="shared" si="297"/>
        <v>9.8828558661386949E-3</v>
      </c>
      <c r="K133" s="50">
        <f t="shared" si="297"/>
        <v>9.8666175786557685E-3</v>
      </c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</row>
    <row r="134" spans="1:50" x14ac:dyDescent="0.2">
      <c r="A134" s="3" t="s">
        <v>25</v>
      </c>
      <c r="B134" s="27">
        <f>B133-B132</f>
        <v>0</v>
      </c>
      <c r="C134" s="51">
        <f>C133-C132</f>
        <v>-9.9596833808383856E-6</v>
      </c>
      <c r="D134" s="51">
        <f t="shared" ref="D134:E134" si="298">D133-D132</f>
        <v>0</v>
      </c>
      <c r="E134" s="51">
        <f t="shared" si="298"/>
        <v>-3.2187842047334131E-6</v>
      </c>
      <c r="F134" s="51">
        <f>F133-F132</f>
        <v>0</v>
      </c>
      <c r="G134" s="51">
        <f t="shared" ref="G134" si="299">G133-G132</f>
        <v>-2.4244141886321791E-6</v>
      </c>
      <c r="H134" s="51">
        <f t="shared" ref="H134:I134" si="300">H133-H132</f>
        <v>0</v>
      </c>
      <c r="I134" s="51">
        <f t="shared" si="300"/>
        <v>-1.959210312610371E-6</v>
      </c>
      <c r="J134" s="51">
        <f t="shared" ref="J134" si="301">J133-J132</f>
        <v>0</v>
      </c>
      <c r="K134" s="51">
        <f t="shared" ref="K134" si="302">K133-K132</f>
        <v>-1.6531698784107152E-6</v>
      </c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</row>
    <row r="135" spans="1:50" x14ac:dyDescent="0.2">
      <c r="A135" s="3" t="s">
        <v>47</v>
      </c>
      <c r="B135" s="16">
        <f>IF(B108,B134*B18*-1,0)</f>
        <v>0</v>
      </c>
      <c r="C135" s="49">
        <f>IF(C108,C134*C18*-1,0)</f>
        <v>9.9596833808383849</v>
      </c>
      <c r="D135" s="49">
        <f t="shared" ref="D135:E135" si="303">IF(D108,D134*D18*-1,0)</f>
        <v>0</v>
      </c>
      <c r="E135" s="49">
        <f t="shared" si="303"/>
        <v>3.2187842047334132</v>
      </c>
      <c r="F135" s="49">
        <f>IF(F108,F134*F18*-1,0)</f>
        <v>0</v>
      </c>
      <c r="G135" s="49">
        <f t="shared" ref="G135" si="304">IF(G108,G134*G18*-1,0)</f>
        <v>2.4244141886321788</v>
      </c>
      <c r="H135" s="49">
        <f t="shared" ref="H135:I135" si="305">IF(H108,H134*H18*-1,0)</f>
        <v>0</v>
      </c>
      <c r="I135" s="49">
        <f t="shared" si="305"/>
        <v>1.959210312610371</v>
      </c>
      <c r="J135" s="49">
        <f t="shared" ref="J135" si="306">IF(J108,J134*J18*-1,0)</f>
        <v>0</v>
      </c>
      <c r="K135" s="49">
        <f t="shared" ref="K135" si="307">IF(K108,K134*K18*-1,0)</f>
        <v>1.6531698784107152</v>
      </c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</row>
    <row r="136" spans="1:50" x14ac:dyDescent="0.2">
      <c r="B136" s="17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</row>
    <row r="137" spans="1:50" ht="19" x14ac:dyDescent="0.25">
      <c r="A137" s="25" t="s">
        <v>105</v>
      </c>
      <c r="B137" s="17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</row>
    <row r="138" spans="1:50" x14ac:dyDescent="0.2">
      <c r="A138" s="3" t="s">
        <v>12</v>
      </c>
      <c r="B138" s="16">
        <f>IF(B108,B131,B130)</f>
        <v>100</v>
      </c>
      <c r="C138" s="49">
        <f>IF(C108,C131,C130)</f>
        <v>100.24954469117418</v>
      </c>
      <c r="D138" s="49">
        <f t="shared" ref="D138:E138" si="308">IF(D108,D131,D130)</f>
        <v>100.30503981824772</v>
      </c>
      <c r="E138" s="49">
        <f t="shared" si="308"/>
        <v>100.48708147667462</v>
      </c>
      <c r="F138" s="49">
        <f>IF(F108,F131,F130)</f>
        <v>100.5987503209264</v>
      </c>
      <c r="G138" s="49">
        <f t="shared" ref="G138:H138" si="309">IF(G108,G131,G130)</f>
        <v>100.77291467054766</v>
      </c>
      <c r="H138" s="49">
        <f t="shared" si="309"/>
        <v>100.89207049628502</v>
      </c>
      <c r="I138" s="49">
        <f t="shared" ref="I138:K138" si="310">IF(I108,I131,I130)</f>
        <v>101.06162683631634</v>
      </c>
      <c r="J138" s="49">
        <f t="shared" si="310"/>
        <v>101.18532674611468</v>
      </c>
      <c r="K138" s="49">
        <f t="shared" si="310"/>
        <v>101.35185559064105</v>
      </c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</row>
    <row r="139" spans="1:50" x14ac:dyDescent="0.2">
      <c r="A139" s="3" t="s">
        <v>108</v>
      </c>
      <c r="B139" s="23">
        <f>B82</f>
        <v>150000</v>
      </c>
      <c r="C139" s="54">
        <f>C82</f>
        <v>10000</v>
      </c>
      <c r="D139" s="54">
        <f t="shared" ref="D139:E139" si="311">D82</f>
        <v>150000</v>
      </c>
      <c r="E139" s="54">
        <f t="shared" si="311"/>
        <v>5000</v>
      </c>
      <c r="F139" s="54">
        <f>F82</f>
        <v>150000</v>
      </c>
      <c r="G139" s="54">
        <f t="shared" ref="G139:H139" si="312">G82</f>
        <v>5000</v>
      </c>
      <c r="H139" s="54">
        <f t="shared" si="312"/>
        <v>150000</v>
      </c>
      <c r="I139" s="54">
        <f t="shared" ref="I139:K139" si="313">I82</f>
        <v>5000</v>
      </c>
      <c r="J139" s="54">
        <f t="shared" si="313"/>
        <v>150000</v>
      </c>
      <c r="K139" s="54">
        <f t="shared" si="313"/>
        <v>5000</v>
      </c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</row>
    <row r="140" spans="1:50" x14ac:dyDescent="0.2">
      <c r="A140" s="3" t="s">
        <v>44</v>
      </c>
      <c r="B140" s="6">
        <f>B83</f>
        <v>450</v>
      </c>
      <c r="C140" s="46">
        <f>C83</f>
        <v>30</v>
      </c>
      <c r="D140" s="46">
        <f t="shared" ref="D140:E140" si="314">D83</f>
        <v>450</v>
      </c>
      <c r="E140" s="46">
        <f t="shared" si="314"/>
        <v>15</v>
      </c>
      <c r="F140" s="46">
        <f>F83</f>
        <v>450</v>
      </c>
      <c r="G140" s="46">
        <f t="shared" ref="G140:H140" si="315">G83</f>
        <v>15</v>
      </c>
      <c r="H140" s="46">
        <f t="shared" si="315"/>
        <v>450</v>
      </c>
      <c r="I140" s="46">
        <f t="shared" ref="I140:K140" si="316">I83</f>
        <v>15</v>
      </c>
      <c r="J140" s="46">
        <f t="shared" si="316"/>
        <v>450</v>
      </c>
      <c r="K140" s="46">
        <f t="shared" si="316"/>
        <v>15</v>
      </c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</row>
    <row r="141" spans="1:50" x14ac:dyDescent="0.2">
      <c r="A141" s="3" t="s">
        <v>15</v>
      </c>
      <c r="B141" s="16">
        <f>B84</f>
        <v>149550</v>
      </c>
      <c r="C141" s="49">
        <f>C84</f>
        <v>9970</v>
      </c>
      <c r="D141" s="49">
        <f t="shared" ref="D141:E141" si="317">D84</f>
        <v>149550</v>
      </c>
      <c r="E141" s="49">
        <f t="shared" si="317"/>
        <v>4985</v>
      </c>
      <c r="F141" s="49">
        <f>F84</f>
        <v>149550</v>
      </c>
      <c r="G141" s="49">
        <f t="shared" ref="G141:H141" si="318">G84</f>
        <v>4985</v>
      </c>
      <c r="H141" s="49">
        <f t="shared" si="318"/>
        <v>149550</v>
      </c>
      <c r="I141" s="49">
        <f t="shared" ref="I141:K141" si="319">I84</f>
        <v>4985</v>
      </c>
      <c r="J141" s="49">
        <f t="shared" si="319"/>
        <v>149550</v>
      </c>
      <c r="K141" s="49">
        <f t="shared" si="319"/>
        <v>4985</v>
      </c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</row>
    <row r="142" spans="1:50" x14ac:dyDescent="0.2">
      <c r="A142" s="3" t="s">
        <v>21</v>
      </c>
      <c r="B142" s="28">
        <f>B141/B18</f>
        <v>0.14954999999999999</v>
      </c>
      <c r="C142" s="50">
        <f>C141/C18</f>
        <v>9.9699999999999997E-3</v>
      </c>
      <c r="D142" s="50">
        <f t="shared" ref="D142:E142" si="320">D141/D18</f>
        <v>0.14954999999999999</v>
      </c>
      <c r="E142" s="50">
        <f t="shared" si="320"/>
        <v>4.9849999999999998E-3</v>
      </c>
      <c r="F142" s="50">
        <f>F141/F18</f>
        <v>0.14954999999999999</v>
      </c>
      <c r="G142" s="50">
        <f t="shared" ref="G142" si="321">G141/G18</f>
        <v>4.9849999999999998E-3</v>
      </c>
      <c r="H142" s="50">
        <f t="shared" ref="H142:I142" si="322">H141/H18</f>
        <v>0.14954999999999999</v>
      </c>
      <c r="I142" s="50">
        <f t="shared" si="322"/>
        <v>4.9849999999999998E-3</v>
      </c>
      <c r="J142" s="50">
        <f t="shared" ref="J142" si="323">J141/J18</f>
        <v>0.14954999999999999</v>
      </c>
      <c r="K142" s="50">
        <f t="shared" ref="K142" si="324">K141/K18</f>
        <v>4.9849999999999998E-3</v>
      </c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</row>
    <row r="143" spans="1:50" x14ac:dyDescent="0.2">
      <c r="A143" s="3" t="s">
        <v>20</v>
      </c>
      <c r="B143" s="34">
        <f>B138+B142</f>
        <v>100.14955</v>
      </c>
      <c r="C143" s="49">
        <f>C138+C142</f>
        <v>100.25951469117418</v>
      </c>
      <c r="D143" s="49">
        <f t="shared" ref="D143:E143" si="325">D138+D142</f>
        <v>100.45458981824773</v>
      </c>
      <c r="E143" s="49">
        <f t="shared" si="325"/>
        <v>100.49206647667462</v>
      </c>
      <c r="F143" s="49">
        <f>F138+F142</f>
        <v>100.7483003209264</v>
      </c>
      <c r="G143" s="49">
        <f t="shared" ref="G143" si="326">G138+G142</f>
        <v>100.77789967054767</v>
      </c>
      <c r="H143" s="49">
        <f t="shared" ref="H143:I143" si="327">H138+H142</f>
        <v>101.04162049628502</v>
      </c>
      <c r="I143" s="49">
        <f t="shared" si="327"/>
        <v>101.06661183631634</v>
      </c>
      <c r="J143" s="49">
        <f t="shared" ref="J143" si="328">J138+J142</f>
        <v>101.33487674611469</v>
      </c>
      <c r="K143" s="49">
        <f t="shared" ref="K143" si="329">K138+K142</f>
        <v>101.35684059064106</v>
      </c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</row>
    <row r="144" spans="1:50" x14ac:dyDescent="0.2">
      <c r="A144" s="3" t="s">
        <v>25</v>
      </c>
      <c r="B144" s="27">
        <f>(1/B143)-(1/B138)</f>
        <v>-1.4932668194715323E-5</v>
      </c>
      <c r="C144" s="51">
        <f>(1/C143)-(1/C138)</f>
        <v>-9.9194399215928042E-7</v>
      </c>
      <c r="D144" s="51">
        <f t="shared" ref="D144:E144" si="330">(1/D143)-(1/D138)</f>
        <v>-1.4842049580993111E-5</v>
      </c>
      <c r="E144" s="51">
        <f t="shared" si="330"/>
        <v>-4.9365455974392791E-7</v>
      </c>
      <c r="F144" s="51">
        <f>(1/F143)-(1/F138)</f>
        <v>-1.4755573831798027E-5</v>
      </c>
      <c r="G144" s="51">
        <f t="shared" ref="G144" si="331">(1/G143)-(1/G138)</f>
        <v>-4.908581879761037E-7</v>
      </c>
      <c r="H144" s="51">
        <f t="shared" ref="H144:I144" si="332">(1/H143)-(1/H138)</f>
        <v>-1.4669965075169225E-5</v>
      </c>
      <c r="I144" s="51">
        <f t="shared" si="332"/>
        <v>-4.88057702325434E-7</v>
      </c>
      <c r="J144" s="51">
        <f t="shared" ref="J144" si="333">(1/J143)-(1/J138)</f>
        <v>-1.4585117604515654E-5</v>
      </c>
      <c r="K144" s="51">
        <f t="shared" ref="K144" si="334">(1/K143)-(1/K138)</f>
        <v>-4.8526659219942647E-7</v>
      </c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</row>
    <row r="145" spans="1:50" x14ac:dyDescent="0.2">
      <c r="A145" s="3" t="s">
        <v>53</v>
      </c>
      <c r="B145" s="16">
        <f>B144*B18</f>
        <v>-14.932668194715323</v>
      </c>
      <c r="C145" s="49">
        <f>C144*C18</f>
        <v>-0.99194399215928042</v>
      </c>
      <c r="D145" s="49">
        <f t="shared" ref="D145:E145" si="335">D144*D18</f>
        <v>-14.842049580993111</v>
      </c>
      <c r="E145" s="49">
        <f t="shared" si="335"/>
        <v>-0.49365455974392791</v>
      </c>
      <c r="F145" s="49">
        <f>F144*F18</f>
        <v>-14.755573831798028</v>
      </c>
      <c r="G145" s="49">
        <f t="shared" ref="G145" si="336">G144*G18</f>
        <v>-0.4908581879761037</v>
      </c>
      <c r="H145" s="49">
        <f t="shared" ref="H145:I145" si="337">H144*H18</f>
        <v>-14.669965075169225</v>
      </c>
      <c r="I145" s="49">
        <f t="shared" si="337"/>
        <v>-0.488057702325434</v>
      </c>
      <c r="J145" s="49">
        <f t="shared" ref="J145" si="338">J144*J18</f>
        <v>-14.585117604515654</v>
      </c>
      <c r="K145" s="49">
        <f t="shared" ref="K145" si="339">K144*K18</f>
        <v>-0.48526659219942647</v>
      </c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</row>
    <row r="146" spans="1:50" x14ac:dyDescent="0.2"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</row>
    <row r="147" spans="1:50" x14ac:dyDescent="0.2">
      <c r="A147" s="3" t="s">
        <v>54</v>
      </c>
      <c r="B147" s="16">
        <f>IF(B108,B139/B145*-1,0)</f>
        <v>0</v>
      </c>
      <c r="C147" s="16">
        <f t="shared" ref="C147:I147" si="340">IF(C108,C139/C145*-1,0)</f>
        <v>10081.214341781366</v>
      </c>
      <c r="D147" s="16">
        <f t="shared" si="340"/>
        <v>0</v>
      </c>
      <c r="E147" s="16">
        <f t="shared" si="340"/>
        <v>10128.540092070934</v>
      </c>
      <c r="F147" s="16">
        <f t="shared" si="340"/>
        <v>0</v>
      </c>
      <c r="G147" s="16">
        <f t="shared" si="340"/>
        <v>10186.241408370708</v>
      </c>
      <c r="H147" s="16">
        <f t="shared" si="340"/>
        <v>0</v>
      </c>
      <c r="I147" s="16">
        <f t="shared" si="340"/>
        <v>10244.690281859397</v>
      </c>
      <c r="J147" s="16">
        <f t="shared" ref="J147:K147" si="341">IF(J108,J139/J145*-1,0)</f>
        <v>0</v>
      </c>
      <c r="K147" s="16">
        <f t="shared" si="341"/>
        <v>10303.614714827076</v>
      </c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</row>
    <row r="148" spans="1:50" x14ac:dyDescent="0.2">
      <c r="A148" s="3" t="s">
        <v>55</v>
      </c>
      <c r="B148" s="6">
        <f>B100</f>
        <v>10060.112703312439</v>
      </c>
      <c r="C148" s="46">
        <f>C100</f>
        <v>10062.115794012438</v>
      </c>
      <c r="D148" s="46">
        <f t="shared" ref="D148:E148" si="342">D100</f>
        <v>10121.489082800803</v>
      </c>
      <c r="E148" s="46">
        <f t="shared" si="342"/>
        <v>10122.493653623986</v>
      </c>
      <c r="F148" s="46">
        <f>F100</f>
        <v>10180.762304468986</v>
      </c>
      <c r="G148" s="46">
        <f t="shared" ref="G148:H148" si="343">G100</f>
        <v>10181.769812397197</v>
      </c>
      <c r="H148" s="46">
        <f t="shared" si="343"/>
        <v>10240.129460897979</v>
      </c>
      <c r="I148" s="46">
        <f t="shared" ref="I148:K148" si="344">I100</f>
        <v>10241.139902027944</v>
      </c>
      <c r="J148" s="46">
        <f t="shared" si="344"/>
        <v>10299.65621379163</v>
      </c>
      <c r="K148" s="46">
        <f t="shared" si="344"/>
        <v>10300.669587484092</v>
      </c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</row>
    <row r="149" spans="1:50" x14ac:dyDescent="0.2">
      <c r="A149" s="12" t="s">
        <v>56</v>
      </c>
      <c r="B149" s="18">
        <f>F6</f>
        <v>10500</v>
      </c>
      <c r="C149" s="56">
        <f>B149</f>
        <v>10500</v>
      </c>
      <c r="D149" s="56">
        <f t="shared" ref="D149:E149" si="345">C149</f>
        <v>10500</v>
      </c>
      <c r="E149" s="56">
        <f t="shared" si="345"/>
        <v>10500</v>
      </c>
      <c r="F149" s="56">
        <f>E149</f>
        <v>10500</v>
      </c>
      <c r="G149" s="56">
        <f t="shared" ref="G149:H149" si="346">F149</f>
        <v>10500</v>
      </c>
      <c r="H149" s="56">
        <f t="shared" si="346"/>
        <v>10500</v>
      </c>
      <c r="I149" s="56">
        <f t="shared" ref="I149:K149" si="347">H149</f>
        <v>10500</v>
      </c>
      <c r="J149" s="56">
        <f t="shared" si="347"/>
        <v>10500</v>
      </c>
      <c r="K149" s="56">
        <f t="shared" si="347"/>
        <v>10500</v>
      </c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</row>
    <row r="150" spans="1:50" x14ac:dyDescent="0.2"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</row>
    <row r="151" spans="1:50" x14ac:dyDescent="0.2"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</row>
    <row r="152" spans="1:50" ht="19" x14ac:dyDescent="0.25">
      <c r="A152" s="26" t="s">
        <v>93</v>
      </c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</row>
    <row r="153" spans="1:50" x14ac:dyDescent="0.2">
      <c r="A153" s="3" t="s">
        <v>86</v>
      </c>
      <c r="B153" s="27">
        <f>1/B74</f>
        <v>0.01</v>
      </c>
      <c r="C153" s="51">
        <f>1/C74</f>
        <v>0.01</v>
      </c>
      <c r="D153" s="51">
        <f t="shared" ref="D153:E153" si="348">1/D74</f>
        <v>9.9695887844917404E-3</v>
      </c>
      <c r="E153" s="51">
        <f t="shared" si="348"/>
        <v>9.9695887844917404E-3</v>
      </c>
      <c r="F153" s="51">
        <f>1/F74</f>
        <v>9.9404813360984817E-3</v>
      </c>
      <c r="G153" s="51">
        <f t="shared" ref="G153:H153" si="349">1/G74</f>
        <v>9.9404813360984817E-3</v>
      </c>
      <c r="H153" s="51">
        <f t="shared" si="349"/>
        <v>9.9115817039042865E-3</v>
      </c>
      <c r="I153" s="51">
        <f t="shared" ref="I153:K153" si="350">1/I74</f>
        <v>9.9115817039042865E-3</v>
      </c>
      <c r="J153" s="51">
        <f t="shared" si="350"/>
        <v>9.8828558661386949E-3</v>
      </c>
      <c r="K153" s="51">
        <f t="shared" si="350"/>
        <v>9.8828558661386949E-3</v>
      </c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</row>
    <row r="154" spans="1:50" x14ac:dyDescent="0.2">
      <c r="A154" s="12" t="s">
        <v>87</v>
      </c>
      <c r="B154" s="27">
        <f>1/B75</f>
        <v>9.9849887330932929E-3</v>
      </c>
      <c r="C154" s="51">
        <f>1/C75</f>
        <v>9.9849887330932929E-3</v>
      </c>
      <c r="D154" s="51">
        <f t="shared" ref="D154:E154" si="351">1/D75</f>
        <v>9.9546231686723288E-3</v>
      </c>
      <c r="E154" s="51">
        <f t="shared" si="351"/>
        <v>9.9546231686723288E-3</v>
      </c>
      <c r="F154" s="51">
        <f>1/F75</f>
        <v>9.9255594142467502E-3</v>
      </c>
      <c r="G154" s="51">
        <f t="shared" ref="G154:H154" si="352">1/G75</f>
        <v>9.9255594142467502E-3</v>
      </c>
      <c r="H154" s="51">
        <f t="shared" si="352"/>
        <v>9.8967031640617917E-3</v>
      </c>
      <c r="I154" s="51">
        <f t="shared" ref="I154:K154" si="353">1/I75</f>
        <v>9.8967031640617917E-3</v>
      </c>
      <c r="J154" s="51">
        <f t="shared" si="353"/>
        <v>9.8680204474179811E-3</v>
      </c>
      <c r="K154" s="51">
        <f t="shared" si="353"/>
        <v>9.8680204474179811E-3</v>
      </c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</row>
    <row r="155" spans="1:50" x14ac:dyDescent="0.2">
      <c r="A155" s="3" t="s">
        <v>88</v>
      </c>
      <c r="B155" s="27">
        <f>1/B76</f>
        <v>1.0015033834597084E-2</v>
      </c>
      <c r="C155" s="51">
        <f>1/C76</f>
        <v>1.0015033834597084E-2</v>
      </c>
      <c r="D155" s="51">
        <f t="shared" ref="D155:E155" si="354">1/D76</f>
        <v>9.9845768993704412E-3</v>
      </c>
      <c r="E155" s="51">
        <f t="shared" si="354"/>
        <v>9.9845768993704412E-3</v>
      </c>
      <c r="F155" s="51">
        <f>1/F76</f>
        <v>9.9554256913207129E-3</v>
      </c>
      <c r="G155" s="51">
        <f t="shared" ref="G155:H155" si="355">1/G76</f>
        <v>9.9554256913207129E-3</v>
      </c>
      <c r="H155" s="51">
        <f t="shared" si="355"/>
        <v>9.9264826118974844E-3</v>
      </c>
      <c r="I155" s="51">
        <f t="shared" ref="I155:K155" si="356">1/I76</f>
        <v>9.9264826118974844E-3</v>
      </c>
      <c r="J155" s="51">
        <f t="shared" si="356"/>
        <v>9.8977135881825294E-3</v>
      </c>
      <c r="K155" s="51">
        <f t="shared" si="356"/>
        <v>9.8977135881825294E-3</v>
      </c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</row>
    <row r="156" spans="1:50" x14ac:dyDescent="0.2">
      <c r="A156" s="3" t="s">
        <v>23</v>
      </c>
      <c r="B156" s="27">
        <f>1/B77</f>
        <v>0.01</v>
      </c>
      <c r="C156" s="51">
        <f>1/C77</f>
        <v>9.9850673318052849E-3</v>
      </c>
      <c r="D156" s="51">
        <f t="shared" ref="D156:E156" si="357">1/D77</f>
        <v>9.9695887844917404E-3</v>
      </c>
      <c r="E156" s="51">
        <f t="shared" si="357"/>
        <v>9.9547467349107473E-3</v>
      </c>
      <c r="F156" s="51">
        <f>1/F77</f>
        <v>9.9404813360984817E-3</v>
      </c>
      <c r="G156" s="51">
        <f t="shared" ref="G156:H156" si="358">1/G77</f>
        <v>9.9257257622666836E-3</v>
      </c>
      <c r="H156" s="51">
        <f t="shared" si="358"/>
        <v>9.9115817039042865E-3</v>
      </c>
      <c r="I156" s="51">
        <f t="shared" ref="I156:K156" si="359">1/I77</f>
        <v>9.8969117388291172E-3</v>
      </c>
      <c r="J156" s="51">
        <f t="shared" si="359"/>
        <v>9.8828558661386949E-3</v>
      </c>
      <c r="K156" s="51">
        <f t="shared" si="359"/>
        <v>9.8682707485341793E-3</v>
      </c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</row>
    <row r="157" spans="1:50" x14ac:dyDescent="0.2"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</row>
    <row r="158" spans="1:50" x14ac:dyDescent="0.2">
      <c r="A158" s="3" t="s">
        <v>89</v>
      </c>
      <c r="B158" s="6">
        <f>(B155-B153)*B18</f>
        <v>15.033834597083517</v>
      </c>
      <c r="C158" s="46">
        <f>(C155-C153)*C18</f>
        <v>15.033834597083517</v>
      </c>
      <c r="D158" s="46">
        <f t="shared" ref="D158:E158" si="360">(D155-D153)*D18</f>
        <v>14.988114878700804</v>
      </c>
      <c r="E158" s="46">
        <f t="shared" si="360"/>
        <v>14.988114878700804</v>
      </c>
      <c r="F158" s="46">
        <f>(F155-F153)*F18</f>
        <v>14.944355222231213</v>
      </c>
      <c r="G158" s="46">
        <f t="shared" ref="G158:H158" si="361">(G155-G153)*G18</f>
        <v>14.944355222231213</v>
      </c>
      <c r="H158" s="46">
        <f t="shared" si="361"/>
        <v>14.900907993197974</v>
      </c>
      <c r="I158" s="46">
        <f t="shared" ref="I158:K158" si="362">(I155-I153)*I18</f>
        <v>14.900907993197974</v>
      </c>
      <c r="J158" s="46">
        <f t="shared" si="362"/>
        <v>14.85772204383451</v>
      </c>
      <c r="K158" s="46">
        <f t="shared" si="362"/>
        <v>14.85772204383451</v>
      </c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</row>
    <row r="159" spans="1:50" x14ac:dyDescent="0.2">
      <c r="A159" s="3" t="s">
        <v>90</v>
      </c>
      <c r="B159" s="6">
        <f>(B155-B156)*B18</f>
        <v>15.033834597083517</v>
      </c>
      <c r="C159" s="46">
        <f>(C155-C156)*C18</f>
        <v>29.966502791798842</v>
      </c>
      <c r="D159" s="46">
        <f t="shared" ref="D159:E159" si="363">(D155-D156)*D18</f>
        <v>14.988114878700804</v>
      </c>
      <c r="E159" s="46">
        <f t="shared" si="363"/>
        <v>29.830164459693915</v>
      </c>
      <c r="F159" s="46">
        <f>(F155-F156)*F18</f>
        <v>14.944355222231213</v>
      </c>
      <c r="G159" s="46">
        <f t="shared" ref="G159:H159" si="364">(G155-G156)*G18</f>
        <v>29.699929054029241</v>
      </c>
      <c r="H159" s="46">
        <f t="shared" si="364"/>
        <v>14.900907993197974</v>
      </c>
      <c r="I159" s="46">
        <f t="shared" ref="I159:K159" si="365">(I155-I156)*I18</f>
        <v>29.570873068367199</v>
      </c>
      <c r="J159" s="46">
        <f t="shared" si="365"/>
        <v>14.85772204383451</v>
      </c>
      <c r="K159" s="46">
        <f t="shared" si="365"/>
        <v>29.442839648350162</v>
      </c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</row>
    <row r="160" spans="1:50" x14ac:dyDescent="0.2"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</row>
    <row r="161" spans="1:50" x14ac:dyDescent="0.2">
      <c r="A161" s="3" t="s">
        <v>16</v>
      </c>
      <c r="B161" s="18">
        <f>B14</f>
        <v>0</v>
      </c>
      <c r="C161" s="56">
        <f>C14</f>
        <v>0</v>
      </c>
      <c r="D161" s="56">
        <f t="shared" ref="D161:E161" si="366">D14</f>
        <v>0</v>
      </c>
      <c r="E161" s="56">
        <f t="shared" si="366"/>
        <v>0</v>
      </c>
      <c r="F161" s="56">
        <f>F14</f>
        <v>0</v>
      </c>
      <c r="G161" s="56">
        <f t="shared" ref="G161:H161" si="367">G14</f>
        <v>0</v>
      </c>
      <c r="H161" s="56">
        <f t="shared" si="367"/>
        <v>0</v>
      </c>
      <c r="I161" s="56">
        <f t="shared" ref="I161:K161" si="368">I14</f>
        <v>0</v>
      </c>
      <c r="J161" s="56">
        <f t="shared" si="368"/>
        <v>0</v>
      </c>
      <c r="K161" s="56">
        <f t="shared" si="368"/>
        <v>0</v>
      </c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</row>
    <row r="162" spans="1:50" x14ac:dyDescent="0.2">
      <c r="A162" s="3" t="s">
        <v>17</v>
      </c>
      <c r="B162" s="6">
        <f>B161*B17</f>
        <v>0</v>
      </c>
      <c r="C162" s="46">
        <f>C161*C17</f>
        <v>0</v>
      </c>
      <c r="D162" s="46">
        <f t="shared" ref="D162:E162" si="369">D161*D17</f>
        <v>0</v>
      </c>
      <c r="E162" s="46">
        <f t="shared" si="369"/>
        <v>0</v>
      </c>
      <c r="F162" s="46">
        <f>F161*F17</f>
        <v>0</v>
      </c>
      <c r="G162" s="46">
        <f t="shared" ref="G162" si="370">G161*G17</f>
        <v>0</v>
      </c>
      <c r="H162" s="46">
        <f t="shared" ref="H162:I162" si="371">H161*H17</f>
        <v>0</v>
      </c>
      <c r="I162" s="46">
        <f t="shared" si="371"/>
        <v>0</v>
      </c>
      <c r="J162" s="46">
        <f t="shared" ref="J162" si="372">J161*J17</f>
        <v>0</v>
      </c>
      <c r="K162" s="46">
        <f t="shared" ref="K162" si="373">K161*K17</f>
        <v>0</v>
      </c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</row>
    <row r="163" spans="1:50" x14ac:dyDescent="0.2">
      <c r="A163" s="3" t="s">
        <v>15</v>
      </c>
      <c r="B163" s="18">
        <f>B161-B162</f>
        <v>0</v>
      </c>
      <c r="C163" s="56">
        <f>C161-C162</f>
        <v>0</v>
      </c>
      <c r="D163" s="56">
        <f t="shared" ref="D163:E163" si="374">D161-D162</f>
        <v>0</v>
      </c>
      <c r="E163" s="56">
        <f t="shared" si="374"/>
        <v>0</v>
      </c>
      <c r="F163" s="56">
        <f>F161-F162</f>
        <v>0</v>
      </c>
      <c r="G163" s="56">
        <f t="shared" ref="G163" si="375">G161-G162</f>
        <v>0</v>
      </c>
      <c r="H163" s="56">
        <f t="shared" ref="H163:I163" si="376">H161-H162</f>
        <v>0</v>
      </c>
      <c r="I163" s="56">
        <f t="shared" si="376"/>
        <v>0</v>
      </c>
      <c r="J163" s="56">
        <f t="shared" ref="J163" si="377">J161-J162</f>
        <v>0</v>
      </c>
      <c r="K163" s="56">
        <f t="shared" ref="K163" si="378">K161-K162</f>
        <v>0</v>
      </c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</row>
    <row r="164" spans="1:50" x14ac:dyDescent="0.2">
      <c r="A164" s="3" t="s">
        <v>14</v>
      </c>
      <c r="B164" s="16">
        <f>IF(B24="X",B163-B158,0)</f>
        <v>0</v>
      </c>
      <c r="C164" s="49">
        <f>IF(C24="X",C163-C158,0)</f>
        <v>0</v>
      </c>
      <c r="D164" s="49">
        <f t="shared" ref="D164:E164" si="379">IF(D24="X",D163-D158,0)</f>
        <v>0</v>
      </c>
      <c r="E164" s="49">
        <f t="shared" si="379"/>
        <v>0</v>
      </c>
      <c r="F164" s="49">
        <f>IF(F24="X",F163-F158,0)</f>
        <v>0</v>
      </c>
      <c r="G164" s="49">
        <f t="shared" ref="G164" si="380">IF(G24="X",G163-G158,0)</f>
        <v>0</v>
      </c>
      <c r="H164" s="49">
        <f t="shared" ref="H164:I164" si="381">IF(H24="X",H163-H158,0)</f>
        <v>0</v>
      </c>
      <c r="I164" s="49">
        <f t="shared" si="381"/>
        <v>0</v>
      </c>
      <c r="J164" s="49">
        <f t="shared" ref="J164" si="382">IF(J24="X",J163-J158,0)</f>
        <v>0</v>
      </c>
      <c r="K164" s="49">
        <f t="shared" ref="K164" si="383">IF(K24="X",K163-K158,0)</f>
        <v>0</v>
      </c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</row>
    <row r="165" spans="1:50" x14ac:dyDescent="0.2">
      <c r="A165" s="3" t="s">
        <v>13</v>
      </c>
      <c r="B165" s="16">
        <f>IF(B24="X",B163-B159,0)</f>
        <v>0</v>
      </c>
      <c r="C165" s="49">
        <f>IF(C24="X",C163-C159,0)</f>
        <v>0</v>
      </c>
      <c r="D165" s="49">
        <f t="shared" ref="D165:E165" si="384">IF(D24="X",D163-D159,0)</f>
        <v>0</v>
      </c>
      <c r="E165" s="49">
        <f t="shared" si="384"/>
        <v>0</v>
      </c>
      <c r="F165" s="49">
        <f>IF(F24="X",F163-F159,0)</f>
        <v>0</v>
      </c>
      <c r="G165" s="49">
        <f t="shared" ref="G165:H165" si="385">IF(G24="X",G163-G159,0)</f>
        <v>0</v>
      </c>
      <c r="H165" s="49">
        <f t="shared" si="385"/>
        <v>0</v>
      </c>
      <c r="I165" s="49">
        <f t="shared" ref="I165:K165" si="386">IF(I24="X",I163-I159,0)</f>
        <v>0</v>
      </c>
      <c r="J165" s="49">
        <f t="shared" si="386"/>
        <v>0</v>
      </c>
      <c r="K165" s="49">
        <f t="shared" si="386"/>
        <v>0</v>
      </c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</row>
    <row r="166" spans="1:50" x14ac:dyDescent="0.2"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</row>
    <row r="167" spans="1:50" x14ac:dyDescent="0.2">
      <c r="A167" s="3" t="s">
        <v>91</v>
      </c>
      <c r="B167" s="27">
        <f>B165/B18</f>
        <v>0</v>
      </c>
      <c r="C167" s="51">
        <f>C165/C18</f>
        <v>0</v>
      </c>
      <c r="D167" s="51">
        <f t="shared" ref="D167:E167" si="387">D165/D18</f>
        <v>0</v>
      </c>
      <c r="E167" s="51">
        <f t="shared" si="387"/>
        <v>0</v>
      </c>
      <c r="F167" s="51">
        <f>F165/F18</f>
        <v>0</v>
      </c>
      <c r="G167" s="51">
        <f t="shared" ref="G167:H167" si="388">G165/G18</f>
        <v>0</v>
      </c>
      <c r="H167" s="51">
        <f t="shared" si="388"/>
        <v>0</v>
      </c>
      <c r="I167" s="51">
        <f t="shared" ref="I167:K167" si="389">I165/I18</f>
        <v>0</v>
      </c>
      <c r="J167" s="51">
        <f t="shared" si="389"/>
        <v>0</v>
      </c>
      <c r="K167" s="51">
        <f t="shared" si="389"/>
        <v>0</v>
      </c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</row>
    <row r="168" spans="1:50" x14ac:dyDescent="0.2">
      <c r="A168" s="3" t="s">
        <v>92</v>
      </c>
      <c r="B168" s="27">
        <f>B155+B167</f>
        <v>1.0015033834597084E-2</v>
      </c>
      <c r="C168" s="51">
        <f>C155+C167</f>
        <v>1.0015033834597084E-2</v>
      </c>
      <c r="D168" s="51">
        <f t="shared" ref="D168:E168" si="390">D155+D167</f>
        <v>9.9845768993704412E-3</v>
      </c>
      <c r="E168" s="51">
        <f t="shared" si="390"/>
        <v>9.9845768993704412E-3</v>
      </c>
      <c r="F168" s="51">
        <f>F155+F167</f>
        <v>9.9554256913207129E-3</v>
      </c>
      <c r="G168" s="51">
        <f t="shared" ref="G168" si="391">G155+G167</f>
        <v>9.9554256913207129E-3</v>
      </c>
      <c r="H168" s="51">
        <f t="shared" ref="H168:I168" si="392">H155+H167</f>
        <v>9.9264826118974844E-3</v>
      </c>
      <c r="I168" s="51">
        <f t="shared" si="392"/>
        <v>9.9264826118974844E-3</v>
      </c>
      <c r="J168" s="51">
        <f t="shared" ref="J168" si="393">J155+J167</f>
        <v>9.8977135881825294E-3</v>
      </c>
      <c r="K168" s="51">
        <f t="shared" ref="K168" si="394">K155+K167</f>
        <v>9.8977135881825294E-3</v>
      </c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</row>
    <row r="169" spans="1:50" x14ac:dyDescent="0.2"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</row>
    <row r="170" spans="1:50" x14ac:dyDescent="0.2">
      <c r="A170" s="3" t="s">
        <v>25</v>
      </c>
      <c r="B170" s="27">
        <f>B163/B18</f>
        <v>0</v>
      </c>
      <c r="C170" s="51">
        <f>C163/C18</f>
        <v>0</v>
      </c>
      <c r="D170" s="51">
        <f t="shared" ref="D170:E170" si="395">D163/D18</f>
        <v>0</v>
      </c>
      <c r="E170" s="51">
        <f t="shared" si="395"/>
        <v>0</v>
      </c>
      <c r="F170" s="51">
        <f>F163/F18</f>
        <v>0</v>
      </c>
      <c r="G170" s="51">
        <f t="shared" ref="G170:H170" si="396">G163/G18</f>
        <v>0</v>
      </c>
      <c r="H170" s="51">
        <f t="shared" si="396"/>
        <v>0</v>
      </c>
      <c r="I170" s="51">
        <f t="shared" ref="I170:K170" si="397">I163/I18</f>
        <v>0</v>
      </c>
      <c r="J170" s="51">
        <f t="shared" si="397"/>
        <v>0</v>
      </c>
      <c r="K170" s="51">
        <f t="shared" si="397"/>
        <v>0</v>
      </c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</row>
    <row r="171" spans="1:50" x14ac:dyDescent="0.2">
      <c r="A171" s="3" t="s">
        <v>24</v>
      </c>
      <c r="B171" s="27">
        <f>B156+B170</f>
        <v>0.01</v>
      </c>
      <c r="C171" s="51">
        <f>C156+C170</f>
        <v>9.9850673318052849E-3</v>
      </c>
      <c r="D171" s="51">
        <f t="shared" ref="D171:E171" si="398">D156+D170</f>
        <v>9.9695887844917404E-3</v>
      </c>
      <c r="E171" s="51">
        <f t="shared" si="398"/>
        <v>9.9547467349107473E-3</v>
      </c>
      <c r="F171" s="51">
        <f>F156+F170</f>
        <v>9.9404813360984817E-3</v>
      </c>
      <c r="G171" s="51">
        <f t="shared" ref="G171" si="399">G156+G170</f>
        <v>9.9257257622666836E-3</v>
      </c>
      <c r="H171" s="51">
        <f t="shared" ref="H171:I171" si="400">H156+H170</f>
        <v>9.9115817039042865E-3</v>
      </c>
      <c r="I171" s="51">
        <f t="shared" si="400"/>
        <v>9.8969117388291172E-3</v>
      </c>
      <c r="J171" s="51">
        <f t="shared" ref="J171" si="401">J156+J170</f>
        <v>9.8828558661386949E-3</v>
      </c>
      <c r="K171" s="51">
        <f t="shared" ref="K171" si="402">K156+K170</f>
        <v>9.8682707485341793E-3</v>
      </c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</row>
    <row r="172" spans="1:50" x14ac:dyDescent="0.2">
      <c r="A172" s="3" t="s">
        <v>12</v>
      </c>
      <c r="B172" s="28">
        <f>1/B156</f>
        <v>100</v>
      </c>
      <c r="C172" s="50">
        <f>1/C156</f>
        <v>100.14955</v>
      </c>
      <c r="D172" s="50">
        <f t="shared" ref="D172:E172" si="403">1/D156</f>
        <v>100.30503981824774</v>
      </c>
      <c r="E172" s="50">
        <f t="shared" si="403"/>
        <v>100.45458981824773</v>
      </c>
      <c r="F172" s="50">
        <f>1/F156</f>
        <v>100.5987503209264</v>
      </c>
      <c r="G172" s="50">
        <f t="shared" ref="G172:H172" si="404">1/G156</f>
        <v>100.7483003209264</v>
      </c>
      <c r="H172" s="50">
        <f t="shared" si="404"/>
        <v>100.89207049628502</v>
      </c>
      <c r="I172" s="50">
        <f t="shared" ref="I172:K172" si="405">1/I156</f>
        <v>101.04162049628502</v>
      </c>
      <c r="J172" s="50">
        <f t="shared" si="405"/>
        <v>101.18532674611467</v>
      </c>
      <c r="K172" s="50">
        <f t="shared" si="405"/>
        <v>101.33487674611469</v>
      </c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</row>
    <row r="173" spans="1:50" x14ac:dyDescent="0.2">
      <c r="A173" s="3" t="s">
        <v>20</v>
      </c>
      <c r="B173" s="28">
        <f>1/B171</f>
        <v>100</v>
      </c>
      <c r="C173" s="50">
        <f>1/C171</f>
        <v>100.14955</v>
      </c>
      <c r="D173" s="50">
        <f t="shared" ref="D173:E173" si="406">1/D171</f>
        <v>100.30503981824774</v>
      </c>
      <c r="E173" s="50">
        <f t="shared" si="406"/>
        <v>100.45458981824773</v>
      </c>
      <c r="F173" s="50">
        <f>1/F171</f>
        <v>100.5987503209264</v>
      </c>
      <c r="G173" s="50">
        <f t="shared" ref="G173:H173" si="407">1/G171</f>
        <v>100.7483003209264</v>
      </c>
      <c r="H173" s="50">
        <f t="shared" si="407"/>
        <v>100.89207049628502</v>
      </c>
      <c r="I173" s="50">
        <f t="shared" ref="I173:K173" si="408">1/I171</f>
        <v>101.04162049628502</v>
      </c>
      <c r="J173" s="50">
        <f t="shared" si="408"/>
        <v>101.18532674611467</v>
      </c>
      <c r="K173" s="50">
        <f t="shared" si="408"/>
        <v>101.33487674611469</v>
      </c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</row>
    <row r="174" spans="1:50" x14ac:dyDescent="0.2">
      <c r="A174" s="3" t="s">
        <v>21</v>
      </c>
      <c r="B174" s="27">
        <f>B173-B172</f>
        <v>0</v>
      </c>
      <c r="C174" s="51">
        <f>C173-C172</f>
        <v>0</v>
      </c>
      <c r="D174" s="51">
        <f t="shared" ref="D174:E174" si="409">D173-D172</f>
        <v>0</v>
      </c>
      <c r="E174" s="51">
        <f t="shared" si="409"/>
        <v>0</v>
      </c>
      <c r="F174" s="51">
        <f>F173-F172</f>
        <v>0</v>
      </c>
      <c r="G174" s="51">
        <f t="shared" ref="G174" si="410">G173-G172</f>
        <v>0</v>
      </c>
      <c r="H174" s="51">
        <f t="shared" ref="H174:I174" si="411">H173-H172</f>
        <v>0</v>
      </c>
      <c r="I174" s="51">
        <f t="shared" si="411"/>
        <v>0</v>
      </c>
      <c r="J174" s="51">
        <f t="shared" ref="J174" si="412">J173-J172</f>
        <v>0</v>
      </c>
      <c r="K174" s="51">
        <f t="shared" ref="K174" si="413">K173-K172</f>
        <v>0</v>
      </c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</row>
    <row r="175" spans="1:50" x14ac:dyDescent="0.2"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</row>
    <row r="176" spans="1:50" x14ac:dyDescent="0.2">
      <c r="A176" s="3" t="s">
        <v>94</v>
      </c>
      <c r="B176" s="16">
        <f>B174*B18</f>
        <v>0</v>
      </c>
      <c r="C176" s="49">
        <f>C174*C18</f>
        <v>0</v>
      </c>
      <c r="D176" s="49">
        <f t="shared" ref="D176:E176" si="414">D174*D18</f>
        <v>0</v>
      </c>
      <c r="E176" s="49">
        <f t="shared" si="414"/>
        <v>0</v>
      </c>
      <c r="F176" s="49">
        <f>F174*F18</f>
        <v>0</v>
      </c>
      <c r="G176" s="49">
        <f t="shared" ref="G176:H176" si="415">G174*G18</f>
        <v>0</v>
      </c>
      <c r="H176" s="49">
        <f t="shared" si="415"/>
        <v>0</v>
      </c>
      <c r="I176" s="49">
        <f t="shared" ref="I176:K176" si="416">I174*I18</f>
        <v>0</v>
      </c>
      <c r="J176" s="49">
        <f t="shared" si="416"/>
        <v>0</v>
      </c>
      <c r="K176" s="49">
        <f t="shared" si="416"/>
        <v>0</v>
      </c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</row>
    <row r="177" spans="1:50" x14ac:dyDescent="0.2">
      <c r="A177" s="3" t="s">
        <v>30</v>
      </c>
      <c r="B177">
        <f>B98</f>
        <v>10030.090270812438</v>
      </c>
      <c r="C177">
        <f>C98</f>
        <v>10060.112703312439</v>
      </c>
      <c r="D177">
        <f t="shared" ref="D177:E177" si="417">D98</f>
        <v>10091.375138355326</v>
      </c>
      <c r="E177">
        <f t="shared" si="417"/>
        <v>10121.489082800803</v>
      </c>
      <c r="F177">
        <f>F98</f>
        <v>10150.560246872707</v>
      </c>
      <c r="G177">
        <f t="shared" ref="G177:H177" si="418">G98</f>
        <v>10180.762304468986</v>
      </c>
      <c r="H177">
        <f t="shared" si="418"/>
        <v>10209.839407249092</v>
      </c>
      <c r="I177">
        <f t="shared" ref="I177:K177" si="419">I98</f>
        <v>10240.129460897979</v>
      </c>
      <c r="J177">
        <f t="shared" si="419"/>
        <v>10269.278183267796</v>
      </c>
      <c r="K177">
        <f t="shared" si="419"/>
        <v>10299.65621379163</v>
      </c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</row>
    <row r="178" spans="1:50" x14ac:dyDescent="0.2">
      <c r="A178" s="3" t="s">
        <v>26</v>
      </c>
      <c r="B178" s="6">
        <f>IF(B24="X",1/(B161/B176*-1),B177)</f>
        <v>10030.090270812438</v>
      </c>
      <c r="C178" s="46">
        <f>IF(C24="X",1/(C161/C176*-1),C177)</f>
        <v>10060.112703312439</v>
      </c>
      <c r="D178" s="46">
        <f t="shared" ref="D178:E178" si="420">IF(D24="X",1/(D161/D176*-1),D177)</f>
        <v>10091.375138355326</v>
      </c>
      <c r="E178" s="46">
        <f t="shared" si="420"/>
        <v>10121.489082800803</v>
      </c>
      <c r="F178" s="46">
        <f>IF(F24="X",1/(F161/F176*-1),F177)</f>
        <v>10150.560246872707</v>
      </c>
      <c r="G178" s="46">
        <f t="shared" ref="G178" si="421">IF(G24="X",1/(G161/G176*-1),G177)</f>
        <v>10180.762304468986</v>
      </c>
      <c r="H178" s="46">
        <f t="shared" ref="H178:I178" si="422">IF(H24="X",1/(H161/H176*-1),H177)</f>
        <v>10209.839407249092</v>
      </c>
      <c r="I178" s="46">
        <f t="shared" si="422"/>
        <v>10240.129460897979</v>
      </c>
      <c r="J178" s="46">
        <f t="shared" ref="J178" si="423">IF(J24="X",1/(J161/J176*-1),J177)</f>
        <v>10269.278183267796</v>
      </c>
      <c r="K178" s="46">
        <f t="shared" ref="K178" si="424">IF(K24="X",1/(K161/K176*-1),K177)</f>
        <v>10299.65621379163</v>
      </c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</row>
    <row r="179" spans="1:50" x14ac:dyDescent="0.2">
      <c r="A179" s="3" t="s">
        <v>29</v>
      </c>
      <c r="B179" s="6">
        <f>1/((B171^2)/(1-B17))</f>
        <v>9970</v>
      </c>
      <c r="C179" s="46">
        <f>1/((C171^2)/(1-C17))</f>
        <v>9999.8425681068929</v>
      </c>
      <c r="D179" s="46">
        <f t="shared" ref="D179:E179" si="425">1/((D171^2)/(1-D17))</f>
        <v>10030.917709901441</v>
      </c>
      <c r="E179" s="46">
        <f t="shared" si="425"/>
        <v>10060.851241705743</v>
      </c>
      <c r="F179" s="46">
        <f>1/((F171^2)/(1-F17))</f>
        <v>10089.748240433693</v>
      </c>
      <c r="G179" s="46">
        <f t="shared" ref="G179:H179" si="426">1/((G171^2)/(1-G17))</f>
        <v>10119.769357502913</v>
      </c>
      <c r="H179" s="46">
        <f t="shared" si="426"/>
        <v>10148.672259360263</v>
      </c>
      <c r="I179" s="46">
        <f t="shared" ref="I179:K179" si="427">1/((I171^2)/(1-I17))</f>
        <v>10178.780845297739</v>
      </c>
      <c r="J179" s="46">
        <f t="shared" si="427"/>
        <v>10207.754937671836</v>
      </c>
      <c r="K179" s="46">
        <f t="shared" si="427"/>
        <v>10237.950973414807</v>
      </c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</row>
    <row r="180" spans="1:50" x14ac:dyDescent="0.2">
      <c r="A180" s="3" t="s">
        <v>31</v>
      </c>
      <c r="B180" s="6">
        <f>(1/(B171^2))</f>
        <v>10000</v>
      </c>
      <c r="C180" s="6">
        <f>(1/(C171^2))</f>
        <v>10029.932365202501</v>
      </c>
      <c r="D180" s="6">
        <f t="shared" ref="D180:E180" si="428">(1/(D171^2))</f>
        <v>10061.101012940262</v>
      </c>
      <c r="E180" s="6">
        <f t="shared" si="428"/>
        <v>10091.1246155524</v>
      </c>
      <c r="F180" s="6">
        <f>(1/(F171^2))</f>
        <v>10120.108566132089</v>
      </c>
      <c r="G180" s="6">
        <f t="shared" ref="G180:H180" si="429">(1/(G171^2))</f>
        <v>10150.220017555579</v>
      </c>
      <c r="H180" s="6">
        <f t="shared" si="429"/>
        <v>10179.209889027345</v>
      </c>
      <c r="I180" s="6">
        <f t="shared" ref="I180:K180" si="430">(1/(I171^2))</f>
        <v>10209.409072515286</v>
      </c>
      <c r="J180" s="6">
        <f t="shared" si="430"/>
        <v>10238.47034871799</v>
      </c>
      <c r="K180" s="6">
        <f t="shared" si="430"/>
        <v>10268.757245150256</v>
      </c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</row>
    <row r="181" spans="1:50" x14ac:dyDescent="0.2"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</row>
    <row r="182" spans="1:50" x14ac:dyDescent="0.2">
      <c r="A182" s="3" t="s">
        <v>28</v>
      </c>
      <c r="B182" s="6">
        <f>SQRT(B179)</f>
        <v>99.84988733093293</v>
      </c>
      <c r="C182" s="6">
        <f>SQRT(C179)</f>
        <v>99.999212837436346</v>
      </c>
      <c r="D182" s="6">
        <f t="shared" ref="D182:E182" si="431">SQRT(D179)</f>
        <v>100.15446924576777</v>
      </c>
      <c r="E182" s="6">
        <f t="shared" si="431"/>
        <v>100.30379475227117</v>
      </c>
      <c r="F182" s="6">
        <f>SQRT(F179)</f>
        <v>100.44773885177153</v>
      </c>
      <c r="G182" s="6">
        <f t="shared" ref="G182:H182" si="432">SQRT(G179)</f>
        <v>100.59706435827495</v>
      </c>
      <c r="H182" s="6">
        <f t="shared" si="432"/>
        <v>100.74061871638601</v>
      </c>
      <c r="I182" s="6">
        <f t="shared" ref="I182:K182" si="433">SQRT(I179)</f>
        <v>100.88994422288943</v>
      </c>
      <c r="J182" s="6">
        <f t="shared" si="433"/>
        <v>101.03343475143184</v>
      </c>
      <c r="K182" s="6">
        <f t="shared" si="433"/>
        <v>101.18276025793529</v>
      </c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</row>
    <row r="183" spans="1:50" x14ac:dyDescent="0.2">
      <c r="A183" s="3" t="s">
        <v>95</v>
      </c>
      <c r="B183" s="27">
        <f>B171</f>
        <v>0.01</v>
      </c>
      <c r="C183" s="51">
        <f>C171</f>
        <v>9.9850673318052849E-3</v>
      </c>
      <c r="D183" s="51">
        <f t="shared" ref="D183:E183" si="434">D171</f>
        <v>9.9695887844917404E-3</v>
      </c>
      <c r="E183" s="51">
        <f t="shared" si="434"/>
        <v>9.9547467349107473E-3</v>
      </c>
      <c r="F183" s="51">
        <f>F171</f>
        <v>9.9404813360984817E-3</v>
      </c>
      <c r="G183" s="51">
        <f t="shared" ref="G183:H183" si="435">G171</f>
        <v>9.9257257622666836E-3</v>
      </c>
      <c r="H183" s="51">
        <f t="shared" si="435"/>
        <v>9.9115817039042865E-3</v>
      </c>
      <c r="I183" s="51">
        <f t="shared" ref="I183:K183" si="436">I171</f>
        <v>9.8969117388291172E-3</v>
      </c>
      <c r="J183" s="51">
        <f t="shared" si="436"/>
        <v>9.8828558661386949E-3</v>
      </c>
      <c r="K183" s="51">
        <f t="shared" si="436"/>
        <v>9.8682707485341793E-3</v>
      </c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</row>
    <row r="184" spans="1:50" x14ac:dyDescent="0.2"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</row>
    <row r="185" spans="1:50" ht="19" x14ac:dyDescent="0.25">
      <c r="A185" s="25" t="s">
        <v>61</v>
      </c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</row>
    <row r="186" spans="1:50" x14ac:dyDescent="0.2">
      <c r="A186" s="19" t="s">
        <v>127</v>
      </c>
      <c r="B186" s="17">
        <f>B37</f>
        <v>9970</v>
      </c>
      <c r="C186" s="17">
        <f>C37</f>
        <v>9970</v>
      </c>
      <c r="D186" s="17">
        <f t="shared" ref="D186:E186" si="437">D37</f>
        <v>10030.91770990144</v>
      </c>
      <c r="E186" s="17">
        <f t="shared" si="437"/>
        <v>10030.91770990144</v>
      </c>
      <c r="F186" s="17">
        <f>F37</f>
        <v>10089.748240433692</v>
      </c>
      <c r="G186" s="17">
        <f t="shared" ref="G186:H186" si="438">G37</f>
        <v>10089.748240433692</v>
      </c>
      <c r="H186" s="17">
        <f t="shared" si="438"/>
        <v>10148.672259360263</v>
      </c>
      <c r="I186" s="17">
        <f t="shared" ref="I186:K186" si="439">I37</f>
        <v>10148.672259360263</v>
      </c>
      <c r="J186" s="17">
        <f t="shared" si="439"/>
        <v>10207.754937671838</v>
      </c>
      <c r="K186" s="17">
        <f t="shared" si="439"/>
        <v>10207.754937671838</v>
      </c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</row>
    <row r="187" spans="1:50" x14ac:dyDescent="0.2">
      <c r="A187" s="3" t="s">
        <v>78</v>
      </c>
      <c r="B187" s="6">
        <f>SQRT(B38*B179)</f>
        <v>9984.9887330932925</v>
      </c>
      <c r="C187" s="46">
        <f>SQRT(C38*C179)</f>
        <v>10014.876166023474</v>
      </c>
      <c r="D187" s="46">
        <f t="shared" ref="D187:E187" si="440">SQRT(D38*D179)</f>
        <v>10045.998025672203</v>
      </c>
      <c r="E187" s="46">
        <f t="shared" si="440"/>
        <v>10075.97655905311</v>
      </c>
      <c r="F187" s="46">
        <f>SQRT(F38*F179)</f>
        <v>10104.917001050982</v>
      </c>
      <c r="G187" s="46">
        <f t="shared" ref="G187:H187" si="441">SQRT(G38*G179)</f>
        <v>10134.983251371046</v>
      </c>
      <c r="H187" s="46">
        <f t="shared" si="441"/>
        <v>10163.929605372987</v>
      </c>
      <c r="I187" s="46">
        <f t="shared" ref="I187:K187" si="442">SQRT(I38*I179)</f>
        <v>10194.083456060556</v>
      </c>
      <c r="J187" s="46">
        <f t="shared" si="442"/>
        <v>10223.101107605889</v>
      </c>
      <c r="K187" s="46">
        <f t="shared" si="442"/>
        <v>10253.342539569543</v>
      </c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</row>
    <row r="188" spans="1:50" x14ac:dyDescent="0.2">
      <c r="A188" s="3" t="s">
        <v>58</v>
      </c>
      <c r="B188" s="46" t="b">
        <f t="shared" ref="B188:C188" si="443">AND(B24="X",B187&lt;B37)</f>
        <v>0</v>
      </c>
      <c r="C188" s="46" t="b">
        <f t="shared" si="443"/>
        <v>0</v>
      </c>
      <c r="D188" s="46" t="b">
        <f>AND(D24="X",D187&lt;D37)</f>
        <v>0</v>
      </c>
      <c r="E188" s="46" t="b">
        <f t="shared" ref="E188:I188" si="444">AND(E24="X",E187&lt;E37)</f>
        <v>0</v>
      </c>
      <c r="F188" s="46" t="b">
        <f t="shared" si="444"/>
        <v>0</v>
      </c>
      <c r="G188" s="46" t="b">
        <f t="shared" si="444"/>
        <v>0</v>
      </c>
      <c r="H188" s="46" t="b">
        <f t="shared" si="444"/>
        <v>0</v>
      </c>
      <c r="I188" s="46" t="b">
        <f t="shared" si="444"/>
        <v>0</v>
      </c>
      <c r="J188" s="46" t="b">
        <f t="shared" ref="J188" si="445">AND(J24="X",J187&lt;J37)</f>
        <v>0</v>
      </c>
      <c r="K188" s="46" t="b">
        <f t="shared" ref="K188" si="446">AND(K24="X",K187&lt;K37)</f>
        <v>0</v>
      </c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</row>
    <row r="189" spans="1:50" x14ac:dyDescent="0.2"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</row>
    <row r="190" spans="1:50" x14ac:dyDescent="0.2">
      <c r="A190" s="3" t="s">
        <v>96</v>
      </c>
      <c r="B190" s="18">
        <f>B14</f>
        <v>0</v>
      </c>
      <c r="C190" s="56">
        <f>C14</f>
        <v>0</v>
      </c>
      <c r="D190" s="56">
        <f t="shared" ref="D190:E190" si="447">D14</f>
        <v>0</v>
      </c>
      <c r="E190" s="56">
        <f t="shared" si="447"/>
        <v>0</v>
      </c>
      <c r="F190" s="56">
        <f>F14</f>
        <v>0</v>
      </c>
      <c r="G190" s="56">
        <f t="shared" ref="G190:H190" si="448">G14</f>
        <v>0</v>
      </c>
      <c r="H190" s="56">
        <f t="shared" si="448"/>
        <v>0</v>
      </c>
      <c r="I190" s="56">
        <f t="shared" ref="I190:K190" si="449">I14</f>
        <v>0</v>
      </c>
      <c r="J190" s="56">
        <f t="shared" si="449"/>
        <v>0</v>
      </c>
      <c r="K190" s="56">
        <f t="shared" si="449"/>
        <v>0</v>
      </c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</row>
    <row r="191" spans="1:50" ht="17" customHeight="1" x14ac:dyDescent="0.2">
      <c r="A191" s="3" t="s">
        <v>97</v>
      </c>
      <c r="B191" s="16">
        <f>B176*-1/B179</f>
        <v>0</v>
      </c>
      <c r="C191" s="49">
        <f>C176*-1/C179</f>
        <v>0</v>
      </c>
      <c r="D191" s="49">
        <f t="shared" ref="D191:E191" si="450">D176*-1/D179</f>
        <v>0</v>
      </c>
      <c r="E191" s="49">
        <f t="shared" si="450"/>
        <v>0</v>
      </c>
      <c r="F191" s="49">
        <f>F176*-1/F179</f>
        <v>0</v>
      </c>
      <c r="G191" s="49">
        <f t="shared" ref="G191:H191" si="451">G176*-1/G179</f>
        <v>0</v>
      </c>
      <c r="H191" s="49">
        <f t="shared" si="451"/>
        <v>0</v>
      </c>
      <c r="I191" s="49">
        <f t="shared" ref="I191:K191" si="452">I176*-1/I179</f>
        <v>0</v>
      </c>
      <c r="J191" s="49">
        <f t="shared" si="452"/>
        <v>0</v>
      </c>
      <c r="K191" s="49">
        <f t="shared" si="452"/>
        <v>0</v>
      </c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</row>
    <row r="192" spans="1:50" x14ac:dyDescent="0.2">
      <c r="A192" s="3" t="s">
        <v>98</v>
      </c>
      <c r="B192" s="16">
        <f>B191-B190</f>
        <v>0</v>
      </c>
      <c r="C192" s="49">
        <f>C191-C190</f>
        <v>0</v>
      </c>
      <c r="D192" s="49">
        <f t="shared" ref="D192:E192" si="453">D191-D190</f>
        <v>0</v>
      </c>
      <c r="E192" s="49">
        <f t="shared" si="453"/>
        <v>0</v>
      </c>
      <c r="F192" s="49">
        <f>F191-F190</f>
        <v>0</v>
      </c>
      <c r="G192" s="49">
        <f t="shared" ref="G192" si="454">G191-G190</f>
        <v>0</v>
      </c>
      <c r="H192" s="49">
        <f t="shared" ref="H192:I192" si="455">H191-H190</f>
        <v>0</v>
      </c>
      <c r="I192" s="49">
        <f t="shared" si="455"/>
        <v>0</v>
      </c>
      <c r="J192" s="49">
        <f t="shared" ref="J192" si="456">J191-J190</f>
        <v>0</v>
      </c>
      <c r="K192" s="49">
        <f t="shared" ref="K192" si="457">K191-K190</f>
        <v>0</v>
      </c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</row>
    <row r="193" spans="1:50" x14ac:dyDescent="0.2"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</row>
    <row r="194" spans="1:50" x14ac:dyDescent="0.2">
      <c r="A194" s="3" t="s">
        <v>99</v>
      </c>
      <c r="B194" s="16">
        <f>B192</f>
        <v>0</v>
      </c>
      <c r="C194" s="49">
        <f>C192</f>
        <v>0</v>
      </c>
      <c r="D194" s="49">
        <f t="shared" ref="D194:E194" si="458">D192</f>
        <v>0</v>
      </c>
      <c r="E194" s="49">
        <f t="shared" si="458"/>
        <v>0</v>
      </c>
      <c r="F194" s="49">
        <f>F192</f>
        <v>0</v>
      </c>
      <c r="G194" s="49">
        <f t="shared" ref="G194:H194" si="459">G192</f>
        <v>0</v>
      </c>
      <c r="H194" s="49">
        <f t="shared" si="459"/>
        <v>0</v>
      </c>
      <c r="I194" s="49">
        <f t="shared" ref="I194:K194" si="460">I192</f>
        <v>0</v>
      </c>
      <c r="J194" s="49">
        <f t="shared" si="460"/>
        <v>0</v>
      </c>
      <c r="K194" s="49">
        <f t="shared" si="460"/>
        <v>0</v>
      </c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</row>
    <row r="195" spans="1:50" x14ac:dyDescent="0.2">
      <c r="A195" s="3" t="s">
        <v>133</v>
      </c>
      <c r="B195" s="6">
        <f>IF(B188,B194+(B194*(B159-B160)/B160)*$C$7,0)</f>
        <v>0</v>
      </c>
      <c r="C195" s="6">
        <f>IF(C188,C194+(C194*(C158-C159)/C159)*$C$7,0)</f>
        <v>0</v>
      </c>
      <c r="D195" s="6">
        <f>IF(D188,D194+(D194*(D158-D159)/D159)*$C$7,0)</f>
        <v>0</v>
      </c>
      <c r="E195" s="6">
        <f>IF(E188,E194+(E194*(E158-E159)/E159)*$C$7,0)</f>
        <v>0</v>
      </c>
      <c r="F195" s="6">
        <f>IF(F188,F194+(F194*(F158-F159)/F159)*$C$7,0)</f>
        <v>0</v>
      </c>
      <c r="G195" s="6">
        <f>IF(G188,G194+(G194*(G158-G159)/G159)*$C$7,0)</f>
        <v>0</v>
      </c>
      <c r="H195" s="6">
        <f>IF(H188,H194+(H194*(H158-H159)/H159)*$C$7,0)</f>
        <v>0</v>
      </c>
      <c r="I195" s="6">
        <f>IF(I188,I194+(I194*(I158-I159)/I159)*$C$7,0)</f>
        <v>0</v>
      </c>
      <c r="J195" s="6">
        <f t="shared" ref="J195:K195" si="461">IF(J188,J194+(J194*(J158-J159)/J159)*$C$7,0)</f>
        <v>0</v>
      </c>
      <c r="K195" s="6">
        <f t="shared" si="461"/>
        <v>0</v>
      </c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</row>
    <row r="196" spans="1:50" x14ac:dyDescent="0.2">
      <c r="A196" s="3" t="s">
        <v>36</v>
      </c>
      <c r="B196" s="20">
        <f>B158/(B158+B159)</f>
        <v>0.5</v>
      </c>
      <c r="C196" s="55">
        <f>C158/(C158+C159)</f>
        <v>0.33408270847315313</v>
      </c>
      <c r="D196" s="55">
        <f t="shared" ref="D196:E196" si="462">D158/(D158+D159)</f>
        <v>0.5</v>
      </c>
      <c r="E196" s="55">
        <f t="shared" si="462"/>
        <v>0.3344196854487641</v>
      </c>
      <c r="F196" s="55">
        <f>F158/(F158+F159)</f>
        <v>0.5</v>
      </c>
      <c r="G196" s="55">
        <f t="shared" ref="G196:H196" si="463">G158/(G158+G159)</f>
        <v>0.33474285598924602</v>
      </c>
      <c r="H196" s="55">
        <f t="shared" si="463"/>
        <v>0.5</v>
      </c>
      <c r="I196" s="55">
        <f t="shared" ref="I196:K196" si="464">I158/(I158+I159)</f>
        <v>0.33506434052123252</v>
      </c>
      <c r="J196" s="55">
        <f t="shared" si="464"/>
        <v>0.5</v>
      </c>
      <c r="K196" s="55">
        <f t="shared" si="464"/>
        <v>0.3353845070198207</v>
      </c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</row>
    <row r="197" spans="1:50" x14ac:dyDescent="0.2">
      <c r="A197" s="3" t="s">
        <v>37</v>
      </c>
      <c r="B197" s="20">
        <f>SQRT(B196)</f>
        <v>0.70710678118654757</v>
      </c>
      <c r="C197" s="20">
        <f>SQRT(C196)</f>
        <v>0.5779988827611634</v>
      </c>
      <c r="D197" s="20">
        <f t="shared" ref="D197:E197" si="465">SQRT(D196)</f>
        <v>0.70710678118654757</v>
      </c>
      <c r="E197" s="20">
        <f t="shared" si="465"/>
        <v>0.57829031242859685</v>
      </c>
      <c r="F197" s="20">
        <f>SQRT(F196)</f>
        <v>0.70710678118654757</v>
      </c>
      <c r="G197" s="20">
        <f t="shared" ref="G197" si="466">SQRT(G196)</f>
        <v>0.57856966390335918</v>
      </c>
      <c r="H197" s="20">
        <f t="shared" ref="H197:I197" si="467">SQRT(H196)</f>
        <v>0.70710678118654757</v>
      </c>
      <c r="I197" s="20">
        <f t="shared" si="467"/>
        <v>0.57884742421577084</v>
      </c>
      <c r="J197" s="20">
        <f t="shared" ref="J197" si="468">SQRT(J196)</f>
        <v>0.70710678118654757</v>
      </c>
      <c r="K197" s="20">
        <f t="shared" ref="K197" si="469">SQRT(K196)</f>
        <v>0.57912391335518232</v>
      </c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</row>
    <row r="198" spans="1:50" x14ac:dyDescent="0.2">
      <c r="A198" s="3" t="s">
        <v>100</v>
      </c>
      <c r="B198" s="16">
        <f>IF(B188,B194*B197/(1-B17),0)</f>
        <v>0</v>
      </c>
      <c r="C198" s="16">
        <f>IF(C188,C194*C197/(1-C17),0)</f>
        <v>0</v>
      </c>
      <c r="D198" s="16">
        <f t="shared" ref="D198:E198" si="470">IF(D188,D194*D197/(1-D17),0)</f>
        <v>0</v>
      </c>
      <c r="E198" s="16">
        <f t="shared" si="470"/>
        <v>0</v>
      </c>
      <c r="F198" s="16">
        <f>IF(F188,F194*F197/(1-F17),0)</f>
        <v>0</v>
      </c>
      <c r="G198" s="16">
        <f t="shared" ref="G198" si="471">IF(G188,G194*G197/(1-G17),0)</f>
        <v>0</v>
      </c>
      <c r="H198" s="16">
        <f t="shared" ref="H198:I198" si="472">IF(H188,H194*H197/(1-H17),0)</f>
        <v>0</v>
      </c>
      <c r="I198" s="16">
        <f t="shared" si="472"/>
        <v>0</v>
      </c>
      <c r="J198" s="16">
        <f t="shared" ref="J198" si="473">IF(J188,J194*J197/(1-J17),0)</f>
        <v>0</v>
      </c>
      <c r="K198" s="16">
        <f t="shared" ref="K198" si="474">IF(K188,K194*K197/(1-K17),0)</f>
        <v>0</v>
      </c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</row>
    <row r="199" spans="1:50" x14ac:dyDescent="0.2"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</row>
    <row r="200" spans="1:50" x14ac:dyDescent="0.2">
      <c r="A200" s="3" t="s">
        <v>15</v>
      </c>
      <c r="B200" s="49">
        <f>IF(B188,B163,0)</f>
        <v>0</v>
      </c>
      <c r="C200" s="49">
        <f>IF(C188,C163,0)</f>
        <v>0</v>
      </c>
      <c r="D200" s="49">
        <f t="shared" ref="D200:E200" si="475">IF(D188,D163,0)</f>
        <v>0</v>
      </c>
      <c r="E200" s="49">
        <f t="shared" si="475"/>
        <v>0</v>
      </c>
      <c r="F200" s="49">
        <f>IF(F188,F163,0)</f>
        <v>0</v>
      </c>
      <c r="G200" s="49">
        <f t="shared" ref="G200:H200" si="476">IF(G188,G163,0)</f>
        <v>0</v>
      </c>
      <c r="H200" s="49">
        <f t="shared" si="476"/>
        <v>0</v>
      </c>
      <c r="I200" s="49">
        <f t="shared" ref="I200:K200" si="477">IF(I188,I163,0)</f>
        <v>0</v>
      </c>
      <c r="J200" s="49">
        <f t="shared" si="477"/>
        <v>0</v>
      </c>
      <c r="K200" s="49">
        <f t="shared" si="477"/>
        <v>0</v>
      </c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</row>
    <row r="201" spans="1:50" x14ac:dyDescent="0.2">
      <c r="A201" s="3" t="s">
        <v>26</v>
      </c>
      <c r="B201" s="49">
        <f>B178</f>
        <v>10030.090270812438</v>
      </c>
      <c r="C201" s="49">
        <f>C178</f>
        <v>10060.112703312439</v>
      </c>
      <c r="D201" s="49">
        <f t="shared" ref="D201:E201" si="478">D178</f>
        <v>10091.375138355326</v>
      </c>
      <c r="E201" s="49">
        <f t="shared" si="478"/>
        <v>10121.489082800803</v>
      </c>
      <c r="F201" s="49">
        <f>F178</f>
        <v>10150.560246872707</v>
      </c>
      <c r="G201" s="49">
        <f t="shared" ref="G201:H201" si="479">G178</f>
        <v>10180.762304468986</v>
      </c>
      <c r="H201" s="49">
        <f t="shared" si="479"/>
        <v>10209.839407249092</v>
      </c>
      <c r="I201" s="49">
        <f t="shared" ref="I201:K201" si="480">I178</f>
        <v>10240.129460897979</v>
      </c>
      <c r="J201" s="49">
        <f t="shared" si="480"/>
        <v>10269.278183267796</v>
      </c>
      <c r="K201" s="49">
        <f t="shared" si="480"/>
        <v>10299.65621379163</v>
      </c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</row>
    <row r="202" spans="1:50" x14ac:dyDescent="0.2">
      <c r="A202" s="3" t="s">
        <v>85</v>
      </c>
      <c r="B202" s="49">
        <f>IF(B188,B200+B198,0)</f>
        <v>0</v>
      </c>
      <c r="C202" s="49">
        <f>IF(C188,C200+C198,0)</f>
        <v>0</v>
      </c>
      <c r="D202" s="49">
        <f t="shared" ref="D202:E202" si="481">IF(D188,D200+D198,0)</f>
        <v>0</v>
      </c>
      <c r="E202" s="49">
        <f t="shared" si="481"/>
        <v>0</v>
      </c>
      <c r="F202" s="49">
        <f>IF(F188,F200+F198,0)</f>
        <v>0</v>
      </c>
      <c r="G202" s="49">
        <f t="shared" ref="G202:H202" si="482">IF(G188,G200+G198,0)</f>
        <v>0</v>
      </c>
      <c r="H202" s="49">
        <f t="shared" si="482"/>
        <v>0</v>
      </c>
      <c r="I202" s="49">
        <f t="shared" ref="I202:K202" si="483">IF(I188,I200+I198,0)</f>
        <v>0</v>
      </c>
      <c r="J202" s="49">
        <f t="shared" si="483"/>
        <v>0</v>
      </c>
      <c r="K202" s="49">
        <f t="shared" si="483"/>
        <v>0</v>
      </c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</row>
    <row r="203" spans="1:50" x14ac:dyDescent="0.2">
      <c r="A203" s="3" t="s">
        <v>40</v>
      </c>
      <c r="B203" s="49">
        <f>IF(B188,B200*B201/B202,0)</f>
        <v>0</v>
      </c>
      <c r="C203" s="49">
        <f>IF(C188,C200*C201/C202,0)</f>
        <v>0</v>
      </c>
      <c r="D203" s="49">
        <f>IF(D188,D200*D201/D202,0)</f>
        <v>0</v>
      </c>
      <c r="E203" s="49">
        <f t="shared" ref="D203:E203" si="484">IF(E188,E200*E201/E202,0)</f>
        <v>0</v>
      </c>
      <c r="F203" s="49">
        <f>IF(F188,F200*F201/F202,0)</f>
        <v>0</v>
      </c>
      <c r="G203" s="49">
        <f t="shared" ref="G203" si="485">IF(G188,G200*G201/G202,0)</f>
        <v>0</v>
      </c>
      <c r="H203" s="49">
        <f t="shared" ref="H203:I203" si="486">IF(H188,H200*H201/H202,0)</f>
        <v>0</v>
      </c>
      <c r="I203" s="49">
        <f t="shared" si="486"/>
        <v>0</v>
      </c>
      <c r="J203" s="49">
        <f t="shared" ref="J203" si="487">IF(J188,J200*J201/J202,0)</f>
        <v>0</v>
      </c>
      <c r="K203" s="49">
        <f t="shared" ref="K203" si="488">IF(K188,K200*K201/K202,0)</f>
        <v>0</v>
      </c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</row>
    <row r="204" spans="1:50" x14ac:dyDescent="0.2">
      <c r="A204" s="3" t="s">
        <v>41</v>
      </c>
      <c r="B204" s="49">
        <f>IF(B188,B203-B201,0)</f>
        <v>0</v>
      </c>
      <c r="C204" s="49">
        <f>IF(C188,C203-C201,0)</f>
        <v>0</v>
      </c>
      <c r="D204" s="49">
        <f t="shared" ref="D204:E204" si="489">IF(D188,D203-D201,0)</f>
        <v>0</v>
      </c>
      <c r="E204" s="49">
        <f t="shared" si="489"/>
        <v>0</v>
      </c>
      <c r="F204" s="49">
        <f>IF(F188,F203-F201,0)</f>
        <v>0</v>
      </c>
      <c r="G204" s="49">
        <f t="shared" ref="G204" si="490">IF(G188,G203-G201,0)</f>
        <v>0</v>
      </c>
      <c r="H204" s="49">
        <f t="shared" ref="H204:I204" si="491">IF(H188,H203-H201,0)</f>
        <v>0</v>
      </c>
      <c r="I204" s="49">
        <f t="shared" si="491"/>
        <v>0</v>
      </c>
      <c r="J204" s="49">
        <f t="shared" ref="J204" si="492">IF(J188,J203-J201,0)</f>
        <v>0</v>
      </c>
      <c r="K204" s="49">
        <f t="shared" ref="K204" si="493">IF(K188,K203-K201,0)</f>
        <v>0</v>
      </c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</row>
    <row r="205" spans="1:50" x14ac:dyDescent="0.2">
      <c r="A205" s="3" t="s">
        <v>101</v>
      </c>
      <c r="B205" s="51">
        <f>IF(B188,(1/SQRT(B203))-(1/SQRT(B201)),0)</f>
        <v>0</v>
      </c>
      <c r="C205" s="51">
        <f>IF(C188,(1/SQRT(C203))-(1/SQRT(C201)),0)</f>
        <v>0</v>
      </c>
      <c r="D205" s="51">
        <f t="shared" ref="D205:E205" si="494">IF(D188,(1/SQRT(D203))-(1/SQRT(D201)),0)</f>
        <v>0</v>
      </c>
      <c r="E205" s="51">
        <f t="shared" si="494"/>
        <v>0</v>
      </c>
      <c r="F205" s="51">
        <f>IF(F188,(1/SQRT(F203))-(1/SQRT(F201)),0)</f>
        <v>0</v>
      </c>
      <c r="G205" s="51">
        <f t="shared" ref="G205:H205" si="495">IF(G188,(1/SQRT(G203))-(1/SQRT(G201)),0)</f>
        <v>0</v>
      </c>
      <c r="H205" s="51">
        <f t="shared" si="495"/>
        <v>0</v>
      </c>
      <c r="I205" s="51">
        <f t="shared" ref="I205:K205" si="496">IF(I188,(1/SQRT(I203))-(1/SQRT(I201)),0)</f>
        <v>0</v>
      </c>
      <c r="J205" s="51">
        <f t="shared" si="496"/>
        <v>0</v>
      </c>
      <c r="K205" s="51">
        <f t="shared" si="496"/>
        <v>0</v>
      </c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</row>
    <row r="206" spans="1:50" x14ac:dyDescent="0.2"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</row>
    <row r="207" spans="1:50" x14ac:dyDescent="0.2">
      <c r="A207" s="3" t="s">
        <v>102</v>
      </c>
      <c r="B207" s="16">
        <f>IF(B188,B205*B18,0)</f>
        <v>0</v>
      </c>
      <c r="C207" s="49">
        <f>IF(C188,C205*C18,0)</f>
        <v>0</v>
      </c>
      <c r="D207" s="49">
        <f t="shared" ref="D207:E207" si="497">IF(D188,D205*D18,0)</f>
        <v>0</v>
      </c>
      <c r="E207" s="49">
        <f t="shared" si="497"/>
        <v>0</v>
      </c>
      <c r="F207" s="49">
        <f>IF(F188,F205*F18,0)</f>
        <v>0</v>
      </c>
      <c r="G207" s="49">
        <f t="shared" ref="G207:H207" si="498">IF(G188,G205*G18,0)</f>
        <v>0</v>
      </c>
      <c r="H207" s="49">
        <f t="shared" si="498"/>
        <v>0</v>
      </c>
      <c r="I207" s="49">
        <f t="shared" ref="I207:K207" si="499">IF(I188,I205*I18,0)</f>
        <v>0</v>
      </c>
      <c r="J207" s="49">
        <f t="shared" si="499"/>
        <v>0</v>
      </c>
      <c r="K207" s="49">
        <f t="shared" si="499"/>
        <v>0</v>
      </c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</row>
    <row r="208" spans="1:50" x14ac:dyDescent="0.2">
      <c r="A208" s="3" t="s">
        <v>102</v>
      </c>
      <c r="B208" s="16">
        <f>B207/(1-B17)</f>
        <v>0</v>
      </c>
      <c r="C208" s="49">
        <f>C207/(1-C17)</f>
        <v>0</v>
      </c>
      <c r="D208" s="49">
        <f t="shared" ref="D208:E208" si="500">D207/(1-D17)</f>
        <v>0</v>
      </c>
      <c r="E208" s="49">
        <f t="shared" si="500"/>
        <v>0</v>
      </c>
      <c r="F208" s="49">
        <f>F207/(1-F17)</f>
        <v>0</v>
      </c>
      <c r="G208" s="49">
        <f t="shared" ref="G208" si="501">G207/(1-G17)</f>
        <v>0</v>
      </c>
      <c r="H208" s="49">
        <f t="shared" ref="H208:I208" si="502">H207/(1-H17)</f>
        <v>0</v>
      </c>
      <c r="I208" s="49">
        <f t="shared" si="502"/>
        <v>0</v>
      </c>
      <c r="J208" s="49">
        <f t="shared" ref="J208" si="503">J207/(1-J17)</f>
        <v>0</v>
      </c>
      <c r="K208" s="49">
        <f t="shared" ref="K208" si="504">K207/(1-K17)</f>
        <v>0</v>
      </c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</row>
    <row r="209" spans="1:50" x14ac:dyDescent="0.2">
      <c r="A209" s="3" t="s">
        <v>103</v>
      </c>
      <c r="B209" s="16">
        <f>B208-B207</f>
        <v>0</v>
      </c>
      <c r="C209" s="49">
        <f>C208-C207</f>
        <v>0</v>
      </c>
      <c r="D209" s="49">
        <f t="shared" ref="D209:E209" si="505">D208-D207</f>
        <v>0</v>
      </c>
      <c r="E209" s="49">
        <f t="shared" si="505"/>
        <v>0</v>
      </c>
      <c r="F209" s="49">
        <f>F208-F207</f>
        <v>0</v>
      </c>
      <c r="G209" s="49">
        <f t="shared" ref="G209" si="506">G208-G207</f>
        <v>0</v>
      </c>
      <c r="H209" s="49">
        <f t="shared" ref="H209:I209" si="507">H208-H207</f>
        <v>0</v>
      </c>
      <c r="I209" s="49">
        <f t="shared" si="507"/>
        <v>0</v>
      </c>
      <c r="J209" s="49">
        <f t="shared" ref="J209" si="508">J208-J207</f>
        <v>0</v>
      </c>
      <c r="K209" s="49">
        <f t="shared" ref="K209" si="509">K208-K207</f>
        <v>0</v>
      </c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</row>
    <row r="210" spans="1:50" x14ac:dyDescent="0.2">
      <c r="A210" s="3" t="s">
        <v>50</v>
      </c>
      <c r="B210" s="28">
        <f>B156</f>
        <v>0.01</v>
      </c>
      <c r="C210" s="50">
        <f>C156</f>
        <v>9.9850673318052849E-3</v>
      </c>
      <c r="D210" s="50">
        <f t="shared" ref="D210:E210" si="510">D156</f>
        <v>9.9695887844917404E-3</v>
      </c>
      <c r="E210" s="50">
        <f t="shared" si="510"/>
        <v>9.9547467349107473E-3</v>
      </c>
      <c r="F210" s="50">
        <f>F156</f>
        <v>9.9404813360984817E-3</v>
      </c>
      <c r="G210" s="50">
        <f t="shared" ref="G210:H210" si="511">G156</f>
        <v>9.9257257622666836E-3</v>
      </c>
      <c r="H210" s="50">
        <f t="shared" si="511"/>
        <v>9.9115817039042865E-3</v>
      </c>
      <c r="I210" s="50">
        <f t="shared" ref="I210:K210" si="512">I156</f>
        <v>9.8969117388291172E-3</v>
      </c>
      <c r="J210" s="50">
        <f t="shared" si="512"/>
        <v>9.8828558661386949E-3</v>
      </c>
      <c r="K210" s="50">
        <f t="shared" si="512"/>
        <v>9.8682707485341793E-3</v>
      </c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</row>
    <row r="211" spans="1:50" x14ac:dyDescent="0.2">
      <c r="A211" s="3" t="s">
        <v>51</v>
      </c>
      <c r="B211" s="28">
        <f>B210+B205</f>
        <v>0.01</v>
      </c>
      <c r="C211" s="50">
        <f>C210+C205</f>
        <v>9.9850673318052849E-3</v>
      </c>
      <c r="D211" s="50">
        <f t="shared" ref="D211:E211" si="513">D210+D205</f>
        <v>9.9695887844917404E-3</v>
      </c>
      <c r="E211" s="50">
        <f t="shared" si="513"/>
        <v>9.9547467349107473E-3</v>
      </c>
      <c r="F211" s="50">
        <f>F210+F205</f>
        <v>9.9404813360984817E-3</v>
      </c>
      <c r="G211" s="50">
        <f t="shared" ref="G211" si="514">G210+G205</f>
        <v>9.9257257622666836E-3</v>
      </c>
      <c r="H211" s="50">
        <f t="shared" ref="H211:I211" si="515">H210+H205</f>
        <v>9.9115817039042865E-3</v>
      </c>
      <c r="I211" s="50">
        <f t="shared" si="515"/>
        <v>9.8969117388291172E-3</v>
      </c>
      <c r="J211" s="50">
        <f t="shared" ref="J211" si="516">J210+J205</f>
        <v>9.8828558661386949E-3</v>
      </c>
      <c r="K211" s="50">
        <f t="shared" ref="K211" si="517">K210+K205</f>
        <v>9.8682707485341793E-3</v>
      </c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</row>
    <row r="212" spans="1:50" x14ac:dyDescent="0.2">
      <c r="A212" s="3" t="s">
        <v>48</v>
      </c>
      <c r="B212" s="28">
        <f>B172</f>
        <v>100</v>
      </c>
      <c r="C212" s="50">
        <f>C172</f>
        <v>100.14955</v>
      </c>
      <c r="D212" s="50">
        <f t="shared" ref="D212:E212" si="518">D172</f>
        <v>100.30503981824774</v>
      </c>
      <c r="E212" s="50">
        <f t="shared" si="518"/>
        <v>100.45458981824773</v>
      </c>
      <c r="F212" s="50">
        <f>F172</f>
        <v>100.5987503209264</v>
      </c>
      <c r="G212" s="50">
        <f t="shared" ref="G212:H212" si="519">G172</f>
        <v>100.7483003209264</v>
      </c>
      <c r="H212" s="50">
        <f t="shared" si="519"/>
        <v>100.89207049628502</v>
      </c>
      <c r="I212" s="50">
        <f t="shared" ref="I212:K212" si="520">I172</f>
        <v>101.04162049628502</v>
      </c>
      <c r="J212" s="50">
        <f t="shared" si="520"/>
        <v>101.18532674611467</v>
      </c>
      <c r="K212" s="50">
        <f t="shared" si="520"/>
        <v>101.33487674611469</v>
      </c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</row>
    <row r="213" spans="1:50" x14ac:dyDescent="0.2">
      <c r="A213" s="3" t="s">
        <v>49</v>
      </c>
      <c r="B213" s="28">
        <f>1/B211</f>
        <v>100</v>
      </c>
      <c r="C213" s="50">
        <f>1/C211</f>
        <v>100.14955</v>
      </c>
      <c r="D213" s="50">
        <f t="shared" ref="D213:E213" si="521">1/D211</f>
        <v>100.30503981824774</v>
      </c>
      <c r="E213" s="50">
        <f t="shared" si="521"/>
        <v>100.45458981824773</v>
      </c>
      <c r="F213" s="50">
        <f>1/F211</f>
        <v>100.5987503209264</v>
      </c>
      <c r="G213" s="50">
        <f t="shared" ref="G213:H213" si="522">1/G211</f>
        <v>100.7483003209264</v>
      </c>
      <c r="H213" s="50">
        <f t="shared" si="522"/>
        <v>100.89207049628502</v>
      </c>
      <c r="I213" s="50">
        <f t="shared" ref="I213:K213" si="523">1/I211</f>
        <v>101.04162049628502</v>
      </c>
      <c r="J213" s="50">
        <f t="shared" si="523"/>
        <v>101.18532674611467</v>
      </c>
      <c r="K213" s="50">
        <f t="shared" si="523"/>
        <v>101.33487674611469</v>
      </c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</row>
    <row r="214" spans="1:50" x14ac:dyDescent="0.2">
      <c r="A214" s="3" t="s">
        <v>21</v>
      </c>
      <c r="B214" s="27">
        <f>B213-B212</f>
        <v>0</v>
      </c>
      <c r="C214" s="51">
        <f>C213-C212</f>
        <v>0</v>
      </c>
      <c r="D214" s="51">
        <f t="shared" ref="D214:E214" si="524">D213-D212</f>
        <v>0</v>
      </c>
      <c r="E214" s="51">
        <f t="shared" si="524"/>
        <v>0</v>
      </c>
      <c r="F214" s="51">
        <f>F213-F212</f>
        <v>0</v>
      </c>
      <c r="G214" s="51">
        <f t="shared" ref="G214" si="525">G213-G212</f>
        <v>0</v>
      </c>
      <c r="H214" s="51">
        <f t="shared" ref="H214:I214" si="526">H213-H212</f>
        <v>0</v>
      </c>
      <c r="I214" s="51">
        <f t="shared" si="526"/>
        <v>0</v>
      </c>
      <c r="J214" s="51">
        <f t="shared" ref="J214" si="527">J213-J212</f>
        <v>0</v>
      </c>
      <c r="K214" s="51">
        <f t="shared" ref="K214" si="528">K213-K212</f>
        <v>0</v>
      </c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</row>
    <row r="215" spans="1:50" x14ac:dyDescent="0.2">
      <c r="A215" s="3" t="s">
        <v>104</v>
      </c>
      <c r="B215" s="16">
        <f>IF(B188,B214*B18*-1,0)</f>
        <v>0</v>
      </c>
      <c r="C215" s="49">
        <f>IF(C188,C214*C18*-1,0)</f>
        <v>0</v>
      </c>
      <c r="D215" s="49">
        <f t="shared" ref="D215:E215" si="529">IF(D188,D214*D18*-1,0)</f>
        <v>0</v>
      </c>
      <c r="E215" s="49">
        <f t="shared" si="529"/>
        <v>0</v>
      </c>
      <c r="F215" s="49">
        <f>IF(F188,F214*F18*-1,0)</f>
        <v>0</v>
      </c>
      <c r="G215" s="49">
        <f t="shared" ref="G215" si="530">IF(G188,G214*G18*-1,0)</f>
        <v>0</v>
      </c>
      <c r="H215" s="49">
        <f t="shared" ref="H215:I215" si="531">IF(H188,H214*H18*-1,0)</f>
        <v>0</v>
      </c>
      <c r="I215" s="49">
        <f t="shared" si="531"/>
        <v>0</v>
      </c>
      <c r="J215" s="49">
        <f t="shared" ref="J215" si="532">IF(J188,J214*J18*-1,0)</f>
        <v>0</v>
      </c>
      <c r="K215" s="49">
        <f t="shared" ref="K215" si="533">IF(K188,K214*K18*-1,0)</f>
        <v>0</v>
      </c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</row>
    <row r="216" spans="1:50" x14ac:dyDescent="0.2"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</row>
    <row r="217" spans="1:50" ht="19" x14ac:dyDescent="0.25">
      <c r="A217" s="25" t="s">
        <v>106</v>
      </c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</row>
    <row r="218" spans="1:50" x14ac:dyDescent="0.2">
      <c r="A218" s="3" t="s">
        <v>23</v>
      </c>
      <c r="B218" s="16">
        <f>IF(B188,B211,B210)</f>
        <v>0.01</v>
      </c>
      <c r="C218" s="16">
        <f>IF(C188,C211,C210)</f>
        <v>9.9850673318052849E-3</v>
      </c>
      <c r="D218" s="16">
        <f t="shared" ref="D218:E218" si="534">IF(D188,D211,D210)</f>
        <v>9.9695887844917404E-3</v>
      </c>
      <c r="E218" s="16">
        <f t="shared" si="534"/>
        <v>9.9547467349107473E-3</v>
      </c>
      <c r="F218" s="16">
        <f>IF(F188,F211,F210)</f>
        <v>9.9404813360984817E-3</v>
      </c>
      <c r="G218" s="16">
        <f t="shared" ref="G218:H218" si="535">IF(G188,G211,G210)</f>
        <v>9.9257257622666836E-3</v>
      </c>
      <c r="H218" s="16">
        <f t="shared" si="535"/>
        <v>9.9115817039042865E-3</v>
      </c>
      <c r="I218" s="16">
        <f t="shared" ref="I218:K218" si="536">IF(I188,I211,I210)</f>
        <v>9.8969117388291172E-3</v>
      </c>
      <c r="J218" s="16">
        <f t="shared" si="536"/>
        <v>9.8828558661386949E-3</v>
      </c>
      <c r="K218" s="16">
        <f t="shared" si="536"/>
        <v>9.8682707485341793E-3</v>
      </c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</row>
    <row r="219" spans="1:50" x14ac:dyDescent="0.2">
      <c r="A219" s="3" t="s">
        <v>108</v>
      </c>
      <c r="B219" s="23">
        <f>B161</f>
        <v>0</v>
      </c>
      <c r="C219" s="23">
        <f>C161</f>
        <v>0</v>
      </c>
      <c r="D219" s="23">
        <f t="shared" ref="D219:E219" si="537">D161</f>
        <v>0</v>
      </c>
      <c r="E219" s="23">
        <f t="shared" si="537"/>
        <v>0</v>
      </c>
      <c r="F219" s="23">
        <f>F161</f>
        <v>0</v>
      </c>
      <c r="G219" s="23">
        <f t="shared" ref="G219:H219" si="538">G161</f>
        <v>0</v>
      </c>
      <c r="H219" s="23">
        <f t="shared" si="538"/>
        <v>0</v>
      </c>
      <c r="I219" s="23">
        <f t="shared" ref="I219:K219" si="539">I161</f>
        <v>0</v>
      </c>
      <c r="J219" s="23">
        <f t="shared" si="539"/>
        <v>0</v>
      </c>
      <c r="K219" s="23">
        <f t="shared" si="539"/>
        <v>0</v>
      </c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</row>
    <row r="220" spans="1:50" x14ac:dyDescent="0.2">
      <c r="A220" s="3" t="s">
        <v>107</v>
      </c>
      <c r="B220" s="6">
        <f>B162</f>
        <v>0</v>
      </c>
      <c r="C220" s="6">
        <f>C162</f>
        <v>0</v>
      </c>
      <c r="D220" s="6">
        <f t="shared" ref="D220:E220" si="540">D162</f>
        <v>0</v>
      </c>
      <c r="E220" s="6">
        <f t="shared" si="540"/>
        <v>0</v>
      </c>
      <c r="F220" s="6">
        <f>F162</f>
        <v>0</v>
      </c>
      <c r="G220" s="6">
        <f t="shared" ref="G220:H220" si="541">G162</f>
        <v>0</v>
      </c>
      <c r="H220" s="6">
        <f t="shared" si="541"/>
        <v>0</v>
      </c>
      <c r="I220" s="6">
        <f t="shared" ref="I220:K220" si="542">I162</f>
        <v>0</v>
      </c>
      <c r="J220" s="6">
        <f t="shared" si="542"/>
        <v>0</v>
      </c>
      <c r="K220" s="6">
        <f t="shared" si="542"/>
        <v>0</v>
      </c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</row>
    <row r="221" spans="1:50" x14ac:dyDescent="0.2">
      <c r="A221" s="3" t="s">
        <v>15</v>
      </c>
      <c r="B221" s="16">
        <f>B163</f>
        <v>0</v>
      </c>
      <c r="C221" s="16">
        <f>C163</f>
        <v>0</v>
      </c>
      <c r="D221" s="16">
        <f t="shared" ref="D221:E221" si="543">D163</f>
        <v>0</v>
      </c>
      <c r="E221" s="16">
        <f t="shared" si="543"/>
        <v>0</v>
      </c>
      <c r="F221" s="16">
        <f>F163</f>
        <v>0</v>
      </c>
      <c r="G221" s="16">
        <f t="shared" ref="G221:H221" si="544">G163</f>
        <v>0</v>
      </c>
      <c r="H221" s="16">
        <f t="shared" si="544"/>
        <v>0</v>
      </c>
      <c r="I221" s="16">
        <f t="shared" ref="I221:K221" si="545">I163</f>
        <v>0</v>
      </c>
      <c r="J221" s="16">
        <f t="shared" si="545"/>
        <v>0</v>
      </c>
      <c r="K221" s="16">
        <f t="shared" si="545"/>
        <v>0</v>
      </c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</row>
    <row r="222" spans="1:50" x14ac:dyDescent="0.2">
      <c r="A222" s="3" t="s">
        <v>25</v>
      </c>
      <c r="B222" s="28">
        <f>B221/B18</f>
        <v>0</v>
      </c>
      <c r="C222" s="28">
        <f>C221/C18</f>
        <v>0</v>
      </c>
      <c r="D222" s="28">
        <f t="shared" ref="D222:E222" si="546">D221/D18</f>
        <v>0</v>
      </c>
      <c r="E222" s="28">
        <f t="shared" si="546"/>
        <v>0</v>
      </c>
      <c r="F222" s="28">
        <f>F221/F18</f>
        <v>0</v>
      </c>
      <c r="G222" s="28">
        <f t="shared" ref="G222" si="547">G221/G18</f>
        <v>0</v>
      </c>
      <c r="H222" s="28">
        <f t="shared" ref="H222:I222" si="548">H221/H18</f>
        <v>0</v>
      </c>
      <c r="I222" s="28">
        <f t="shared" si="548"/>
        <v>0</v>
      </c>
      <c r="J222" s="28">
        <f t="shared" ref="J222" si="549">J221/J18</f>
        <v>0</v>
      </c>
      <c r="K222" s="28">
        <f t="shared" ref="K222" si="550">K221/K18</f>
        <v>0</v>
      </c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</row>
    <row r="223" spans="1:50" x14ac:dyDescent="0.2">
      <c r="A223" s="3" t="s">
        <v>24</v>
      </c>
      <c r="B223" s="16">
        <f>B218+B222</f>
        <v>0.01</v>
      </c>
      <c r="C223" s="16">
        <f>C218+C222</f>
        <v>9.9850673318052849E-3</v>
      </c>
      <c r="D223" s="16">
        <f t="shared" ref="D223:E223" si="551">D218+D222</f>
        <v>9.9695887844917404E-3</v>
      </c>
      <c r="E223" s="16">
        <f t="shared" si="551"/>
        <v>9.9547467349107473E-3</v>
      </c>
      <c r="F223" s="16">
        <f>F218+F222</f>
        <v>9.9404813360984817E-3</v>
      </c>
      <c r="G223" s="16">
        <f t="shared" ref="G223" si="552">G218+G222</f>
        <v>9.9257257622666836E-3</v>
      </c>
      <c r="H223" s="16">
        <f t="shared" ref="H223:I223" si="553">H218+H222</f>
        <v>9.9115817039042865E-3</v>
      </c>
      <c r="I223" s="16">
        <f t="shared" si="553"/>
        <v>9.8969117388291172E-3</v>
      </c>
      <c r="J223" s="16">
        <f t="shared" ref="J223" si="554">J218+J222</f>
        <v>9.8828558661386949E-3</v>
      </c>
      <c r="K223" s="16">
        <f t="shared" ref="K223" si="555">K218+K222</f>
        <v>9.8682707485341793E-3</v>
      </c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</row>
    <row r="224" spans="1:50" x14ac:dyDescent="0.2">
      <c r="A224" s="3" t="s">
        <v>21</v>
      </c>
      <c r="B224" s="27">
        <f>(1/B223)-(1/B218)</f>
        <v>0</v>
      </c>
      <c r="C224" s="27">
        <f>(1/C223)-(1/C218)</f>
        <v>0</v>
      </c>
      <c r="D224" s="27">
        <f t="shared" ref="D224:E224" si="556">(1/D223)-(1/D218)</f>
        <v>0</v>
      </c>
      <c r="E224" s="27">
        <f t="shared" si="556"/>
        <v>0</v>
      </c>
      <c r="F224" s="27">
        <f>(1/F223)-(1/F218)</f>
        <v>0</v>
      </c>
      <c r="G224" s="27">
        <f t="shared" ref="G224" si="557">(1/G223)-(1/G218)</f>
        <v>0</v>
      </c>
      <c r="H224" s="27">
        <f t="shared" ref="H224:I224" si="558">(1/H223)-(1/H218)</f>
        <v>0</v>
      </c>
      <c r="I224" s="27">
        <f t="shared" si="558"/>
        <v>0</v>
      </c>
      <c r="J224" s="27">
        <f t="shared" ref="J224" si="559">(1/J223)-(1/J218)</f>
        <v>0</v>
      </c>
      <c r="K224" s="27">
        <f t="shared" ref="K224" si="560">(1/K223)-(1/K218)</f>
        <v>0</v>
      </c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</row>
    <row r="225" spans="1:50" x14ac:dyDescent="0.2">
      <c r="A225" s="3" t="s">
        <v>53</v>
      </c>
      <c r="B225" s="16">
        <f>B224*B18</f>
        <v>0</v>
      </c>
      <c r="C225" s="16">
        <f>C224*C18</f>
        <v>0</v>
      </c>
      <c r="D225" s="16">
        <f t="shared" ref="D225:E225" si="561">D224*D18</f>
        <v>0</v>
      </c>
      <c r="E225" s="16">
        <f t="shared" si="561"/>
        <v>0</v>
      </c>
      <c r="F225" s="16">
        <f>F224*F18</f>
        <v>0</v>
      </c>
      <c r="G225" s="16">
        <f t="shared" ref="G225" si="562">G224*G18</f>
        <v>0</v>
      </c>
      <c r="H225" s="16">
        <f t="shared" ref="H225:I225" si="563">H224*H18</f>
        <v>0</v>
      </c>
      <c r="I225" s="16">
        <f t="shared" si="563"/>
        <v>0</v>
      </c>
      <c r="J225" s="16">
        <f t="shared" ref="J225" si="564">J224*J18</f>
        <v>0</v>
      </c>
      <c r="K225" s="16">
        <f t="shared" ref="K225" si="565">K224*K18</f>
        <v>0</v>
      </c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</row>
    <row r="226" spans="1:50" x14ac:dyDescent="0.2"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</row>
    <row r="227" spans="1:50" x14ac:dyDescent="0.2">
      <c r="A227" s="3" t="s">
        <v>54</v>
      </c>
      <c r="B227" s="16">
        <f>IF(B219=0,0,B225/B219*-1)</f>
        <v>0</v>
      </c>
      <c r="C227" s="16">
        <f>IF(C219=0,0,C225/C219*-1)</f>
        <v>0</v>
      </c>
      <c r="D227" s="16">
        <f t="shared" ref="D227:E227" si="566">IF(D219=0,0,D225/D219*-1)</f>
        <v>0</v>
      </c>
      <c r="E227" s="16">
        <f t="shared" si="566"/>
        <v>0</v>
      </c>
      <c r="F227" s="16">
        <f>IF(F219=0,0,F225/F219*-1)</f>
        <v>0</v>
      </c>
      <c r="G227" s="16">
        <f t="shared" ref="G227:H227" si="567">IF(G219=0,0,G225/G219*-1)</f>
        <v>0</v>
      </c>
      <c r="H227" s="16">
        <f t="shared" si="567"/>
        <v>0</v>
      </c>
      <c r="I227" s="16">
        <f t="shared" ref="I227:K227" si="568">IF(I219=0,0,I225/I219*-1)</f>
        <v>0</v>
      </c>
      <c r="J227" s="16">
        <f t="shared" si="568"/>
        <v>0</v>
      </c>
      <c r="K227" s="16">
        <f t="shared" si="568"/>
        <v>0</v>
      </c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</row>
    <row r="228" spans="1:50" x14ac:dyDescent="0.2">
      <c r="A228" s="3" t="s">
        <v>55</v>
      </c>
      <c r="B228" s="6">
        <f>IF(B219=0,0,B179)</f>
        <v>0</v>
      </c>
      <c r="C228" s="6">
        <f>IF(C219=0,0,C179)</f>
        <v>0</v>
      </c>
      <c r="D228" s="6">
        <f t="shared" ref="D228:E228" si="569">IF(D219=0,0,D179)</f>
        <v>0</v>
      </c>
      <c r="E228" s="6">
        <f t="shared" si="569"/>
        <v>0</v>
      </c>
      <c r="F228" s="6">
        <f>IF(F219=0,0,F179)</f>
        <v>0</v>
      </c>
      <c r="G228" s="6">
        <f t="shared" ref="G228:H228" si="570">IF(G219=0,0,G179)</f>
        <v>0</v>
      </c>
      <c r="H228" s="6">
        <f t="shared" si="570"/>
        <v>0</v>
      </c>
      <c r="I228" s="6">
        <f t="shared" ref="I228:K228" si="571">IF(I219=0,0,I179)</f>
        <v>0</v>
      </c>
      <c r="J228" s="6">
        <f t="shared" si="571"/>
        <v>0</v>
      </c>
      <c r="K228" s="6">
        <f t="shared" si="571"/>
        <v>0</v>
      </c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</row>
    <row r="229" spans="1:50" x14ac:dyDescent="0.2">
      <c r="A229" s="12" t="s">
        <v>56</v>
      </c>
      <c r="B229" s="18">
        <f>$F$6</f>
        <v>10500</v>
      </c>
      <c r="C229" s="18">
        <f>$F$6</f>
        <v>10500</v>
      </c>
      <c r="D229" s="18">
        <f>$F$6</f>
        <v>10500</v>
      </c>
      <c r="E229" s="18">
        <f>$F$6</f>
        <v>10500</v>
      </c>
      <c r="F229" s="18">
        <f>$F$6</f>
        <v>10500</v>
      </c>
      <c r="G229" s="18">
        <f>$F$6</f>
        <v>10500</v>
      </c>
      <c r="H229" s="18">
        <f>$F$6</f>
        <v>10500</v>
      </c>
      <c r="I229" s="18">
        <f>$F$6</f>
        <v>10500</v>
      </c>
      <c r="J229" s="18">
        <f>$F$6</f>
        <v>10500</v>
      </c>
      <c r="K229" s="18">
        <f>$F$6</f>
        <v>10500</v>
      </c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VolumeExplorer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Alex Watts</dc:creator>
  <cp:lastModifiedBy>D Alex Watts</cp:lastModifiedBy>
  <dcterms:created xsi:type="dcterms:W3CDTF">2023-07-30T03:41:44Z</dcterms:created>
  <dcterms:modified xsi:type="dcterms:W3CDTF">2023-07-31T06:04:56Z</dcterms:modified>
</cp:coreProperties>
</file>