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gard/Documents/"/>
    </mc:Choice>
  </mc:AlternateContent>
  <xr:revisionPtr revIDLastSave="0" documentId="13_ncr:1_{85A0B9BA-3A83-E84A-A562-FF1E6C9ADBEF}" xr6:coauthVersionLast="47" xr6:coauthVersionMax="47" xr10:uidLastSave="{00000000-0000-0000-0000-000000000000}"/>
  <bookViews>
    <workbookView xWindow="39800" yWindow="500" windowWidth="36760" windowHeight="21100" xr2:uid="{4700A421-27FA-F24C-9FDA-676BF3C64E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I7" i="1"/>
  <c r="F9" i="1"/>
  <c r="I6" i="1" s="1"/>
  <c r="F6" i="1"/>
  <c r="F8" i="1" s="1"/>
  <c r="I8" i="1" l="1"/>
  <c r="I11" i="1"/>
  <c r="I14" i="1" s="1"/>
  <c r="F7" i="1"/>
  <c r="I26" i="1" s="1"/>
  <c r="I9" i="1"/>
  <c r="I10" i="1"/>
  <c r="I13" i="1" l="1"/>
  <c r="I16" i="1"/>
  <c r="I19" i="1" s="1"/>
  <c r="L30" i="1" s="1"/>
  <c r="I15" i="1" l="1"/>
  <c r="I18" i="1" s="1"/>
  <c r="I21" i="1" s="1"/>
  <c r="I23" i="1" s="1"/>
  <c r="I24" i="1" l="1"/>
  <c r="L29" i="1"/>
  <c r="L12" i="1"/>
  <c r="I27" i="1" l="1"/>
  <c r="I28" i="1" l="1"/>
  <c r="I30" i="1" l="1"/>
  <c r="I31" i="1"/>
  <c r="I33" i="1" s="1"/>
  <c r="I34" i="1" l="1"/>
  <c r="L7" i="1" s="1"/>
  <c r="L8" i="1"/>
  <c r="L6" i="1" l="1"/>
  <c r="L9" i="1" s="1"/>
  <c r="L10" i="1" l="1"/>
  <c r="L13" i="1"/>
  <c r="L15" i="1" s="1"/>
  <c r="L16" i="1" l="1"/>
  <c r="L14" i="1"/>
  <c r="L25" i="1" l="1"/>
  <c r="L27" i="1" s="1"/>
  <c r="L19" i="1"/>
  <c r="L22" i="1" s="1"/>
  <c r="L18" i="1"/>
  <c r="L26" i="1" l="1"/>
  <c r="L23" i="1"/>
  <c r="L21" i="1"/>
  <c r="L20" i="1"/>
  <c r="L32" i="1" l="1"/>
  <c r="L31" i="1"/>
  <c r="L34" i="1"/>
  <c r="L36" i="1"/>
  <c r="O6" i="1"/>
  <c r="O7" i="1"/>
  <c r="O15" i="1"/>
  <c r="R6" i="1"/>
  <c r="R8" i="1" s="1"/>
  <c r="O9" i="1"/>
  <c r="L35" i="1"/>
  <c r="O10" i="1"/>
  <c r="O11" i="1"/>
  <c r="O12" i="1" s="1"/>
  <c r="C13" i="1"/>
  <c r="R7" i="1" l="1"/>
  <c r="O13" i="1"/>
  <c r="C14" i="1"/>
</calcChain>
</file>

<file path=xl/sharedStrings.xml><?xml version="1.0" encoding="utf-8"?>
<sst xmlns="http://schemas.openxmlformats.org/spreadsheetml/2006/main" count="78" uniqueCount="73">
  <si>
    <t>Fee</t>
  </si>
  <si>
    <t>L</t>
  </si>
  <si>
    <t>V4 P0</t>
  </si>
  <si>
    <t>CEX P0</t>
  </si>
  <si>
    <t>V4 P1</t>
  </si>
  <si>
    <t>V4 ∆P</t>
  </si>
  <si>
    <t>V4 ∆SqrtP</t>
  </si>
  <si>
    <t>V4 ∆1/P</t>
  </si>
  <si>
    <t>V4 ∆1/SqrtP</t>
  </si>
  <si>
    <t>User ∆Y</t>
  </si>
  <si>
    <t>Pool ∆Y (ex fees)</t>
  </si>
  <si>
    <t>User ∆X</t>
  </si>
  <si>
    <t>Pool Fees (X)</t>
  </si>
  <si>
    <t>Pool ∆X (ex fees)</t>
  </si>
  <si>
    <t>Pool Fees (Y)</t>
  </si>
  <si>
    <t>Variables</t>
  </si>
  <si>
    <t>Min User Donation (Y)</t>
  </si>
  <si>
    <t>Min User Donation (X)</t>
  </si>
  <si>
    <t xml:space="preserve">V4 PMin </t>
  </si>
  <si>
    <t>t=0</t>
  </si>
  <si>
    <t>t=1</t>
  </si>
  <si>
    <t>V4 Equilibrium</t>
  </si>
  <si>
    <t>V4 Actual P</t>
  </si>
  <si>
    <t>User Effective P</t>
  </si>
  <si>
    <t>Pool Effective P</t>
  </si>
  <si>
    <t>V4 P (Equilibrium)</t>
  </si>
  <si>
    <t>Donation Factor</t>
  </si>
  <si>
    <t>Synthetic LVR Mit. ∆P</t>
  </si>
  <si>
    <t>Frontrun Volume In (Y)</t>
  </si>
  <si>
    <t>SLVRM ∆SqrtP</t>
  </si>
  <si>
    <t>SLVRM ∆1/SqrtP</t>
  </si>
  <si>
    <t>Frontrun Volume In (X)</t>
  </si>
  <si>
    <t>Frontrun Volume Out (Y)</t>
  </si>
  <si>
    <t>Frontrun Volume Out (X)</t>
  </si>
  <si>
    <t>Pre-Mitigation LVR in Y</t>
  </si>
  <si>
    <t>Pre-Mitigation LVR in X</t>
  </si>
  <si>
    <t>LVR Mitigation Target P</t>
  </si>
  <si>
    <t>Pre-Mitigation Effective P</t>
  </si>
  <si>
    <t>Post-Frontrun P</t>
  </si>
  <si>
    <t>V4 PCurrent</t>
  </si>
  <si>
    <t>Solve for Sandwich</t>
  </si>
  <si>
    <t>LP Fees Received (Y)</t>
  </si>
  <si>
    <t>LP Fees Received (X)</t>
  </si>
  <si>
    <t>Post-Frontrun SqrtP</t>
  </si>
  <si>
    <t>Post-Frontrun 1/SqrtP</t>
  </si>
  <si>
    <t>∆SqrtP</t>
  </si>
  <si>
    <t>∆1/SqrtP</t>
  </si>
  <si>
    <t>Post-User SqrtP</t>
  </si>
  <si>
    <t>User ∆Y (Out)</t>
  </si>
  <si>
    <t>User ∆Y (In)</t>
  </si>
  <si>
    <t>User ∆X (In)</t>
  </si>
  <si>
    <t>User ∆X (Out)</t>
  </si>
  <si>
    <t>Post-User P</t>
  </si>
  <si>
    <t>Pool PnL</t>
  </si>
  <si>
    <t>Cumulative Pool ∆Y</t>
  </si>
  <si>
    <t>Cumulative Pool ∆X</t>
  </si>
  <si>
    <t>V4 PMax</t>
  </si>
  <si>
    <t>LVR Mitigated</t>
  </si>
  <si>
    <t>Solve for User Trade / Profit</t>
  </si>
  <si>
    <t>Post-Mitigation LVR in Y</t>
  </si>
  <si>
    <t>Post-Mitigation LVR in X</t>
  </si>
  <si>
    <t>∆P to New Equilibrium</t>
  </si>
  <si>
    <t>User Profit in Y, Est.</t>
  </si>
  <si>
    <t>User Profit in X, Est.</t>
  </si>
  <si>
    <t>User Net Profit in Y, Est</t>
  </si>
  <si>
    <t>User Net Profit in X, Est</t>
  </si>
  <si>
    <t>Pool ∆Y, Gross, Est.</t>
  </si>
  <si>
    <t>Pool ∆X, Gross, Est.</t>
  </si>
  <si>
    <t>Pool Profit in Y, Net</t>
  </si>
  <si>
    <t>Pool Profit in X, Net</t>
  </si>
  <si>
    <t>by @ThogardPvP / FastLane Labs</t>
  </si>
  <si>
    <t>The Hook of Divine Sandwiches</t>
  </si>
  <si>
    <t>MM Profits from Swap?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</si>
</sst>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7" formatCode="#,##0.0000_);[Red]\(#,##0.0000\)"/>
    <numFmt numFmtId="168" formatCode="#,##0.000000_);[Red]\(#,##0.000000\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10" fontId="1" fillId="2" borderId="1" xfId="0" applyNumberFormat="1" applyFont="1" applyFill="1" applyBorder="1"/>
    <xf numFmtId="0" fontId="0" fillId="0" borderId="1" xfId="0" applyFont="1" applyFill="1" applyBorder="1"/>
    <xf numFmtId="0" fontId="2" fillId="0" borderId="0" xfId="0" applyFont="1"/>
    <xf numFmtId="0" fontId="1" fillId="0" borderId="1" xfId="0" applyFont="1" applyFill="1" applyBorder="1"/>
    <xf numFmtId="0" fontId="0" fillId="0" borderId="0" xfId="0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164" fontId="0" fillId="0" borderId="1" xfId="0" applyNumberFormat="1" applyBorder="1"/>
    <xf numFmtId="164" fontId="1" fillId="0" borderId="1" xfId="0" applyNumberFormat="1" applyFont="1" applyBorder="1"/>
    <xf numFmtId="0" fontId="3" fillId="0" borderId="0" xfId="0" applyFont="1"/>
    <xf numFmtId="167" fontId="0" fillId="0" borderId="1" xfId="0" applyNumberFormat="1" applyBorder="1"/>
    <xf numFmtId="167" fontId="1" fillId="0" borderId="1" xfId="0" applyNumberFormat="1" applyFont="1" applyBorder="1"/>
    <xf numFmtId="167" fontId="0" fillId="0" borderId="0" xfId="0" applyNumberFormat="1"/>
    <xf numFmtId="168" fontId="0" fillId="0" borderId="1" xfId="0" applyNumberFormat="1" applyBorder="1"/>
    <xf numFmtId="168" fontId="1" fillId="0" borderId="1" xfId="0" applyNumberFormat="1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7A07-BED3-594C-A4D5-10450BB6CE70}">
  <dimension ref="B2:R44"/>
  <sheetViews>
    <sheetView tabSelected="1" zoomScale="125" zoomScaleNormal="125" workbookViewId="0">
      <selection activeCell="D17" sqref="D17"/>
    </sheetView>
  </sheetViews>
  <sheetFormatPr baseColWidth="10" defaultRowHeight="16" x14ac:dyDescent="0.2"/>
  <cols>
    <col min="1" max="1" width="5.33203125" customWidth="1"/>
    <col min="2" max="2" width="20.6640625" customWidth="1"/>
    <col min="3" max="3" width="13.1640625" bestFit="1" customWidth="1"/>
    <col min="4" max="4" width="6.33203125" customWidth="1"/>
    <col min="5" max="5" width="15.6640625" customWidth="1"/>
    <col min="6" max="6" width="9.1640625" customWidth="1"/>
    <col min="7" max="7" width="6.6640625" customWidth="1"/>
    <col min="8" max="8" width="19.33203125" customWidth="1"/>
    <col min="9" max="9" width="15.6640625" customWidth="1"/>
    <col min="10" max="10" width="8.6640625" customWidth="1"/>
    <col min="11" max="11" width="21.33203125" customWidth="1"/>
    <col min="12" max="12" width="14.83203125" customWidth="1"/>
    <col min="13" max="13" width="6.83203125" customWidth="1"/>
    <col min="14" max="14" width="19.6640625" customWidth="1"/>
    <col min="15" max="15" width="14.33203125" customWidth="1"/>
    <col min="16" max="16" width="5.83203125" customWidth="1"/>
    <col min="17" max="17" width="16.5" customWidth="1"/>
  </cols>
  <sheetData>
    <row r="2" spans="2:18" ht="21" x14ac:dyDescent="0.25">
      <c r="B2" s="16" t="s">
        <v>71</v>
      </c>
    </row>
    <row r="3" spans="2:18" x14ac:dyDescent="0.2">
      <c r="B3" s="22" t="s">
        <v>70</v>
      </c>
    </row>
    <row r="5" spans="2:18" x14ac:dyDescent="0.2">
      <c r="B5" s="6" t="s">
        <v>15</v>
      </c>
      <c r="E5" s="6" t="s">
        <v>19</v>
      </c>
      <c r="H5" s="6" t="s">
        <v>58</v>
      </c>
      <c r="K5" s="6" t="s">
        <v>40</v>
      </c>
      <c r="N5" s="6" t="s">
        <v>53</v>
      </c>
      <c r="Q5" s="6" t="s">
        <v>20</v>
      </c>
    </row>
    <row r="6" spans="2:18" x14ac:dyDescent="0.2">
      <c r="B6" s="2" t="s">
        <v>0</v>
      </c>
      <c r="C6" s="4">
        <v>3.0000000000000001E-3</v>
      </c>
      <c r="E6" s="1" t="s">
        <v>25</v>
      </c>
      <c r="F6" s="1">
        <f>C9</f>
        <v>1000</v>
      </c>
      <c r="H6" s="1" t="s">
        <v>22</v>
      </c>
      <c r="I6" s="17">
        <f>F9</f>
        <v>1000</v>
      </c>
      <c r="K6" s="1" t="s">
        <v>24</v>
      </c>
      <c r="L6" s="17">
        <f>IF(I31&lt;0,0,I33/I34*-1)</f>
        <v>996.2563280119515</v>
      </c>
      <c r="N6" s="13" t="s">
        <v>47</v>
      </c>
      <c r="O6" s="20">
        <f>L26+L31</f>
        <v>31.602924938282815</v>
      </c>
      <c r="Q6" s="1" t="s">
        <v>25</v>
      </c>
      <c r="R6" s="1">
        <f>IF(O15=0,F6,L36)</f>
        <v>996.2483108655324</v>
      </c>
    </row>
    <row r="7" spans="2:18" x14ac:dyDescent="0.2">
      <c r="B7" s="2" t="s">
        <v>1</v>
      </c>
      <c r="C7" s="3">
        <f>10^7</f>
        <v>10000000</v>
      </c>
      <c r="E7" s="5" t="s">
        <v>56</v>
      </c>
      <c r="F7" s="1">
        <f>F6/(1-C6)</f>
        <v>1003.0090270812437</v>
      </c>
      <c r="H7" s="1" t="s">
        <v>4</v>
      </c>
      <c r="I7" s="17">
        <f>IF(C11&gt;C9,C11*(1-C6),C11/(1-C6))</f>
        <v>998.99699097291875</v>
      </c>
      <c r="K7" s="13" t="s">
        <v>34</v>
      </c>
      <c r="L7" s="17">
        <f>IF(I31&lt;0,0,(C11-I21)*I34)</f>
        <v>-81.000286388091411</v>
      </c>
      <c r="N7" s="13" t="s">
        <v>52</v>
      </c>
      <c r="O7" s="17">
        <f>O6^2</f>
        <v>998.74486465473785</v>
      </c>
      <c r="Q7" s="5" t="s">
        <v>56</v>
      </c>
      <c r="R7" s="1">
        <f>R6/(1-C6)</f>
        <v>999.2460490125701</v>
      </c>
    </row>
    <row r="8" spans="2:18" x14ac:dyDescent="0.2">
      <c r="E8" s="5" t="s">
        <v>18</v>
      </c>
      <c r="F8" s="1">
        <f>F6*(1-C6)</f>
        <v>997</v>
      </c>
      <c r="H8" s="1" t="s">
        <v>5</v>
      </c>
      <c r="I8" s="20">
        <f>I7-I6</f>
        <v>-1.003009027081248</v>
      </c>
      <c r="K8" s="13" t="s">
        <v>35</v>
      </c>
      <c r="L8" s="20">
        <f>IF(I31&lt;0,0,((1/C11)-(1/I21))*I33)</f>
        <v>-8.1304980856206702E-2</v>
      </c>
      <c r="Q8" s="5" t="s">
        <v>18</v>
      </c>
      <c r="R8" s="1">
        <f>R6*(1-C6)</f>
        <v>993.25956593293586</v>
      </c>
    </row>
    <row r="9" spans="2:18" x14ac:dyDescent="0.2">
      <c r="B9" s="7" t="s">
        <v>21</v>
      </c>
      <c r="C9" s="3">
        <v>1000</v>
      </c>
      <c r="E9" s="5" t="s">
        <v>39</v>
      </c>
      <c r="F9" s="1">
        <f>C10</f>
        <v>1000</v>
      </c>
      <c r="H9" s="1" t="s">
        <v>6</v>
      </c>
      <c r="I9" s="20">
        <f>SQRT(I7)-SQRT(I6)</f>
        <v>-1.5862943863314882E-2</v>
      </c>
      <c r="K9" s="2" t="s">
        <v>59</v>
      </c>
      <c r="L9" s="18">
        <f>IF(I31&lt;0,0,(C11-L6)*I34)</f>
        <v>-40.803620481364923</v>
      </c>
      <c r="N9" s="1" t="s">
        <v>54</v>
      </c>
      <c r="O9" s="1">
        <f>L18+L20+L22+(-1*L29)+(-1*L34)</f>
        <v>-118589.40700374631</v>
      </c>
    </row>
    <row r="10" spans="2:18" x14ac:dyDescent="0.2">
      <c r="B10" s="2" t="s">
        <v>2</v>
      </c>
      <c r="C10" s="3">
        <v>1000</v>
      </c>
      <c r="H10" s="1" t="s">
        <v>7</v>
      </c>
      <c r="I10" s="20">
        <f>(1/I7)-(1/I6)</f>
        <v>1.0040160642571083E-6</v>
      </c>
      <c r="K10" s="2" t="s">
        <v>60</v>
      </c>
      <c r="L10" s="21">
        <f>IF(I31&lt;0,0,((1/C11)-(1/L6))*I33)</f>
        <v>-4.0967490443131263E-2</v>
      </c>
      <c r="N10" s="1" t="s">
        <v>55</v>
      </c>
      <c r="O10" s="1">
        <f>L19+L21+L23+(-1*L30)+(-1*L35)</f>
        <v>119.04176460981331</v>
      </c>
    </row>
    <row r="11" spans="2:18" x14ac:dyDescent="0.2">
      <c r="B11" s="2" t="s">
        <v>3</v>
      </c>
      <c r="C11" s="3">
        <v>996</v>
      </c>
      <c r="H11" s="1" t="s">
        <v>8</v>
      </c>
      <c r="I11" s="20">
        <f>(1/SQRT(I7))-(1/SQRT(I6))</f>
        <v>1.587090519072909E-5</v>
      </c>
      <c r="L11" s="19"/>
      <c r="N11" s="1" t="s">
        <v>24</v>
      </c>
      <c r="O11" s="1">
        <f>O9/O10*-1</f>
        <v>996.20000923583666</v>
      </c>
    </row>
    <row r="12" spans="2:18" x14ac:dyDescent="0.2">
      <c r="I12" s="19"/>
      <c r="K12" s="1" t="s">
        <v>37</v>
      </c>
      <c r="L12" s="17">
        <f>I21</f>
        <v>996.50884314020232</v>
      </c>
      <c r="N12" s="1" t="s">
        <v>68</v>
      </c>
      <c r="O12" s="1">
        <f>(C11-O11)*O10</f>
        <v>-23.809452372256327</v>
      </c>
    </row>
    <row r="13" spans="2:18" x14ac:dyDescent="0.2">
      <c r="B13" s="10" t="s">
        <v>72</v>
      </c>
      <c r="C13" s="11" t="str">
        <f>IF(C11&gt;C9,IF(L36&lt;C11,"YES","NO"),IF(L36&gt;C11,"YES","NO"))</f>
        <v>YES</v>
      </c>
      <c r="H13" s="1" t="s">
        <v>10</v>
      </c>
      <c r="I13" s="17">
        <f>C7*I9</f>
        <v>-158629.43863314882</v>
      </c>
      <c r="K13" s="1" t="s">
        <v>36</v>
      </c>
      <c r="L13" s="17">
        <f>L6</f>
        <v>996.2563280119515</v>
      </c>
      <c r="N13" s="1" t="s">
        <v>69</v>
      </c>
      <c r="O13" s="1">
        <f>O12/C11</f>
        <v>-2.3905072662907961E-2</v>
      </c>
    </row>
    <row r="14" spans="2:18" x14ac:dyDescent="0.2">
      <c r="B14" s="2" t="s">
        <v>57</v>
      </c>
      <c r="C14" s="15">
        <f>(L7-O12)/L7</f>
        <v>0.7060571828329143</v>
      </c>
      <c r="H14" s="1" t="s">
        <v>13</v>
      </c>
      <c r="I14" s="17">
        <f>I11*C7</f>
        <v>158.7090519072909</v>
      </c>
      <c r="K14" s="1" t="s">
        <v>27</v>
      </c>
      <c r="L14" s="20">
        <f>L13-L12</f>
        <v>-0.25251512825082045</v>
      </c>
    </row>
    <row r="15" spans="2:18" x14ac:dyDescent="0.2">
      <c r="H15" s="1" t="s">
        <v>14</v>
      </c>
      <c r="I15" s="17">
        <f>IF(I13&gt;0,I13*C6,0)</f>
        <v>0</v>
      </c>
      <c r="K15" s="1" t="s">
        <v>29</v>
      </c>
      <c r="L15" s="20">
        <f>SQRT(L13)-SQRT(L12)</f>
        <v>-3.9998558752607494E-3</v>
      </c>
      <c r="N15" s="1" t="s">
        <v>61</v>
      </c>
      <c r="O15" s="1">
        <f>L36-O7</f>
        <v>-2.4965537892054499</v>
      </c>
    </row>
    <row r="16" spans="2:18" x14ac:dyDescent="0.2">
      <c r="H16" s="1" t="s">
        <v>12</v>
      </c>
      <c r="I16" s="20">
        <f>IF(I14&gt;0,I14*C6,0)</f>
        <v>0.4761271557218727</v>
      </c>
      <c r="K16" s="1" t="s">
        <v>30</v>
      </c>
      <c r="L16" s="20">
        <f>(1/SQRT(L13))-(1/SQRT(L12))</f>
        <v>4.0143775747181198E-6</v>
      </c>
    </row>
    <row r="17" spans="8:15" x14ac:dyDescent="0.2">
      <c r="I17" s="19"/>
      <c r="L17" s="19"/>
    </row>
    <row r="18" spans="8:15" x14ac:dyDescent="0.2">
      <c r="H18" s="1" t="s">
        <v>9</v>
      </c>
      <c r="I18" s="17">
        <f>(I13+I15)*-1</f>
        <v>158629.43863314882</v>
      </c>
      <c r="K18" s="1" t="s">
        <v>28</v>
      </c>
      <c r="L18" s="17">
        <f>IF(L14&lt;0,0,-1*L15*C7*(1+C6))</f>
        <v>0</v>
      </c>
    </row>
    <row r="19" spans="8:15" x14ac:dyDescent="0.2">
      <c r="H19" s="1" t="s">
        <v>11</v>
      </c>
      <c r="I19" s="17">
        <f>(I14+I16)*-1</f>
        <v>-159.18517906301278</v>
      </c>
      <c r="K19" s="1" t="s">
        <v>31</v>
      </c>
      <c r="L19" s="17">
        <f>IF(L14&gt;0,0,-1*L16*C7*(1+C6))</f>
        <v>-40.264207074422735</v>
      </c>
    </row>
    <row r="20" spans="8:15" x14ac:dyDescent="0.2">
      <c r="I20" s="19"/>
      <c r="K20" s="13" t="s">
        <v>41</v>
      </c>
      <c r="L20" s="17">
        <f>L18*-1*C6</f>
        <v>0</v>
      </c>
    </row>
    <row r="21" spans="8:15" x14ac:dyDescent="0.2">
      <c r="H21" s="1" t="s">
        <v>23</v>
      </c>
      <c r="I21" s="17">
        <f>I18/(I19*-1)</f>
        <v>996.50884314020232</v>
      </c>
      <c r="K21" s="13" t="s">
        <v>42</v>
      </c>
      <c r="L21" s="20">
        <f>L19*-1*C6</f>
        <v>0.12079262122326821</v>
      </c>
    </row>
    <row r="22" spans="8:15" x14ac:dyDescent="0.2">
      <c r="I22" s="19"/>
      <c r="K22" s="1" t="s">
        <v>32</v>
      </c>
      <c r="L22" s="17">
        <f>IF(L19&lt;0,-1*L15*$C$7,0)</f>
        <v>39998.558752607496</v>
      </c>
    </row>
    <row r="23" spans="8:15" x14ac:dyDescent="0.2">
      <c r="H23" s="1" t="s">
        <v>62</v>
      </c>
      <c r="I23" s="17">
        <f>(C11-I21)*I19</f>
        <v>81.000286388091411</v>
      </c>
      <c r="K23" s="1" t="s">
        <v>33</v>
      </c>
      <c r="L23" s="20">
        <f>IF(L18&lt;0,-1*L16*C7,0)</f>
        <v>0</v>
      </c>
    </row>
    <row r="24" spans="8:15" x14ac:dyDescent="0.2">
      <c r="H24" s="1" t="s">
        <v>63</v>
      </c>
      <c r="I24" s="17">
        <f>I23/C11</f>
        <v>8.132558874306367E-2</v>
      </c>
      <c r="L24" s="19"/>
    </row>
    <row r="25" spans="8:15" x14ac:dyDescent="0.2">
      <c r="K25" s="1" t="s">
        <v>38</v>
      </c>
      <c r="L25" s="17">
        <f>I6+L14</f>
        <v>999.74748487174918</v>
      </c>
    </row>
    <row r="26" spans="8:15" x14ac:dyDescent="0.2">
      <c r="H26" s="1" t="s">
        <v>26</v>
      </c>
      <c r="I26" s="14">
        <f>((I6-F8)/(F7-F8))*(1-(2*C6))</f>
        <v>0.49625338007010411</v>
      </c>
      <c r="K26" s="13" t="s">
        <v>43</v>
      </c>
      <c r="L26" s="20">
        <f>SQRT(L25)</f>
        <v>31.61878373485845</v>
      </c>
      <c r="N26" s="8"/>
      <c r="O26" s="8"/>
    </row>
    <row r="27" spans="8:15" x14ac:dyDescent="0.2">
      <c r="H27" s="1" t="s">
        <v>16</v>
      </c>
      <c r="I27" s="17">
        <f>IF(I18&gt;0,I23*I26,0)</f>
        <v>40.196665906736804</v>
      </c>
      <c r="J27" s="9"/>
      <c r="K27" s="13" t="s">
        <v>44</v>
      </c>
      <c r="L27" s="20">
        <f>1/SQRT(L25)</f>
        <v>3.1626769972734274E-2</v>
      </c>
      <c r="N27" s="8"/>
      <c r="O27" s="8"/>
    </row>
    <row r="28" spans="8:15" x14ac:dyDescent="0.2">
      <c r="H28" s="1" t="s">
        <v>17</v>
      </c>
      <c r="I28" s="20">
        <f>IF(I19&gt;0,I24*I26,0)</f>
        <v>0</v>
      </c>
      <c r="J28" s="9"/>
      <c r="L28" s="19"/>
    </row>
    <row r="29" spans="8:15" x14ac:dyDescent="0.2">
      <c r="I29" s="19"/>
      <c r="K29" s="1" t="s">
        <v>49</v>
      </c>
      <c r="L29" s="17">
        <f>IF(I18&lt;0,I18,0)</f>
        <v>0</v>
      </c>
    </row>
    <row r="30" spans="8:15" x14ac:dyDescent="0.2">
      <c r="H30" s="1" t="s">
        <v>64</v>
      </c>
      <c r="I30" s="17">
        <f>I23-I27-(I28*C11)</f>
        <v>40.803620481354606</v>
      </c>
      <c r="K30" s="1" t="s">
        <v>50</v>
      </c>
      <c r="L30" s="17">
        <f>IF(I19&lt;0,I19,0)</f>
        <v>-159.18517906301278</v>
      </c>
      <c r="N30" s="8"/>
      <c r="O30" s="8"/>
    </row>
    <row r="31" spans="8:15" x14ac:dyDescent="0.2">
      <c r="H31" s="1" t="s">
        <v>65</v>
      </c>
      <c r="I31" s="20">
        <f>I24-I28-(I27*(1/C11))</f>
        <v>4.0967490443127121E-2</v>
      </c>
      <c r="K31" s="13" t="s">
        <v>45</v>
      </c>
      <c r="L31" s="20">
        <f>IF(L29&lt;0,-1*L29*(1-C6)/$C$7,(1/(L27+L32)-1/(L27)))</f>
        <v>-1.5858796575635381E-2</v>
      </c>
      <c r="N31" s="8"/>
      <c r="O31" s="8"/>
    </row>
    <row r="32" spans="8:15" x14ac:dyDescent="0.2">
      <c r="K32" s="13" t="s">
        <v>46</v>
      </c>
      <c r="L32" s="20">
        <f>IF(L30&lt;0,-1*L30*(1-C6)/$C$7,((1/(L26+L31))-(1/(L26))))</f>
        <v>1.5870762352582374E-5</v>
      </c>
      <c r="N32" s="8"/>
      <c r="O32" s="8"/>
    </row>
    <row r="33" spans="8:15" x14ac:dyDescent="0.2">
      <c r="H33" s="1" t="s">
        <v>66</v>
      </c>
      <c r="I33" s="17">
        <f>IF(I31&lt;0,0,I13+I15+I27)</f>
        <v>-158589.24196724209</v>
      </c>
      <c r="L33" s="19"/>
      <c r="N33" s="8"/>
      <c r="O33" s="8"/>
    </row>
    <row r="34" spans="8:15" x14ac:dyDescent="0.2">
      <c r="H34" s="1" t="s">
        <v>67</v>
      </c>
      <c r="I34" s="17">
        <f>IF(I31&lt;0,0,I14+I16+I28)</f>
        <v>159.18517906301278</v>
      </c>
      <c r="K34" s="13" t="s">
        <v>48</v>
      </c>
      <c r="L34" s="17">
        <f>IF(L30&lt;0,L31*$C$7*-1,0)</f>
        <v>158587.96575635381</v>
      </c>
      <c r="N34" s="8"/>
      <c r="O34" s="8"/>
    </row>
    <row r="35" spans="8:15" x14ac:dyDescent="0.2">
      <c r="K35" s="13" t="s">
        <v>51</v>
      </c>
      <c r="L35" s="20">
        <f>IF(L29&lt;0,L32*$C$7*-1,0)</f>
        <v>0</v>
      </c>
      <c r="N35" s="8"/>
      <c r="O35" s="8"/>
    </row>
    <row r="36" spans="8:15" x14ac:dyDescent="0.2">
      <c r="K36" s="1" t="s">
        <v>23</v>
      </c>
      <c r="L36" s="17">
        <f>IF(L29&lt;0,L29/L35*-1,L34/L30*-1)</f>
        <v>996.2483108655324</v>
      </c>
      <c r="N36" s="8"/>
      <c r="O36" s="8"/>
    </row>
    <row r="37" spans="8:15" x14ac:dyDescent="0.2">
      <c r="N37" s="8"/>
      <c r="O37" s="8"/>
    </row>
    <row r="38" spans="8:15" x14ac:dyDescent="0.2">
      <c r="N38" s="8"/>
      <c r="O38" s="8"/>
    </row>
    <row r="39" spans="8:15" x14ac:dyDescent="0.2">
      <c r="N39" s="12"/>
      <c r="O39" s="8"/>
    </row>
    <row r="40" spans="8:15" x14ac:dyDescent="0.2">
      <c r="N40" s="8"/>
      <c r="O40" s="8"/>
    </row>
    <row r="41" spans="8:15" x14ac:dyDescent="0.2">
      <c r="N41" s="8"/>
      <c r="O41" s="8"/>
    </row>
    <row r="42" spans="8:15" x14ac:dyDescent="0.2">
      <c r="N42" s="8"/>
      <c r="O42" s="8"/>
    </row>
    <row r="43" spans="8:15" x14ac:dyDescent="0.2">
      <c r="N43" s="8"/>
      <c r="O43" s="8"/>
    </row>
    <row r="44" spans="8:15" x14ac:dyDescent="0.2">
      <c r="N44" s="8"/>
      <c r="O4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Alex Watts</dc:creator>
  <cp:lastModifiedBy>D Alex Watts</cp:lastModifiedBy>
  <dcterms:created xsi:type="dcterms:W3CDTF">2023-07-27T21:01:15Z</dcterms:created>
  <dcterms:modified xsi:type="dcterms:W3CDTF">2023-07-28T11:57:11Z</dcterms:modified>
</cp:coreProperties>
</file>