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thohtestarossa/my_github/Mirage-docs/thoh/毕业论文/"/>
    </mc:Choice>
  </mc:AlternateContent>
  <bookViews>
    <workbookView xWindow="60" yWindow="2380" windowWidth="15420" windowHeight="11240" tabRatio="500"/>
  </bookViews>
  <sheets>
    <sheet name="工作表1" sheetId="1" r:id="rId1"/>
    <sheet name="工作表2" sheetId="2" r:id="rId2"/>
  </sheets>
  <definedNames>
    <definedName name="OLE_LINK2" localSheetId="0">工作表1!$F$94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3" i="1" l="1"/>
  <c r="K223" i="1"/>
  <c r="E221" i="1"/>
  <c r="D292" i="1"/>
  <c r="E292" i="1"/>
  <c r="C291" i="1"/>
  <c r="E291" i="1"/>
  <c r="D290" i="1"/>
  <c r="C290" i="1"/>
  <c r="B288" i="1"/>
  <c r="B289" i="1"/>
  <c r="B290" i="1"/>
  <c r="B291" i="1"/>
  <c r="B292" i="1"/>
  <c r="B287" i="1"/>
  <c r="I292" i="1"/>
  <c r="I291" i="1"/>
  <c r="I290" i="1"/>
  <c r="I289" i="1"/>
  <c r="I288" i="1"/>
  <c r="I287" i="1"/>
  <c r="I286" i="1"/>
  <c r="L224" i="1"/>
  <c r="K224" i="1"/>
  <c r="E230" i="1"/>
  <c r="D272" i="1"/>
  <c r="L226" i="1"/>
  <c r="K226" i="1"/>
  <c r="E232" i="1"/>
  <c r="B277" i="1"/>
  <c r="L225" i="1"/>
  <c r="K225" i="1"/>
  <c r="E231" i="1"/>
  <c r="C272" i="1"/>
  <c r="L227" i="1"/>
  <c r="K227" i="1"/>
  <c r="E233" i="1"/>
  <c r="B276" i="1"/>
  <c r="L228" i="1"/>
  <c r="K228" i="1"/>
  <c r="E234" i="1"/>
  <c r="B275" i="1"/>
  <c r="I280" i="1"/>
  <c r="I279" i="1"/>
  <c r="I278" i="1"/>
  <c r="I277" i="1"/>
  <c r="I276" i="1"/>
  <c r="I275" i="1"/>
  <c r="I274" i="1"/>
  <c r="E229" i="1"/>
  <c r="E272" i="1"/>
  <c r="E222" i="1"/>
  <c r="D260" i="1"/>
  <c r="E224" i="1"/>
  <c r="B265" i="1"/>
  <c r="C260" i="1"/>
  <c r="E225" i="1"/>
  <c r="B264" i="1"/>
  <c r="B249" i="1"/>
  <c r="B260" i="1"/>
  <c r="E226" i="1"/>
  <c r="B263" i="1"/>
  <c r="E260" i="1"/>
  <c r="I268" i="1"/>
  <c r="I267" i="1"/>
  <c r="I266" i="1"/>
  <c r="I265" i="1"/>
  <c r="I264" i="1"/>
  <c r="I263" i="1"/>
  <c r="I262" i="1"/>
  <c r="E257" i="1"/>
  <c r="D257" i="1"/>
  <c r="B257" i="1"/>
  <c r="E256" i="1"/>
  <c r="C256" i="1"/>
  <c r="B256" i="1"/>
  <c r="B254" i="1"/>
  <c r="E223" i="1"/>
  <c r="C249" i="1"/>
  <c r="B253" i="1"/>
  <c r="B252" i="1"/>
  <c r="I257" i="1"/>
  <c r="I256" i="1"/>
  <c r="I255" i="1"/>
  <c r="I254" i="1"/>
  <c r="L229" i="1"/>
  <c r="K229" i="1"/>
  <c r="E235" i="1"/>
  <c r="I253" i="1"/>
  <c r="I252" i="1"/>
  <c r="I251" i="1"/>
  <c r="B242" i="1"/>
  <c r="I242" i="1"/>
  <c r="B243" i="1"/>
  <c r="I243" i="1"/>
  <c r="B244" i="1"/>
  <c r="I244" i="1"/>
  <c r="B245" i="1"/>
  <c r="C245" i="1"/>
  <c r="D245" i="1"/>
  <c r="I245" i="1"/>
  <c r="B246" i="1"/>
  <c r="C246" i="1"/>
  <c r="E246" i="1"/>
  <c r="I246" i="1"/>
  <c r="B247" i="1"/>
  <c r="D247" i="1"/>
  <c r="E247" i="1"/>
  <c r="I247" i="1"/>
  <c r="I241" i="1"/>
  <c r="E227" i="1"/>
  <c r="L222" i="1"/>
  <c r="E210" i="1"/>
  <c r="E209" i="1"/>
  <c r="E208" i="1"/>
  <c r="B214" i="1"/>
  <c r="A213" i="1"/>
  <c r="A212" i="1"/>
  <c r="B211" i="1"/>
  <c r="B213" i="1"/>
  <c r="B212" i="1"/>
  <c r="C213" i="1"/>
  <c r="C212" i="1"/>
  <c r="K201" i="1"/>
  <c r="L201" i="1"/>
  <c r="F199" i="1"/>
  <c r="C201" i="1"/>
  <c r="B201" i="1"/>
  <c r="C200" i="1"/>
  <c r="B200" i="1"/>
  <c r="C199" i="1"/>
  <c r="B199" i="1"/>
  <c r="C198" i="1"/>
  <c r="B198" i="1"/>
  <c r="C197" i="1"/>
  <c r="B197" i="1"/>
  <c r="A202" i="1"/>
  <c r="B202" i="1"/>
  <c r="C202" i="1"/>
  <c r="D197" i="1"/>
  <c r="D198" i="1"/>
  <c r="D199" i="1"/>
  <c r="D200" i="1"/>
  <c r="D201" i="1"/>
  <c r="D202" i="1"/>
  <c r="C194" i="1"/>
  <c r="B194" i="1"/>
  <c r="C193" i="1"/>
  <c r="B193" i="1"/>
  <c r="A193" i="1"/>
  <c r="C192" i="1"/>
  <c r="B192" i="1"/>
  <c r="C191" i="1"/>
  <c r="B191" i="1"/>
  <c r="A195" i="1"/>
  <c r="B190" i="1"/>
  <c r="B195" i="1"/>
  <c r="C190" i="1"/>
  <c r="C195" i="1"/>
  <c r="D191" i="1"/>
  <c r="D192" i="1"/>
  <c r="D193" i="1"/>
  <c r="D194" i="1"/>
  <c r="D190" i="1"/>
  <c r="D195" i="1"/>
  <c r="A184" i="1"/>
  <c r="A188" i="1"/>
  <c r="B183" i="1"/>
  <c r="B184" i="1"/>
  <c r="B185" i="1"/>
  <c r="B186" i="1"/>
  <c r="B187" i="1"/>
  <c r="B188" i="1"/>
  <c r="C183" i="1"/>
  <c r="C184" i="1"/>
  <c r="C185" i="1"/>
  <c r="C186" i="1"/>
  <c r="C187" i="1"/>
  <c r="C188" i="1"/>
  <c r="D183" i="1"/>
  <c r="D184" i="1"/>
  <c r="D185" i="1"/>
  <c r="D186" i="1"/>
  <c r="D187" i="1"/>
  <c r="D188" i="1"/>
  <c r="A180" i="1"/>
  <c r="A181" i="1"/>
  <c r="B176" i="1"/>
  <c r="B177" i="1"/>
  <c r="B178" i="1"/>
  <c r="B179" i="1"/>
  <c r="B180" i="1"/>
  <c r="B181" i="1"/>
  <c r="C176" i="1"/>
  <c r="C177" i="1"/>
  <c r="C178" i="1"/>
  <c r="C179" i="1"/>
  <c r="C180" i="1"/>
  <c r="C181" i="1"/>
  <c r="D176" i="1"/>
  <c r="D177" i="1"/>
  <c r="D178" i="1"/>
  <c r="D179" i="1"/>
  <c r="D180" i="1"/>
  <c r="D181" i="1"/>
  <c r="G109" i="1"/>
  <c r="O127" i="1"/>
  <c r="O128" i="1"/>
  <c r="O129" i="1"/>
  <c r="O130" i="1"/>
  <c r="A173" i="1"/>
  <c r="B173" i="1"/>
  <c r="C173" i="1"/>
  <c r="D168" i="1"/>
  <c r="D169" i="1"/>
  <c r="D170" i="1"/>
  <c r="D171" i="1"/>
  <c r="D172" i="1"/>
  <c r="D173" i="1"/>
  <c r="D161" i="1"/>
  <c r="D162" i="1"/>
  <c r="D163" i="1"/>
  <c r="D164" i="1"/>
  <c r="D165" i="1"/>
  <c r="D166" i="1"/>
  <c r="B166" i="1"/>
  <c r="C166" i="1"/>
  <c r="A166" i="1"/>
  <c r="D155" i="1"/>
  <c r="D156" i="1"/>
  <c r="D157" i="1"/>
  <c r="D158" i="1"/>
  <c r="D154" i="1"/>
  <c r="D159" i="1"/>
  <c r="A159" i="1"/>
  <c r="B159" i="1"/>
  <c r="C159" i="1"/>
  <c r="B152" i="1"/>
  <c r="C152" i="1"/>
  <c r="D147" i="1"/>
  <c r="D148" i="1"/>
  <c r="D149" i="1"/>
  <c r="D150" i="1"/>
  <c r="D151" i="1"/>
  <c r="D152" i="1"/>
  <c r="A152" i="1"/>
  <c r="G127" i="1"/>
  <c r="G128" i="1"/>
  <c r="G129" i="1"/>
  <c r="G130" i="1"/>
  <c r="G126" i="1"/>
  <c r="D108" i="1"/>
  <c r="D109" i="1"/>
  <c r="D110" i="1"/>
  <c r="D107" i="1"/>
  <c r="C108" i="1"/>
  <c r="C109" i="1"/>
  <c r="C110" i="1"/>
  <c r="C107" i="1"/>
  <c r="J75" i="1"/>
  <c r="J74" i="1"/>
  <c r="D75" i="1"/>
  <c r="D74" i="1"/>
  <c r="C58" i="1"/>
  <c r="C57" i="1"/>
  <c r="C55" i="1"/>
  <c r="C54" i="1"/>
  <c r="B55" i="1"/>
  <c r="B54" i="1"/>
  <c r="C42" i="1"/>
  <c r="C41" i="1"/>
  <c r="D42" i="1"/>
  <c r="M38" i="1"/>
  <c r="L38" i="1"/>
  <c r="M37" i="1"/>
  <c r="L37" i="1"/>
  <c r="M36" i="1"/>
  <c r="L36" i="1"/>
  <c r="M35" i="1"/>
  <c r="L35" i="1"/>
  <c r="K35" i="1"/>
  <c r="M34" i="1"/>
  <c r="L34" i="1"/>
  <c r="M30" i="1"/>
  <c r="L30" i="1"/>
  <c r="M29" i="1"/>
  <c r="L29" i="1"/>
  <c r="K29" i="1"/>
  <c r="M28" i="1"/>
  <c r="L28" i="1"/>
  <c r="M27" i="1"/>
  <c r="L27" i="1"/>
  <c r="M26" i="1"/>
  <c r="L26" i="1"/>
  <c r="H38" i="1"/>
  <c r="H37" i="1"/>
  <c r="G37" i="1"/>
  <c r="H36" i="1"/>
  <c r="G36" i="1"/>
  <c r="H35" i="1"/>
  <c r="G35" i="1"/>
  <c r="F35" i="1"/>
  <c r="H34" i="1"/>
  <c r="G34" i="1"/>
  <c r="H30" i="1"/>
  <c r="G30" i="1"/>
  <c r="H29" i="1"/>
  <c r="G29" i="1"/>
  <c r="H28" i="1"/>
  <c r="G28" i="1"/>
  <c r="H27" i="1"/>
  <c r="G27" i="1"/>
  <c r="H26" i="1"/>
  <c r="G26" i="1"/>
  <c r="C38" i="1"/>
  <c r="C36" i="1"/>
  <c r="B36" i="1"/>
  <c r="C34" i="1"/>
  <c r="B34" i="1"/>
  <c r="C30" i="1"/>
  <c r="B30" i="1"/>
  <c r="C29" i="1"/>
  <c r="B29" i="1"/>
  <c r="C28" i="1"/>
  <c r="B28" i="1"/>
  <c r="C27" i="1"/>
  <c r="B27" i="1"/>
  <c r="B26" i="1"/>
  <c r="C26" i="1"/>
  <c r="D26" i="1"/>
  <c r="D27" i="1"/>
  <c r="D28" i="1"/>
  <c r="D29" i="1"/>
  <c r="D30" i="1"/>
  <c r="A31" i="1"/>
  <c r="B31" i="1"/>
  <c r="C31" i="1"/>
  <c r="D31" i="1"/>
  <c r="C35" i="1"/>
  <c r="D35" i="1"/>
  <c r="D36" i="1"/>
  <c r="C37" i="1"/>
  <c r="D37" i="1"/>
  <c r="D38" i="1"/>
  <c r="A39" i="1"/>
  <c r="B39" i="1"/>
  <c r="C39" i="1"/>
  <c r="D39" i="1"/>
  <c r="D34" i="1"/>
  <c r="K39" i="1"/>
  <c r="L39" i="1"/>
  <c r="M39" i="1"/>
  <c r="N39" i="1"/>
  <c r="N38" i="1"/>
  <c r="N37" i="1"/>
  <c r="N36" i="1"/>
  <c r="N35" i="1"/>
  <c r="N34" i="1"/>
  <c r="K31" i="1"/>
  <c r="L31" i="1"/>
  <c r="M31" i="1"/>
  <c r="N31" i="1"/>
  <c r="N30" i="1"/>
  <c r="N29" i="1"/>
  <c r="N28" i="1"/>
  <c r="N27" i="1"/>
  <c r="N26" i="1"/>
  <c r="I34" i="1"/>
  <c r="I35" i="1"/>
  <c r="I36" i="1"/>
  <c r="I37" i="1"/>
  <c r="I38" i="1"/>
  <c r="F39" i="1"/>
  <c r="G39" i="1"/>
  <c r="H39" i="1"/>
  <c r="I39" i="1"/>
  <c r="I27" i="1"/>
  <c r="I28" i="1"/>
  <c r="I29" i="1"/>
  <c r="I30" i="1"/>
  <c r="F31" i="1"/>
  <c r="G31" i="1"/>
  <c r="H31" i="1"/>
  <c r="I31" i="1"/>
  <c r="I26" i="1"/>
  <c r="G22" i="1"/>
  <c r="G23" i="1"/>
  <c r="G21" i="1"/>
  <c r="G20" i="1"/>
  <c r="A21" i="1"/>
  <c r="A22" i="1"/>
  <c r="A23" i="1"/>
  <c r="G15" i="1"/>
  <c r="G16" i="1"/>
  <c r="G17" i="1"/>
  <c r="G18" i="1"/>
  <c r="G14" i="1"/>
  <c r="K11" i="1"/>
  <c r="K9" i="1"/>
  <c r="D9" i="1"/>
  <c r="E9" i="1"/>
  <c r="D11" i="1"/>
  <c r="E11" i="1"/>
  <c r="D12" i="1"/>
  <c r="E12" i="1"/>
  <c r="D10" i="1"/>
  <c r="E10" i="1"/>
  <c r="C6" i="1"/>
  <c r="D6" i="1"/>
  <c r="B6" i="1"/>
  <c r="A6" i="1"/>
</calcChain>
</file>

<file path=xl/sharedStrings.xml><?xml version="1.0" encoding="utf-8"?>
<sst xmlns="http://schemas.openxmlformats.org/spreadsheetml/2006/main" count="44" uniqueCount="24">
  <si>
    <t>T</t>
    <phoneticPr fontId="1" type="noConversion"/>
  </si>
  <si>
    <t>F</t>
    <phoneticPr fontId="1" type="noConversion"/>
  </si>
  <si>
    <t>F</t>
    <phoneticPr fontId="1" type="noConversion"/>
  </si>
  <si>
    <t>hd_m</t>
    <phoneticPr fontId="1" type="noConversion"/>
  </si>
  <si>
    <t>m_d/d_m</t>
    <phoneticPr fontId="1" type="noConversion"/>
  </si>
  <si>
    <t>t_scan</t>
    <phoneticPr fontId="1" type="noConversion"/>
  </si>
  <si>
    <t>init</t>
    <phoneticPr fontId="1" type="noConversion"/>
  </si>
  <si>
    <t>CPU</t>
    <phoneticPr fontId="1" type="noConversion"/>
  </si>
  <si>
    <t>GPU</t>
    <phoneticPr fontId="1" type="noConversion"/>
  </si>
  <si>
    <t>s</t>
    <phoneticPr fontId="1" type="noConversion"/>
  </si>
  <si>
    <t>file_size</t>
    <phoneticPr fontId="1" type="noConversion"/>
  </si>
  <si>
    <t>CPU_K</t>
    <phoneticPr fontId="1" type="noConversion"/>
  </si>
  <si>
    <t>GPU_K</t>
    <phoneticPr fontId="1" type="noConversion"/>
  </si>
  <si>
    <t>A</t>
    <phoneticPr fontId="1" type="noConversion"/>
  </si>
  <si>
    <t>B</t>
    <phoneticPr fontId="1" type="noConversion"/>
  </si>
  <si>
    <t>S</t>
    <phoneticPr fontId="1" type="noConversion"/>
  </si>
  <si>
    <t>下v右w</t>
    <rPh sb="0" eb="1">
      <t>xia</t>
    </rPh>
    <rPh sb="2" eb="3">
      <t>you</t>
    </rPh>
    <phoneticPr fontId="1" type="noConversion"/>
  </si>
  <si>
    <t>C(v)</t>
    <phoneticPr fontId="1" type="noConversion"/>
  </si>
  <si>
    <t>…</t>
    <phoneticPr fontId="1" type="noConversion"/>
  </si>
  <si>
    <t>Stanford</t>
    <phoneticPr fontId="1" type="noConversion"/>
  </si>
  <si>
    <t>预处理</t>
    <rPh sb="0" eb="1">
      <t>yu chu li</t>
    </rPh>
    <phoneticPr fontId="1" type="noConversion"/>
  </si>
  <si>
    <t>未预处理</t>
    <phoneticPr fontId="1" type="noConversion"/>
  </si>
  <si>
    <t>我们的方案</t>
    <rPh sb="0" eb="1">
      <t>wo men de fang an</t>
    </rPh>
    <phoneticPr fontId="1" type="noConversion"/>
  </si>
  <si>
    <t>Stanford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</si>
</sst>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000000_ "/>
  </numFmts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theme="1"/>
      <name val="微软雅黑"/>
      <family val="3"/>
      <charset val="134"/>
    </font>
    <font>
      <sz val="12"/>
      <color rgb="FF000000"/>
      <name val="微软雅黑"/>
      <family val="3"/>
      <charset val="134"/>
    </font>
    <font>
      <sz val="12"/>
      <color rgb="FFFF0000"/>
      <name val="微软雅黑"/>
      <family val="3"/>
      <charset val="134"/>
    </font>
    <font>
      <sz val="12"/>
      <name val="微软雅黑"/>
      <family val="3"/>
      <charset val="134"/>
    </font>
    <font>
      <sz val="12"/>
      <color theme="1"/>
      <name val="Microsoft YaHei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1" fontId="5" fillId="0" borderId="0" xfId="0" applyNumberFormat="1" applyFont="1"/>
    <xf numFmtId="11" fontId="4" fillId="0" borderId="0" xfId="0" applyNumberFormat="1" applyFont="1"/>
    <xf numFmtId="176" fontId="4" fillId="0" borderId="0" xfId="0" applyNumberFormat="1" applyFont="1"/>
    <xf numFmtId="0" fontId="4" fillId="0" borderId="0" xfId="0" applyFont="1" applyBorder="1" applyAlignment="1">
      <alignment horizontal="left" vertical="center" wrapText="1"/>
    </xf>
    <xf numFmtId="176" fontId="6" fillId="2" borderId="0" xfId="0" applyNumberFormat="1" applyFont="1" applyFill="1"/>
    <xf numFmtId="0" fontId="6" fillId="2" borderId="0" xfId="0" applyFont="1" applyFill="1"/>
    <xf numFmtId="176" fontId="4" fillId="2" borderId="0" xfId="0" applyNumberFormat="1" applyFont="1" applyFill="1"/>
    <xf numFmtId="0" fontId="4" fillId="2" borderId="0" xfId="0" applyFont="1" applyFill="1"/>
    <xf numFmtId="0" fontId="4" fillId="0" borderId="0" xfId="0" applyFont="1" applyFill="1"/>
    <xf numFmtId="0" fontId="7" fillId="0" borderId="0" xfId="0" applyFont="1" applyFill="1"/>
    <xf numFmtId="0" fontId="7" fillId="0" borderId="0" xfId="0" applyFont="1"/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</cellXfs>
  <cellStyles count="12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原始数据集大小</a:t>
            </a:r>
            <a:r>
              <a:rPr lang="en-US" altLang="zh-CN"/>
              <a:t>-cuboid</a:t>
            </a:r>
            <a:r>
              <a:rPr lang="zh-CN" altLang="en-US"/>
              <a:t>聚合时间（单位：</a:t>
            </a:r>
            <a:r>
              <a:rPr lang="en-US" altLang="zh-CN"/>
              <a:t>s</a:t>
            </a:r>
            <a:r>
              <a:rPr lang="zh-CN" altLang="en-US"/>
              <a:t>）柱形图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数据集：134217728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工作表1!$A$54:$C$54</c:f>
              <c:numCache>
                <c:formatCode>General</c:formatCode>
                <c:ptCount val="3"/>
                <c:pt idx="0">
                  <c:v>0.0008518</c:v>
                </c:pt>
                <c:pt idx="1">
                  <c:v>2.84044E-5</c:v>
                </c:pt>
                <c:pt idx="2">
                  <c:v>6.1488E-6</c:v>
                </c:pt>
              </c:numCache>
            </c:numRef>
          </c:val>
        </c:ser>
        <c:ser>
          <c:idx val="1"/>
          <c:order val="1"/>
          <c:tx>
            <c:v>数据集：262144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工作表1!$A$55:$C$55</c:f>
              <c:numCache>
                <c:formatCode>General</c:formatCode>
                <c:ptCount val="3"/>
                <c:pt idx="0">
                  <c:v>0.0008599</c:v>
                </c:pt>
                <c:pt idx="1">
                  <c:v>2.61902E-5</c:v>
                </c:pt>
                <c:pt idx="2">
                  <c:v>6.4036E-6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819344"/>
        <c:axId val="1058274752"/>
      </c:barChart>
      <c:catAx>
        <c:axId val="9888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274752"/>
        <c:crosses val="autoZero"/>
        <c:auto val="1"/>
        <c:lblAlgn val="ctr"/>
        <c:lblOffset val="100"/>
        <c:noMultiLvlLbl val="0"/>
      </c:catAx>
      <c:valAx>
        <c:axId val="10582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81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Kernel</a:t>
            </a:r>
            <a:r>
              <a:rPr lang="zh-CN" altLang="en-US" sz="1400" b="0" i="0" baseline="0">
                <a:effectLst/>
              </a:rPr>
              <a:t>数</a:t>
            </a:r>
            <a:r>
              <a:rPr lang="en-US" altLang="zh-CN" sz="1400" b="0" i="0" baseline="0">
                <a:effectLst/>
              </a:rPr>
              <a:t>-</a:t>
            </a:r>
            <a:r>
              <a:rPr lang="zh-CN" altLang="en-US" sz="1400" b="0" i="0" baseline="0">
                <a:effectLst/>
              </a:rPr>
              <a:t>从</a:t>
            </a:r>
            <a:r>
              <a:rPr lang="en-US" altLang="zh-CN" sz="1400" b="0" i="0" baseline="0">
                <a:effectLst/>
              </a:rPr>
              <a:t>cuboid</a:t>
            </a:r>
            <a:r>
              <a:rPr lang="zh-CN" altLang="en-US" sz="1400" b="0" i="0" baseline="0">
                <a:effectLst/>
              </a:rPr>
              <a:t>到</a:t>
            </a:r>
            <a:r>
              <a:rPr lang="en-US" altLang="zh-CN" sz="1400" b="0" i="0" baseline="0">
                <a:effectLst/>
              </a:rPr>
              <a:t>cuboid</a:t>
            </a:r>
            <a:r>
              <a:rPr lang="zh-CN" altLang="en-US" sz="1400" b="0" i="0" baseline="0">
                <a:effectLst/>
              </a:rPr>
              <a:t>聚合时间（单位：</a:t>
            </a:r>
            <a:r>
              <a:rPr lang="en-US" altLang="zh-CN" sz="1400" b="0" i="0" baseline="0">
                <a:effectLst/>
              </a:rPr>
              <a:t>s</a:t>
            </a:r>
            <a:r>
              <a:rPr lang="zh-CN" altLang="en-US" sz="1400" b="0" i="0" baseline="0">
                <a:effectLst/>
              </a:rPr>
              <a:t>）柱形图</a:t>
            </a:r>
            <a:endParaRPr lang="en-US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(工作表1!$A$175,工作表1!$A$182,工作表1!$A$189,工作表1!$A$196)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(工作表1!$D$181,工作表1!$D$188,工作表1!$D$195,工作表1!$D$202)</c:f>
              <c:numCache>
                <c:formatCode>General</c:formatCode>
                <c:ptCount val="4"/>
                <c:pt idx="0">
                  <c:v>0.0018604362</c:v>
                </c:pt>
                <c:pt idx="1">
                  <c:v>0.0010927238</c:v>
                </c:pt>
                <c:pt idx="2">
                  <c:v>0.0008160202</c:v>
                </c:pt>
                <c:pt idx="3">
                  <c:v>0.0008455824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700000"/>
        <c:axId val="1061702752"/>
      </c:barChart>
      <c:catAx>
        <c:axId val="106170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1702752"/>
        <c:crosses val="autoZero"/>
        <c:auto val="1"/>
        <c:lblAlgn val="ctr"/>
        <c:lblOffset val="100"/>
        <c:noMultiLvlLbl val="0"/>
      </c:catAx>
      <c:valAx>
        <c:axId val="10617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170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预处理</a:t>
            </a:r>
            <a:r>
              <a:rPr lang="en-US" altLang="zh-CN"/>
              <a:t>-</a:t>
            </a:r>
            <a:r>
              <a:rPr lang="zh-CN" altLang="en-US"/>
              <a:t>全</a:t>
            </a:r>
            <a:r>
              <a:rPr lang="en-US" altLang="zh-CN"/>
              <a:t>cuboid</a:t>
            </a:r>
            <a:r>
              <a:rPr lang="zh-CN" altLang="en-US"/>
              <a:t>生成时间（单位：</a:t>
            </a:r>
            <a:r>
              <a:rPr lang="en-US" altLang="zh-CN"/>
              <a:t>s</a:t>
            </a:r>
            <a:r>
              <a:rPr lang="zh-CN" altLang="en-US"/>
              <a:t>）柱形图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工作表1!$B$300:$C$300</c:f>
              <c:strCache>
                <c:ptCount val="2"/>
                <c:pt idx="0">
                  <c:v>预处理</c:v>
                </c:pt>
                <c:pt idx="1">
                  <c:v>未预处理</c:v>
                </c:pt>
              </c:strCache>
            </c:strRef>
          </c:cat>
          <c:val>
            <c:numRef>
              <c:f>工作表1!$B$298:$C$298</c:f>
              <c:numCache>
                <c:formatCode>General</c:formatCode>
                <c:ptCount val="2"/>
                <c:pt idx="0">
                  <c:v>0.289799</c:v>
                </c:pt>
                <c:pt idx="1">
                  <c:v>0.901132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722304"/>
        <c:axId val="1061725056"/>
      </c:barChart>
      <c:catAx>
        <c:axId val="10617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1725056"/>
        <c:crosses val="autoZero"/>
        <c:auto val="1"/>
        <c:lblAlgn val="ctr"/>
        <c:lblOffset val="100"/>
        <c:noMultiLvlLbl val="0"/>
      </c:catAx>
      <c:valAx>
        <c:axId val="10617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172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baseline="0">
                <a:effectLst/>
              </a:rPr>
              <a:t>预处理</a:t>
            </a:r>
            <a:r>
              <a:rPr lang="en-US" altLang="zh-CN" sz="1400" b="0" i="0" baseline="0">
                <a:effectLst/>
              </a:rPr>
              <a:t>-</a:t>
            </a:r>
            <a:r>
              <a:rPr lang="zh-CN" altLang="en-US" sz="1400" b="0" i="0" baseline="0">
                <a:effectLst/>
              </a:rPr>
              <a:t>全</a:t>
            </a:r>
            <a:r>
              <a:rPr lang="en-US" altLang="zh-CN" sz="1400" b="0" i="0" baseline="0">
                <a:effectLst/>
              </a:rPr>
              <a:t>cuboid</a:t>
            </a:r>
            <a:r>
              <a:rPr lang="zh-CN" altLang="en-US" sz="1400" b="0" i="0" baseline="0">
                <a:effectLst/>
              </a:rPr>
              <a:t>生成时间（单位：</a:t>
            </a:r>
            <a:r>
              <a:rPr lang="en-US" altLang="zh-CN" sz="1400" b="0" i="0" baseline="0">
                <a:effectLst/>
              </a:rPr>
              <a:t>s</a:t>
            </a:r>
            <a:r>
              <a:rPr lang="zh-CN" altLang="en-US" sz="1400" b="0" i="0" baseline="0">
                <a:effectLst/>
              </a:rPr>
              <a:t>）柱形图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工作表1!$B$318:$C$318</c:f>
              <c:strCache>
                <c:ptCount val="2"/>
                <c:pt idx="0">
                  <c:v>我们的方案</c:v>
                </c:pt>
                <c:pt idx="1">
                  <c:v>Stanford</c:v>
                </c:pt>
              </c:strCache>
            </c:strRef>
          </c:cat>
          <c:val>
            <c:numRef>
              <c:f>(工作表1!$B$302,工作表1!$C$302)</c:f>
              <c:numCache>
                <c:formatCode>0.00000000000000_ </c:formatCode>
                <c:ptCount val="2"/>
                <c:pt idx="0">
                  <c:v>0.00081504</c:v>
                </c:pt>
                <c:pt idx="1">
                  <c:v>0.00087807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752320"/>
        <c:axId val="987836272"/>
      </c:barChart>
      <c:catAx>
        <c:axId val="98875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836272"/>
        <c:crosses val="autoZero"/>
        <c:auto val="1"/>
        <c:lblAlgn val="ctr"/>
        <c:lblOffset val="100"/>
        <c:noMultiLvlLbl val="0"/>
      </c:catAx>
      <c:valAx>
        <c:axId val="98783627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75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0" i="0" baseline="0">
                <a:effectLst/>
              </a:rPr>
              <a:t>原始数据集大小</a:t>
            </a:r>
            <a:r>
              <a:rPr lang="en-US" altLang="zh-CN" sz="1800" b="0" i="0" baseline="0">
                <a:effectLst/>
              </a:rPr>
              <a:t>-cuboid</a:t>
            </a:r>
            <a:r>
              <a:rPr lang="zh-CN" altLang="en-US" sz="1800" b="0" i="0" baseline="0">
                <a:effectLst/>
              </a:rPr>
              <a:t>聚合时间（单位：</a:t>
            </a:r>
            <a:r>
              <a:rPr lang="en-US" altLang="zh-CN" sz="1800" b="0" i="0" baseline="0">
                <a:effectLst/>
              </a:rPr>
              <a:t>s</a:t>
            </a:r>
            <a:r>
              <a:rPr lang="zh-CN" altLang="en-US" sz="1800" b="0" i="0" baseline="0">
                <a:effectLst/>
              </a:rPr>
              <a:t>）柱形图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数据集：134217728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工作表1!$A$57:$C$57</c:f>
              <c:numCache>
                <c:formatCode>General</c:formatCode>
                <c:ptCount val="3"/>
                <c:pt idx="0">
                  <c:v>0.0008288</c:v>
                </c:pt>
                <c:pt idx="1">
                  <c:v>0.000103967</c:v>
                </c:pt>
                <c:pt idx="2">
                  <c:v>1.86038E-5</c:v>
                </c:pt>
              </c:numCache>
            </c:numRef>
          </c:val>
        </c:ser>
        <c:ser>
          <c:idx val="1"/>
          <c:order val="1"/>
          <c:tx>
            <c:v>数据集：262144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工作表1!$A$58:$C$58</c:f>
              <c:numCache>
                <c:formatCode>General</c:formatCode>
                <c:ptCount val="3"/>
                <c:pt idx="0">
                  <c:v>0.0008339</c:v>
                </c:pt>
                <c:pt idx="1">
                  <c:v>0.000117804</c:v>
                </c:pt>
                <c:pt idx="2">
                  <c:v>1.7815E-5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450688"/>
        <c:axId val="1058427104"/>
      </c:barChart>
      <c:catAx>
        <c:axId val="105845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427104"/>
        <c:crosses val="autoZero"/>
        <c:auto val="1"/>
        <c:lblAlgn val="ctr"/>
        <c:lblOffset val="100"/>
        <c:noMultiLvlLbl val="0"/>
      </c:catAx>
      <c:valAx>
        <c:axId val="10584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45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聚合路径优化算法有无</a:t>
            </a:r>
            <a:r>
              <a:rPr lang="en-US" altLang="zh-CN"/>
              <a:t>-cuboid</a:t>
            </a:r>
            <a:r>
              <a:rPr lang="zh-CN" altLang="en-US"/>
              <a:t>聚合时间（单位：</a:t>
            </a:r>
            <a:r>
              <a:rPr lang="en-US" altLang="zh-CN"/>
              <a:t>s</a:t>
            </a:r>
            <a:r>
              <a:rPr lang="zh-CN" altLang="en-US"/>
              <a:t>）柱形图（</a:t>
            </a:r>
            <a:r>
              <a:rPr lang="en-US" altLang="zh-CN"/>
              <a:t>13, 101, 19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使用聚合路径优化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total</c:v>
              </c:pt>
            </c:strLit>
          </c:cat>
          <c:val>
            <c:numRef>
              <c:f>工作表1!$A$74:$D$74</c:f>
              <c:numCache>
                <c:formatCode>General</c:formatCode>
                <c:ptCount val="4"/>
                <c:pt idx="0">
                  <c:v>0.000859935</c:v>
                </c:pt>
                <c:pt idx="1">
                  <c:v>2.619E-5</c:v>
                </c:pt>
                <c:pt idx="2">
                  <c:v>6.404E-6</c:v>
                </c:pt>
                <c:pt idx="3">
                  <c:v>0.000892529</c:v>
                </c:pt>
              </c:numCache>
            </c:numRef>
          </c:val>
        </c:ser>
        <c:ser>
          <c:idx val="1"/>
          <c:order val="1"/>
          <c:tx>
            <c:v>不使用聚合路径优化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total</c:v>
              </c:pt>
            </c:strLit>
          </c:cat>
          <c:val>
            <c:numRef>
              <c:f>工作表1!$A$75:$D$75</c:f>
              <c:numCache>
                <c:formatCode>General</c:formatCode>
                <c:ptCount val="4"/>
                <c:pt idx="0">
                  <c:v>0.000833913</c:v>
                </c:pt>
                <c:pt idx="1">
                  <c:v>0.00016831</c:v>
                </c:pt>
                <c:pt idx="2">
                  <c:v>1.7815E-5</c:v>
                </c:pt>
                <c:pt idx="3">
                  <c:v>0.001020038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535840"/>
        <c:axId val="1065188256"/>
      </c:barChart>
      <c:catAx>
        <c:axId val="102753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5188256"/>
        <c:crosses val="autoZero"/>
        <c:auto val="1"/>
        <c:lblAlgn val="ctr"/>
        <c:lblOffset val="100"/>
        <c:noMultiLvlLbl val="0"/>
      </c:catAx>
      <c:valAx>
        <c:axId val="1065188256"/>
        <c:scaling>
          <c:orientation val="minMax"/>
          <c:max val="0.0010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753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baseline="0">
                <a:effectLst/>
              </a:rPr>
              <a:t>聚合路径优化算法有无</a:t>
            </a:r>
            <a:r>
              <a:rPr lang="en-US" altLang="zh-CN" sz="1400" b="0" i="0" baseline="0">
                <a:effectLst/>
              </a:rPr>
              <a:t>-cuboid</a:t>
            </a:r>
            <a:r>
              <a:rPr lang="zh-CN" altLang="en-US" sz="1400" b="0" i="0" baseline="0">
                <a:effectLst/>
              </a:rPr>
              <a:t>聚合时间（单位：</a:t>
            </a:r>
            <a:r>
              <a:rPr lang="en-US" altLang="zh-CN" sz="1400" b="0" i="0" baseline="0">
                <a:effectLst/>
              </a:rPr>
              <a:t>s</a:t>
            </a:r>
            <a:r>
              <a:rPr lang="zh-CN" altLang="en-US" sz="1400" b="0" i="0" baseline="0">
                <a:effectLst/>
              </a:rPr>
              <a:t>）柱形图（</a:t>
            </a:r>
            <a:r>
              <a:rPr lang="en-US" altLang="zh-CN" sz="1400" b="0" i="0" baseline="0">
                <a:effectLst/>
              </a:rPr>
              <a:t>3, 101, 11</a:t>
            </a:r>
            <a:r>
              <a:rPr lang="zh-CN" altLang="en-US" sz="1400" b="0" i="0" baseline="0">
                <a:effectLst/>
              </a:rPr>
              <a:t>）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使用聚合路径优化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total</c:v>
              </c:pt>
            </c:strLit>
          </c:cat>
          <c:val>
            <c:numRef>
              <c:f>工作表1!$G$74:$J$74</c:f>
              <c:numCache>
                <c:formatCode>General</c:formatCode>
                <c:ptCount val="4"/>
                <c:pt idx="0">
                  <c:v>0.000277024</c:v>
                </c:pt>
                <c:pt idx="1">
                  <c:v>7.584E-6</c:v>
                </c:pt>
                <c:pt idx="2">
                  <c:v>5.732E-6</c:v>
                </c:pt>
                <c:pt idx="3">
                  <c:v>0.00029034</c:v>
                </c:pt>
              </c:numCache>
            </c:numRef>
          </c:val>
        </c:ser>
        <c:ser>
          <c:idx val="1"/>
          <c:order val="1"/>
          <c:tx>
            <c:v>未使用聚合路径优化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total</c:v>
              </c:pt>
            </c:strLit>
          </c:cat>
          <c:val>
            <c:numRef>
              <c:f>工作表1!$G$75:$J$75</c:f>
              <c:numCache>
                <c:formatCode>General</c:formatCode>
                <c:ptCount val="4"/>
                <c:pt idx="0">
                  <c:v>0.000260116</c:v>
                </c:pt>
                <c:pt idx="1">
                  <c:v>4.6094E-5</c:v>
                </c:pt>
                <c:pt idx="2">
                  <c:v>2.1583E-5</c:v>
                </c:pt>
                <c:pt idx="3">
                  <c:v>0.000327793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136208"/>
        <c:axId val="1057811344"/>
      </c:barChart>
      <c:catAx>
        <c:axId val="102713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7811344"/>
        <c:crosses val="autoZero"/>
        <c:auto val="1"/>
        <c:lblAlgn val="ctr"/>
        <c:lblOffset val="100"/>
        <c:noMultiLvlLbl val="0"/>
      </c:catAx>
      <c:valAx>
        <c:axId val="1057811344"/>
        <c:scaling>
          <c:orientation val="minMax"/>
          <c:max val="0.00033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713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Kernel</a:t>
            </a:r>
            <a:r>
              <a:rPr lang="zh-CN" altLang="en-US"/>
              <a:t>数</a:t>
            </a:r>
            <a:r>
              <a:rPr lang="en-US" altLang="zh-CN"/>
              <a:t>-</a:t>
            </a:r>
            <a:r>
              <a:rPr lang="zh-CN" altLang="en-US"/>
              <a:t>底层</a:t>
            </a:r>
            <a:r>
              <a:rPr lang="en-US" altLang="zh-CN"/>
              <a:t>cuboid</a:t>
            </a:r>
            <a:r>
              <a:rPr lang="zh-CN" altLang="en-US"/>
              <a:t>生成时间（单位：</a:t>
            </a:r>
            <a:r>
              <a:rPr lang="en-US" altLang="zh-CN"/>
              <a:t>s</a:t>
            </a:r>
            <a:r>
              <a:rPr lang="zh-CN" altLang="en-US"/>
              <a:t>）柱形图（数据集：</a:t>
            </a:r>
            <a:r>
              <a:rPr lang="en-US" altLang="zh-CN"/>
              <a:t>134217728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工作表1!$A$91:$E$91</c:f>
              <c:numCache>
                <c:formatCode>General</c:formatCode>
                <c:ptCount val="5"/>
                <c:pt idx="0">
                  <c:v>2.810336</c:v>
                </c:pt>
                <c:pt idx="1">
                  <c:v>1.798154</c:v>
                </c:pt>
                <c:pt idx="2">
                  <c:v>1.701672</c:v>
                </c:pt>
                <c:pt idx="3">
                  <c:v>1.718508</c:v>
                </c:pt>
                <c:pt idx="4">
                  <c:v>1.62508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343248"/>
        <c:axId val="1058463568"/>
      </c:barChart>
      <c:catAx>
        <c:axId val="105834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463568"/>
        <c:crosses val="autoZero"/>
        <c:auto val="1"/>
        <c:lblAlgn val="ctr"/>
        <c:lblOffset val="100"/>
        <c:noMultiLvlLbl val="0"/>
      </c:catAx>
      <c:valAx>
        <c:axId val="10584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3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数据集大小</a:t>
            </a:r>
            <a:r>
              <a:rPr lang="en-US" altLang="zh-CN"/>
              <a:t>-</a:t>
            </a:r>
            <a:r>
              <a:rPr lang="zh-CN" altLang="en-US"/>
              <a:t>底层</a:t>
            </a:r>
            <a:r>
              <a:rPr lang="en-US" altLang="zh-CN"/>
              <a:t>cuboid</a:t>
            </a:r>
            <a:r>
              <a:rPr lang="zh-CN" altLang="en-US"/>
              <a:t>生成时间（单位：</a:t>
            </a:r>
            <a:r>
              <a:rPr lang="en-US" altLang="zh-CN"/>
              <a:t>s</a:t>
            </a:r>
            <a:r>
              <a:rPr lang="zh-CN" altLang="en-US"/>
              <a:t>）线性图（</a:t>
            </a:r>
            <a:r>
              <a:rPr lang="en-US" altLang="zh-CN"/>
              <a:t>xy</a:t>
            </a:r>
            <a:r>
              <a:rPr lang="zh-CN" altLang="en-US"/>
              <a:t>坐标轴均幂处理）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工作表1!$A$107:$A$110</c:f>
              <c:numCache>
                <c:formatCode>General</c:formatCode>
                <c:ptCount val="4"/>
                <c:pt idx="0">
                  <c:v>262144.0</c:v>
                </c:pt>
                <c:pt idx="1">
                  <c:v>2.097152E6</c:v>
                </c:pt>
                <c:pt idx="2">
                  <c:v>1.6777216E7</c:v>
                </c:pt>
                <c:pt idx="3">
                  <c:v>1.34217728E8</c:v>
                </c:pt>
              </c:numCache>
            </c:numRef>
          </c:xVal>
          <c:yVal>
            <c:numRef>
              <c:f>工作表1!$B$107:$B$110</c:f>
              <c:numCache>
                <c:formatCode>General</c:formatCode>
                <c:ptCount val="4"/>
                <c:pt idx="0">
                  <c:v>0.0260788</c:v>
                </c:pt>
                <c:pt idx="1">
                  <c:v>0.06733256</c:v>
                </c:pt>
                <c:pt idx="2">
                  <c:v>0.3991288</c:v>
                </c:pt>
                <c:pt idx="3">
                  <c:v>1.62508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704896"/>
        <c:axId val="1026978064"/>
      </c:scatterChart>
      <c:valAx>
        <c:axId val="1057704896"/>
        <c:scaling>
          <c:logBase val="2.0"/>
          <c:orientation val="minMax"/>
          <c:min val="26214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978064"/>
        <c:crosses val="autoZero"/>
        <c:crossBetween val="midCat"/>
      </c:valAx>
      <c:valAx>
        <c:axId val="1026978064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770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Kernel</a:t>
            </a:r>
            <a:r>
              <a:rPr lang="zh-CN" altLang="en-US"/>
              <a:t>数</a:t>
            </a:r>
            <a:r>
              <a:rPr lang="en-US" altLang="zh-CN"/>
              <a:t>-</a:t>
            </a:r>
            <a:r>
              <a:rPr lang="zh-CN" altLang="en-US"/>
              <a:t>底层</a:t>
            </a:r>
            <a:r>
              <a:rPr lang="en-US" altLang="zh-CN"/>
              <a:t>cuboid</a:t>
            </a:r>
            <a:r>
              <a:rPr lang="zh-CN" altLang="en-US"/>
              <a:t>生成时间（单位：</a:t>
            </a:r>
            <a:r>
              <a:rPr lang="en-US" altLang="zh-CN"/>
              <a:t>s</a:t>
            </a:r>
            <a:r>
              <a:rPr lang="zh-CN" altLang="en-US"/>
              <a:t>）（数据集：</a:t>
            </a:r>
            <a:r>
              <a:rPr lang="en-US" altLang="zh-CN"/>
              <a:t>16777216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工作表1!$A$126:$A$130</c:f>
              <c:numCache>
                <c:formatCode>General</c:formatCode>
                <c:ptCount val="5"/>
                <c:pt idx="0">
                  <c:v>12.0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工作表1!$G$126:$G$130</c:f>
              <c:numCache>
                <c:formatCode>General</c:formatCode>
                <c:ptCount val="5"/>
                <c:pt idx="0">
                  <c:v>7.503698</c:v>
                </c:pt>
                <c:pt idx="1">
                  <c:v>6.260434</c:v>
                </c:pt>
                <c:pt idx="2">
                  <c:v>3.76185</c:v>
                </c:pt>
                <c:pt idx="3">
                  <c:v>2.971528</c:v>
                </c:pt>
                <c:pt idx="4">
                  <c:v>2.967586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453280"/>
        <c:axId val="1057026704"/>
      </c:barChart>
      <c:catAx>
        <c:axId val="105845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7026704"/>
        <c:crosses val="autoZero"/>
        <c:auto val="1"/>
        <c:lblAlgn val="ctr"/>
        <c:lblOffset val="100"/>
        <c:noMultiLvlLbl val="0"/>
      </c:catAx>
      <c:valAx>
        <c:axId val="10570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45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Kernel</a:t>
            </a:r>
            <a:r>
              <a:rPr lang="zh-CN" altLang="en-US"/>
              <a:t>数</a:t>
            </a:r>
            <a:r>
              <a:rPr lang="en-US" altLang="zh-CN"/>
              <a:t>-</a:t>
            </a:r>
            <a:r>
              <a:rPr lang="zh-CN" altLang="en-US"/>
              <a:t>从</a:t>
            </a:r>
            <a:r>
              <a:rPr lang="en-US" altLang="zh-CN"/>
              <a:t>cuboid</a:t>
            </a:r>
            <a:r>
              <a:rPr lang="zh-CN" altLang="en-US"/>
              <a:t>到</a:t>
            </a:r>
            <a:r>
              <a:rPr lang="en-US" altLang="zh-CN"/>
              <a:t>cuboid</a:t>
            </a:r>
            <a:r>
              <a:rPr lang="zh-CN" altLang="en-US"/>
              <a:t>聚合时间（单位：</a:t>
            </a:r>
            <a:r>
              <a:rPr lang="en-US" altLang="zh-CN"/>
              <a:t>s</a:t>
            </a:r>
            <a:r>
              <a:rPr lang="zh-CN" altLang="en-US"/>
              <a:t>）柱形图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(工作表1!$A$146,工作表1!$A$153,工作表1!$A$160,工作表1!$A$167)</c:f>
              <c:numCache>
                <c:formatCode>General</c:formatCode>
                <c:ptCount val="4"/>
                <c:pt idx="0">
                  <c:v>12.0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(工作表1!$D$152,工作表1!$D$159,工作表1!$D$166,工作表1!$D$173)</c:f>
              <c:numCache>
                <c:formatCode>General</c:formatCode>
                <c:ptCount val="4"/>
                <c:pt idx="0">
                  <c:v>0.0444904384</c:v>
                </c:pt>
                <c:pt idx="1">
                  <c:v>0.036521843</c:v>
                </c:pt>
                <c:pt idx="2">
                  <c:v>0.024351568</c:v>
                </c:pt>
                <c:pt idx="3">
                  <c:v>0.015527524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578736"/>
        <c:axId val="1027430496"/>
      </c:barChart>
      <c:catAx>
        <c:axId val="102757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7430496"/>
        <c:crosses val="autoZero"/>
        <c:auto val="1"/>
        <c:lblAlgn val="ctr"/>
        <c:lblOffset val="100"/>
        <c:noMultiLvlLbl val="0"/>
      </c:catAx>
      <c:valAx>
        <c:axId val="10274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757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CPU-GPU</a:t>
            </a:r>
            <a:r>
              <a:rPr lang="zh-CN" altLang="en-US"/>
              <a:t>读取文件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工作表1!$K$127:$K$130</c:f>
              <c:numCache>
                <c:formatCode>General</c:formatCode>
                <c:ptCount val="4"/>
                <c:pt idx="0">
                  <c:v>3.479769E6</c:v>
                </c:pt>
                <c:pt idx="1">
                  <c:v>2.7841394E7</c:v>
                </c:pt>
                <c:pt idx="2">
                  <c:v>2.22741273E8</c:v>
                </c:pt>
                <c:pt idx="3">
                  <c:v>1.781907696E9</c:v>
                </c:pt>
              </c:numCache>
            </c:numRef>
          </c:xVal>
          <c:yVal>
            <c:numRef>
              <c:f>工作表1!$O$127:$O$130</c:f>
              <c:numCache>
                <c:formatCode>General</c:formatCode>
                <c:ptCount val="4"/>
                <c:pt idx="0">
                  <c:v>0.0813523333333333</c:v>
                </c:pt>
                <c:pt idx="1">
                  <c:v>0.387549333333333</c:v>
                </c:pt>
                <c:pt idx="2">
                  <c:v>2.85776</c:v>
                </c:pt>
                <c:pt idx="3">
                  <c:v>22.50419833333333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897552"/>
        <c:axId val="1061236048"/>
      </c:scatterChart>
      <c:valAx>
        <c:axId val="103089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1236048"/>
        <c:crosses val="autoZero"/>
        <c:crossBetween val="midCat"/>
      </c:valAx>
      <c:valAx>
        <c:axId val="10612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089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178326</xdr:colOff>
      <xdr:row>58</xdr:row>
      <xdr:rowOff>168193</xdr:rowOff>
    </xdr:from>
    <xdr:to>
      <xdr:col>5</xdr:col>
      <xdr:colOff>163849</xdr:colOff>
      <xdr:row>72</xdr:row>
      <xdr:rowOff>55538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250710</xdr:colOff>
      <xdr:row>58</xdr:row>
      <xdr:rowOff>161612</xdr:rowOff>
    </xdr:from>
    <xdr:to>
      <xdr:col>10</xdr:col>
      <xdr:colOff>446804</xdr:colOff>
      <xdr:row>72</xdr:row>
      <xdr:rowOff>48957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250710</xdr:colOff>
      <xdr:row>75</xdr:row>
      <xdr:rowOff>95809</xdr:rowOff>
    </xdr:from>
    <xdr:to>
      <xdr:col>5</xdr:col>
      <xdr:colOff>236233</xdr:colOff>
      <xdr:row>88</xdr:row>
      <xdr:rowOff>187143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573144</xdr:colOff>
      <xdr:row>75</xdr:row>
      <xdr:rowOff>108970</xdr:rowOff>
    </xdr:from>
    <xdr:to>
      <xdr:col>10</xdr:col>
      <xdr:colOff>769238</xdr:colOff>
      <xdr:row>88</xdr:row>
      <xdr:rowOff>200305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237549</xdr:colOff>
      <xdr:row>91</xdr:row>
      <xdr:rowOff>155032</xdr:rowOff>
    </xdr:from>
    <xdr:to>
      <xdr:col>5</xdr:col>
      <xdr:colOff>223072</xdr:colOff>
      <xdr:row>105</xdr:row>
      <xdr:rowOff>42377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152005</xdr:colOff>
      <xdr:row>110</xdr:row>
      <xdr:rowOff>89229</xdr:rowOff>
    </xdr:from>
    <xdr:to>
      <xdr:col>5</xdr:col>
      <xdr:colOff>137528</xdr:colOff>
      <xdr:row>123</xdr:row>
      <xdr:rowOff>180564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148716</xdr:colOff>
      <xdr:row>130</xdr:row>
      <xdr:rowOff>161612</xdr:rowOff>
    </xdr:from>
    <xdr:to>
      <xdr:col>5</xdr:col>
      <xdr:colOff>134239</xdr:colOff>
      <xdr:row>144</xdr:row>
      <xdr:rowOff>48957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713377</xdr:colOff>
      <xdr:row>146</xdr:row>
      <xdr:rowOff>54725</xdr:rowOff>
    </xdr:from>
    <xdr:to>
      <xdr:col>10</xdr:col>
      <xdr:colOff>4319</xdr:colOff>
      <xdr:row>159</xdr:row>
      <xdr:rowOff>146058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115261</xdr:colOff>
      <xdr:row>112</xdr:row>
      <xdr:rowOff>15794</xdr:rowOff>
    </xdr:from>
    <xdr:to>
      <xdr:col>11</xdr:col>
      <xdr:colOff>98185</xdr:colOff>
      <xdr:row>125</xdr:row>
      <xdr:rowOff>122944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115260</xdr:colOff>
      <xdr:row>180</xdr:row>
      <xdr:rowOff>90500</xdr:rowOff>
    </xdr:from>
    <xdr:to>
      <xdr:col>10</xdr:col>
      <xdr:colOff>226252</xdr:colOff>
      <xdr:row>193</xdr:row>
      <xdr:rowOff>197650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584841</xdr:colOff>
      <xdr:row>295</xdr:row>
      <xdr:rowOff>53147</xdr:rowOff>
    </xdr:from>
    <xdr:to>
      <xdr:col>6</xdr:col>
      <xdr:colOff>12807</xdr:colOff>
      <xdr:row>307</xdr:row>
      <xdr:rowOff>64246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227320</xdr:colOff>
      <xdr:row>303</xdr:row>
      <xdr:rowOff>117181</xdr:rowOff>
    </xdr:from>
    <xdr:to>
      <xdr:col>3</xdr:col>
      <xdr:colOff>103522</xdr:colOff>
      <xdr:row>315</xdr:row>
      <xdr:rowOff>170969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8"/>
  <sheetViews>
    <sheetView tabSelected="1" showRuler="0" topLeftCell="A300" zoomScale="119" zoomScaleNormal="193" zoomScalePageLayoutView="193" workbookViewId="0">
      <selection activeCell="C303" sqref="C303"/>
    </sheetView>
  </sheetViews>
  <sheetFormatPr baseColWidth="10" defaultRowHeight="18" x14ac:dyDescent="0.25"/>
  <cols>
    <col min="1" max="1" width="12" style="1" bestFit="1" customWidth="1"/>
    <col min="2" max="4" width="24.83203125" style="1" bestFit="1" customWidth="1"/>
    <col min="5" max="5" width="32" style="1" customWidth="1"/>
    <col min="6" max="6" width="10.83203125" style="1" customWidth="1"/>
    <col min="7" max="8" width="14.33203125" style="1" bestFit="1" customWidth="1"/>
    <col min="9" max="9" width="13.6640625" style="1" bestFit="1" customWidth="1"/>
    <col min="10" max="10" width="11" style="1" bestFit="1" customWidth="1"/>
    <col min="11" max="11" width="13.1640625" style="1" bestFit="1" customWidth="1"/>
    <col min="12" max="13" width="14.33203125" style="1" bestFit="1" customWidth="1"/>
    <col min="14" max="15" width="11" style="1" bestFit="1" customWidth="1"/>
    <col min="16" max="16384" width="10.83203125" style="1"/>
  </cols>
  <sheetData>
    <row r="1" spans="1:11" x14ac:dyDescent="0.25">
      <c r="A1" s="1">
        <v>166.29</v>
      </c>
      <c r="B1" s="1">
        <v>21.0871</v>
      </c>
      <c r="C1" s="1">
        <v>2.7441200000000001</v>
      </c>
      <c r="D1" s="1">
        <v>0.350161</v>
      </c>
    </row>
    <row r="2" spans="1:11" x14ac:dyDescent="0.25">
      <c r="A2" s="1">
        <v>168.18100000000001</v>
      </c>
      <c r="B2" s="1">
        <v>20.954499999999999</v>
      </c>
      <c r="C2" s="1">
        <v>2.7265199999999998</v>
      </c>
      <c r="D2" s="1">
        <v>0.34717599999999998</v>
      </c>
    </row>
    <row r="3" spans="1:11" x14ac:dyDescent="0.25">
      <c r="A3" s="1">
        <v>167.26400000000001</v>
      </c>
      <c r="B3" s="1">
        <v>21.070699999999999</v>
      </c>
      <c r="C3" s="1">
        <v>2.7533099999999999</v>
      </c>
      <c r="D3" s="1">
        <v>0.354771</v>
      </c>
    </row>
    <row r="4" spans="1:11" x14ac:dyDescent="0.25">
      <c r="A4" s="1">
        <v>165.62799999999999</v>
      </c>
      <c r="B4" s="1">
        <v>21.382100000000001</v>
      </c>
      <c r="C4" s="1">
        <v>2.7442700000000002</v>
      </c>
      <c r="D4" s="1">
        <v>0.35381800000000002</v>
      </c>
    </row>
    <row r="5" spans="1:11" x14ac:dyDescent="0.25">
      <c r="A5" s="1">
        <v>165.983</v>
      </c>
      <c r="B5" s="1">
        <v>21.071200000000001</v>
      </c>
      <c r="C5" s="1">
        <v>2.74024</v>
      </c>
      <c r="D5" s="1">
        <v>0.35412199999999999</v>
      </c>
    </row>
    <row r="6" spans="1:11" x14ac:dyDescent="0.25">
      <c r="A6" s="1">
        <f>AVERAGE(A1:A5)</f>
        <v>166.66919999999999</v>
      </c>
      <c r="B6" s="1">
        <f>AVERAGE(B1:B5)</f>
        <v>21.113120000000002</v>
      </c>
      <c r="C6" s="1">
        <f t="shared" ref="C6:D6" si="0">AVERAGE(C1:C5)</f>
        <v>2.7416919999999996</v>
      </c>
      <c r="D6" s="1">
        <f t="shared" si="0"/>
        <v>0.35200960000000003</v>
      </c>
    </row>
    <row r="8" spans="1:11" x14ac:dyDescent="0.25">
      <c r="A8" s="1">
        <v>136</v>
      </c>
      <c r="B8" s="1">
        <v>4</v>
      </c>
    </row>
    <row r="9" spans="1:11" x14ac:dyDescent="0.25">
      <c r="A9" s="1">
        <v>31</v>
      </c>
      <c r="B9" s="1">
        <v>79</v>
      </c>
      <c r="C9" s="1">
        <v>11</v>
      </c>
      <c r="D9" s="1">
        <f>A9*B9*C9</f>
        <v>26939</v>
      </c>
      <c r="E9" s="1">
        <f>$A$8*D9+$B$8</f>
        <v>3663708</v>
      </c>
      <c r="F9" s="1">
        <v>2.7969500000000001E-2</v>
      </c>
      <c r="G9" s="1">
        <v>2.6116799999999999E-2</v>
      </c>
      <c r="H9" s="1">
        <v>2.4481699999999999E-2</v>
      </c>
      <c r="I9" s="1">
        <v>3.2162099999999999E-2</v>
      </c>
      <c r="J9" s="1">
        <v>2.6216699999999999E-2</v>
      </c>
      <c r="K9" s="1">
        <f>AVERAGE(F9:J9)</f>
        <v>2.7389360000000001E-2</v>
      </c>
    </row>
    <row r="10" spans="1:11" x14ac:dyDescent="0.25">
      <c r="A10" s="1">
        <v>19</v>
      </c>
      <c r="B10" s="1">
        <v>101</v>
      </c>
      <c r="C10" s="1">
        <v>13</v>
      </c>
      <c r="D10" s="1">
        <f>A10*B10*C10</f>
        <v>24947</v>
      </c>
      <c r="E10" s="1">
        <f>$A$8*D10+$B$8</f>
        <v>3392796</v>
      </c>
    </row>
    <row r="11" spans="1:11" x14ac:dyDescent="0.25">
      <c r="A11" s="1">
        <v>7</v>
      </c>
      <c r="B11" s="1">
        <v>11</v>
      </c>
      <c r="C11" s="1">
        <v>13</v>
      </c>
      <c r="D11" s="1">
        <f>A11*B11*C11</f>
        <v>1001</v>
      </c>
      <c r="E11" s="1">
        <f t="shared" ref="E11:E12" si="1">$A$8*D11+$B$8</f>
        <v>136140</v>
      </c>
      <c r="F11" s="1">
        <v>8.7279700000000003E-4</v>
      </c>
      <c r="G11" s="1">
        <v>7.2154800000000002E-4</v>
      </c>
      <c r="H11" s="1">
        <v>8.3918299999999996E-4</v>
      </c>
      <c r="I11" s="1">
        <v>8.4719600000000004E-4</v>
      </c>
      <c r="J11" s="1">
        <v>7.70078E-4</v>
      </c>
      <c r="K11" s="1">
        <f t="shared" ref="K11" si="2">AVERAGE(F11:J11)</f>
        <v>8.1016040000000001E-4</v>
      </c>
    </row>
    <row r="12" spans="1:11" x14ac:dyDescent="0.25">
      <c r="A12" s="1">
        <v>3</v>
      </c>
      <c r="B12" s="1">
        <v>5</v>
      </c>
      <c r="C12" s="1">
        <v>7</v>
      </c>
      <c r="D12" s="1">
        <f>A12*B12*C12</f>
        <v>105</v>
      </c>
      <c r="E12" s="1">
        <f t="shared" si="1"/>
        <v>14284</v>
      </c>
    </row>
    <row r="14" spans="1:11" x14ac:dyDescent="0.25">
      <c r="A14" s="1">
        <v>1</v>
      </c>
      <c r="B14" s="1">
        <v>2.7637100000000001</v>
      </c>
      <c r="C14" s="1">
        <v>2.9511099999999999</v>
      </c>
      <c r="D14" s="1">
        <v>2.9335499999999999</v>
      </c>
      <c r="E14" s="1">
        <v>2.6424699999999999</v>
      </c>
      <c r="F14" s="1">
        <v>2.76084</v>
      </c>
      <c r="G14" s="1">
        <f>AVERAGE(B14:F14)</f>
        <v>2.8103359999999999</v>
      </c>
    </row>
    <row r="15" spans="1:11" x14ac:dyDescent="0.25">
      <c r="A15" s="1">
        <v>2</v>
      </c>
      <c r="B15" s="1">
        <v>1.7837000000000001</v>
      </c>
      <c r="C15" s="1">
        <v>1.78552</v>
      </c>
      <c r="D15" s="1">
        <v>1.84172</v>
      </c>
      <c r="E15" s="1">
        <v>1.7930699999999999</v>
      </c>
      <c r="F15" s="1">
        <v>1.7867599999999999</v>
      </c>
      <c r="G15" s="1">
        <f t="shared" ref="G15:G23" si="3">AVERAGE(B15:F15)</f>
        <v>1.7981539999999998</v>
      </c>
    </row>
    <row r="16" spans="1:11" x14ac:dyDescent="0.25">
      <c r="A16" s="1">
        <v>4</v>
      </c>
      <c r="B16" s="1">
        <v>1.68628</v>
      </c>
      <c r="C16" s="1">
        <v>1.7434799999999999</v>
      </c>
      <c r="D16" s="1">
        <v>1.70278</v>
      </c>
      <c r="E16" s="1">
        <v>1.6884399999999999</v>
      </c>
      <c r="F16" s="1">
        <v>1.6873800000000001</v>
      </c>
      <c r="G16" s="1">
        <f t="shared" si="3"/>
        <v>1.7016719999999999</v>
      </c>
    </row>
    <row r="17" spans="1:14" x14ac:dyDescent="0.25">
      <c r="A17" s="1">
        <v>8</v>
      </c>
      <c r="B17" s="1">
        <v>1.6958899999999999</v>
      </c>
      <c r="C17" s="1">
        <v>1.7083900000000001</v>
      </c>
      <c r="D17" s="1">
        <v>1.71671</v>
      </c>
      <c r="E17" s="1">
        <v>1.76871</v>
      </c>
      <c r="F17" s="1">
        <v>1.7028399999999999</v>
      </c>
      <c r="G17" s="1">
        <f t="shared" si="3"/>
        <v>1.7185079999999999</v>
      </c>
    </row>
    <row r="18" spans="1:14" x14ac:dyDescent="0.25">
      <c r="A18" s="1">
        <v>16</v>
      </c>
      <c r="B18" s="1">
        <v>1.6270899999999999</v>
      </c>
      <c r="C18" s="1">
        <v>1.64252</v>
      </c>
      <c r="D18" s="1">
        <v>1.61145</v>
      </c>
      <c r="E18" s="1">
        <v>1.6164000000000001</v>
      </c>
      <c r="F18" s="1">
        <v>1.6279399999999999</v>
      </c>
      <c r="G18" s="1">
        <f t="shared" si="3"/>
        <v>1.6250800000000001</v>
      </c>
    </row>
    <row r="20" spans="1:14" x14ac:dyDescent="0.25">
      <c r="A20" s="1">
        <v>262144</v>
      </c>
      <c r="B20" s="1">
        <v>2.3454599999999999E-2</v>
      </c>
      <c r="C20" s="1">
        <v>2.26307E-2</v>
      </c>
      <c r="D20" s="1">
        <v>3.2100499999999997E-2</v>
      </c>
      <c r="E20" s="1">
        <v>2.25455E-2</v>
      </c>
      <c r="F20" s="1">
        <v>2.96627E-2</v>
      </c>
      <c r="G20" s="1">
        <f t="shared" si="3"/>
        <v>2.6078800000000003E-2</v>
      </c>
    </row>
    <row r="21" spans="1:14" x14ac:dyDescent="0.25">
      <c r="A21" s="1">
        <f>A20*8</f>
        <v>2097152</v>
      </c>
      <c r="B21" s="1">
        <v>6.9671200000000003E-2</v>
      </c>
      <c r="C21" s="1">
        <v>6.6352900000000006E-2</v>
      </c>
      <c r="D21" s="1">
        <v>6.6452700000000003E-2</v>
      </c>
      <c r="E21" s="1">
        <v>6.5012200000000006E-2</v>
      </c>
      <c r="F21" s="1">
        <v>6.9173799999999994E-2</v>
      </c>
      <c r="G21" s="1">
        <f t="shared" si="3"/>
        <v>6.7332560000000014E-2</v>
      </c>
    </row>
    <row r="22" spans="1:14" x14ac:dyDescent="0.25">
      <c r="A22" s="1">
        <f t="shared" ref="A22:A23" si="4">A21*8</f>
        <v>16777216</v>
      </c>
      <c r="B22" s="1">
        <v>0.38750099999999998</v>
      </c>
      <c r="C22" s="1">
        <v>0.40157300000000001</v>
      </c>
      <c r="D22" s="1">
        <v>0.38253700000000002</v>
      </c>
      <c r="E22" s="1">
        <v>0.41733399999999998</v>
      </c>
      <c r="F22" s="1">
        <v>0.40669899999999998</v>
      </c>
      <c r="G22" s="1">
        <f t="shared" si="3"/>
        <v>0.39912879999999995</v>
      </c>
    </row>
    <row r="23" spans="1:14" x14ac:dyDescent="0.25">
      <c r="A23" s="1">
        <f t="shared" si="4"/>
        <v>134217728</v>
      </c>
      <c r="B23" s="1">
        <v>1.6270899999999999</v>
      </c>
      <c r="C23" s="1">
        <v>1.64252</v>
      </c>
      <c r="D23" s="1">
        <v>1.61145</v>
      </c>
      <c r="E23" s="1">
        <v>1.6164000000000001</v>
      </c>
      <c r="F23" s="1">
        <v>1.6279399999999999</v>
      </c>
      <c r="G23" s="1">
        <f t="shared" si="3"/>
        <v>1.6250800000000001</v>
      </c>
    </row>
    <row r="25" spans="1:14" x14ac:dyDescent="0.25">
      <c r="A25" s="1">
        <v>24947</v>
      </c>
      <c r="B25" s="1">
        <v>134217728</v>
      </c>
      <c r="C25" s="1" t="s">
        <v>0</v>
      </c>
      <c r="F25" s="1">
        <v>24947</v>
      </c>
      <c r="G25" s="1">
        <v>262144</v>
      </c>
      <c r="H25" s="1" t="s">
        <v>0</v>
      </c>
      <c r="K25" s="1">
        <v>3333</v>
      </c>
      <c r="L25" s="1">
        <v>262144</v>
      </c>
      <c r="M25" s="1" t="s">
        <v>0</v>
      </c>
    </row>
    <row r="26" spans="1:14" x14ac:dyDescent="0.25">
      <c r="A26" s="1">
        <v>8.4996699999999998E-4</v>
      </c>
      <c r="B26" s="1">
        <f>2.2376/100000</f>
        <v>2.2376000000000001E-5</v>
      </c>
      <c r="C26" s="1">
        <f>7.304/1000000</f>
        <v>7.3039999999999999E-6</v>
      </c>
      <c r="D26" s="1">
        <f t="shared" ref="D26:D31" si="5">SUM(A26:C26)</f>
        <v>8.7964699999999989E-4</v>
      </c>
      <c r="F26" s="1">
        <v>8.52248E-4</v>
      </c>
      <c r="G26" s="1">
        <f>2.4348/100000</f>
        <v>2.4348000000000001E-5</v>
      </c>
      <c r="H26" s="1">
        <f>5.477/1000000</f>
        <v>5.4770000000000002E-6</v>
      </c>
      <c r="I26" s="1">
        <f>SUM(F26:H26)</f>
        <v>8.8207300000000004E-4</v>
      </c>
      <c r="K26" s="1">
        <v>2.6577000000000003E-4</v>
      </c>
      <c r="L26" s="1">
        <f>6.192/1000000</f>
        <v>6.1920000000000002E-6</v>
      </c>
      <c r="M26" s="1">
        <f>5.146/1000000</f>
        <v>5.1459999999999995E-6</v>
      </c>
      <c r="N26" s="1">
        <f>SUM(K26:M26)</f>
        <v>2.7710800000000003E-4</v>
      </c>
    </row>
    <row r="27" spans="1:14" x14ac:dyDescent="0.25">
      <c r="A27" s="1">
        <v>8.5836300000000001E-4</v>
      </c>
      <c r="B27" s="1">
        <f>2.7017/100000</f>
        <v>2.7017000000000002E-5</v>
      </c>
      <c r="C27" s="1">
        <f>5.823/1000000</f>
        <v>5.823E-6</v>
      </c>
      <c r="D27" s="1">
        <f t="shared" si="5"/>
        <v>8.9120300000000003E-4</v>
      </c>
      <c r="F27" s="1">
        <v>8.5793399999999998E-4</v>
      </c>
      <c r="G27" s="1">
        <f>3.3282/100000</f>
        <v>3.3281999999999997E-5</v>
      </c>
      <c r="H27" s="1">
        <f>5.853/1000000</f>
        <v>5.8529999999999997E-6</v>
      </c>
      <c r="I27" s="1">
        <f t="shared" ref="I27:I39" si="6">SUM(F27:H27)</f>
        <v>8.9706900000000001E-4</v>
      </c>
      <c r="K27" s="1">
        <v>2.6943399999999998E-4</v>
      </c>
      <c r="L27" s="1">
        <f>9.971/1000000</f>
        <v>9.9709999999999999E-6</v>
      </c>
      <c r="M27" s="1">
        <f>5.301/1000000</f>
        <v>5.3010000000000006E-6</v>
      </c>
      <c r="N27" s="1">
        <f t="shared" ref="N27:N31" si="7">SUM(K27:M27)</f>
        <v>2.8470599999999997E-4</v>
      </c>
    </row>
    <row r="28" spans="1:14" x14ac:dyDescent="0.25">
      <c r="A28" s="1">
        <v>8.4171699999999996E-4</v>
      </c>
      <c r="B28" s="1">
        <f>2.8714/100000</f>
        <v>2.8714E-5</v>
      </c>
      <c r="C28" s="1">
        <f>5.564/1000000</f>
        <v>5.5640000000000004E-6</v>
      </c>
      <c r="D28" s="1">
        <f t="shared" si="5"/>
        <v>8.7599499999999996E-4</v>
      </c>
      <c r="F28" s="1">
        <v>8.53246E-4</v>
      </c>
      <c r="G28" s="1">
        <f>2.768/100000</f>
        <v>2.7679999999999999E-5</v>
      </c>
      <c r="H28" s="1">
        <f>7.249/1000000</f>
        <v>7.2489999999999995E-6</v>
      </c>
      <c r="I28" s="1">
        <f t="shared" si="6"/>
        <v>8.8817499999999995E-4</v>
      </c>
      <c r="K28" s="1">
        <v>2.9135000000000001E-4</v>
      </c>
      <c r="L28" s="1">
        <f>8.558/1000000</f>
        <v>8.5580000000000001E-6</v>
      </c>
      <c r="M28" s="1">
        <f>7.1/1000000</f>
        <v>7.0999999999999998E-6</v>
      </c>
      <c r="N28" s="1">
        <f t="shared" si="7"/>
        <v>3.07008E-4</v>
      </c>
    </row>
    <row r="29" spans="1:14" x14ac:dyDescent="0.25">
      <c r="A29" s="1">
        <v>8.5839E-4</v>
      </c>
      <c r="B29" s="1">
        <f>3.5885/100000</f>
        <v>3.5884999999999999E-5</v>
      </c>
      <c r="C29" s="1">
        <f>5.363/1000000</f>
        <v>5.3630000000000002E-6</v>
      </c>
      <c r="D29" s="1">
        <f t="shared" si="5"/>
        <v>8.9963800000000002E-4</v>
      </c>
      <c r="F29" s="1">
        <v>8.7358800000000001E-4</v>
      </c>
      <c r="G29" s="1">
        <f>2.2097/100000</f>
        <v>2.2097000000000002E-5</v>
      </c>
      <c r="H29" s="1">
        <f>6.894/1000000</f>
        <v>6.8940000000000004E-6</v>
      </c>
      <c r="I29" s="1">
        <f t="shared" si="6"/>
        <v>9.0257900000000003E-4</v>
      </c>
      <c r="K29" s="1">
        <f>0.000290625</f>
        <v>2.9062499999999998E-4</v>
      </c>
      <c r="L29" s="1">
        <f>6.748/1000000</f>
        <v>6.7480000000000004E-6</v>
      </c>
      <c r="M29" s="1">
        <f>5.033/1000000</f>
        <v>5.0330000000000008E-6</v>
      </c>
      <c r="N29" s="1">
        <f t="shared" si="7"/>
        <v>3.0240599999999996E-4</v>
      </c>
    </row>
    <row r="30" spans="1:14" x14ac:dyDescent="0.25">
      <c r="A30" s="1">
        <v>8.5075000000000005E-4</v>
      </c>
      <c r="B30" s="1">
        <f>2.803/100000</f>
        <v>2.8030000000000001E-5</v>
      </c>
      <c r="C30" s="1">
        <f>6.69/1000000</f>
        <v>6.6900000000000003E-6</v>
      </c>
      <c r="D30" s="1">
        <f t="shared" si="5"/>
        <v>8.8546999999999996E-4</v>
      </c>
      <c r="F30" s="1">
        <v>8.6265799999999998E-4</v>
      </c>
      <c r="G30" s="1">
        <f>2.3544/100000</f>
        <v>2.3544E-5</v>
      </c>
      <c r="H30" s="1">
        <f>6.545/1000000</f>
        <v>6.545E-6</v>
      </c>
      <c r="I30" s="1">
        <f t="shared" si="6"/>
        <v>8.9274700000000005E-4</v>
      </c>
      <c r="K30" s="1">
        <v>2.6794200000000002E-4</v>
      </c>
      <c r="L30" s="1">
        <f>6.454/1000000</f>
        <v>6.4539999999999995E-6</v>
      </c>
      <c r="M30" s="1">
        <f>6.08/1000000</f>
        <v>6.0800000000000002E-6</v>
      </c>
      <c r="N30" s="1">
        <f t="shared" si="7"/>
        <v>2.8047599999999999E-4</v>
      </c>
    </row>
    <row r="31" spans="1:14" x14ac:dyDescent="0.25">
      <c r="A31" s="1">
        <f>AVERAGE(A26:A30)</f>
        <v>8.5183740000000006E-4</v>
      </c>
      <c r="B31" s="1">
        <f>AVERAGE(B26:B30)</f>
        <v>2.8404400000000002E-5</v>
      </c>
      <c r="C31" s="1">
        <f>AVERAGE(C26:C30)</f>
        <v>6.1488000000000003E-6</v>
      </c>
      <c r="D31" s="1">
        <f t="shared" si="5"/>
        <v>8.8639060000000013E-4</v>
      </c>
      <c r="F31" s="1">
        <f t="shared" ref="F31:H31" si="8">AVERAGE(F26:F30)</f>
        <v>8.5993479999999997E-4</v>
      </c>
      <c r="G31" s="1">
        <f t="shared" si="8"/>
        <v>2.6190199999999999E-5</v>
      </c>
      <c r="H31" s="1">
        <f t="shared" si="8"/>
        <v>6.4035999999999991E-6</v>
      </c>
      <c r="I31" s="1">
        <f t="shared" si="6"/>
        <v>8.9252859999999995E-4</v>
      </c>
      <c r="K31" s="1">
        <f t="shared" ref="K31" si="9">AVERAGE(K26:K30)</f>
        <v>2.7702420000000002E-4</v>
      </c>
      <c r="L31" s="1">
        <f t="shared" ref="L31" si="10">AVERAGE(L26:L30)</f>
        <v>7.5846000000000019E-6</v>
      </c>
      <c r="M31" s="1">
        <f t="shared" ref="M31" si="11">AVERAGE(M26:M30)</f>
        <v>5.7320000000000003E-6</v>
      </c>
      <c r="N31" s="1">
        <f t="shared" si="7"/>
        <v>2.9034080000000004E-4</v>
      </c>
    </row>
    <row r="33" spans="1:14" x14ac:dyDescent="0.25">
      <c r="A33" s="1">
        <v>24947</v>
      </c>
      <c r="B33" s="1">
        <v>134217728</v>
      </c>
      <c r="C33" s="1" t="s">
        <v>2</v>
      </c>
      <c r="F33" s="1">
        <v>24947</v>
      </c>
      <c r="G33" s="1">
        <v>262144</v>
      </c>
      <c r="H33" s="1" t="s">
        <v>1</v>
      </c>
      <c r="K33" s="1">
        <v>3333</v>
      </c>
      <c r="L33" s="1">
        <v>262144</v>
      </c>
      <c r="M33" s="1" t="s">
        <v>1</v>
      </c>
    </row>
    <row r="34" spans="1:14" x14ac:dyDescent="0.25">
      <c r="A34" s="1">
        <v>8.0987500000000005E-4</v>
      </c>
      <c r="B34" s="1">
        <f>9.7339/100000</f>
        <v>9.7338999999999998E-5</v>
      </c>
      <c r="C34" s="1">
        <f>2.9385/100000</f>
        <v>2.9384999999999997E-5</v>
      </c>
      <c r="D34" s="1">
        <f>SUM(A34:C34)</f>
        <v>9.3659900000000009E-4</v>
      </c>
      <c r="F34" s="1">
        <v>8.1906000000000004E-4</v>
      </c>
      <c r="G34" s="1">
        <f>0.000140989</f>
        <v>1.40989E-4</v>
      </c>
      <c r="H34" s="1">
        <f>1.441/100000</f>
        <v>1.4410000000000001E-5</v>
      </c>
      <c r="I34" s="1">
        <f t="shared" si="6"/>
        <v>9.74459E-4</v>
      </c>
      <c r="K34" s="1">
        <v>2.47889E-4</v>
      </c>
      <c r="L34" s="1">
        <f>3.0718/100000</f>
        <v>3.0718E-5</v>
      </c>
      <c r="M34" s="1">
        <f>1.2592/100000</f>
        <v>1.2592000000000001E-5</v>
      </c>
      <c r="N34" s="1">
        <f>SUM(K34:M34)</f>
        <v>2.9119900000000002E-4</v>
      </c>
    </row>
    <row r="35" spans="1:14" x14ac:dyDescent="0.25">
      <c r="A35" s="1">
        <v>8.5035700000000004E-4</v>
      </c>
      <c r="B35" s="1">
        <v>1.0650300000000001E-4</v>
      </c>
      <c r="C35" s="1">
        <f>2.3903/100000</f>
        <v>2.3902999999999998E-5</v>
      </c>
      <c r="D35" s="1">
        <f t="shared" ref="D35:D39" si="12">SUM(A35:C35)</f>
        <v>9.8076299999999995E-4</v>
      </c>
      <c r="F35" s="1">
        <f>0.000822067</f>
        <v>8.22067E-4</v>
      </c>
      <c r="G35" s="1">
        <f>9.4332/100000</f>
        <v>9.4331999999999991E-5</v>
      </c>
      <c r="H35" s="1">
        <f>1.469/100000</f>
        <v>1.4690000000000002E-5</v>
      </c>
      <c r="I35" s="1">
        <f t="shared" si="6"/>
        <v>9.3108900000000007E-4</v>
      </c>
      <c r="K35" s="1">
        <f>0.000243143</f>
        <v>2.43143E-4</v>
      </c>
      <c r="L35" s="1">
        <f>6.6642/100000</f>
        <v>6.6642000000000003E-5</v>
      </c>
      <c r="M35" s="1">
        <f>2.3353/100000</f>
        <v>2.3353000000000002E-5</v>
      </c>
      <c r="N35" s="1">
        <f t="shared" ref="N35:N39" si="13">SUM(K35:M35)</f>
        <v>3.3313800000000002E-4</v>
      </c>
    </row>
    <row r="36" spans="1:14" x14ac:dyDescent="0.25">
      <c r="A36" s="1">
        <v>8.0631099999999999E-4</v>
      </c>
      <c r="B36" s="1">
        <f>9.5893/100000</f>
        <v>9.5892999999999998E-5</v>
      </c>
      <c r="C36" s="1">
        <f>1.3327/100000</f>
        <v>1.3327E-5</v>
      </c>
      <c r="D36" s="1">
        <f t="shared" si="12"/>
        <v>9.1553100000000003E-4</v>
      </c>
      <c r="F36" s="1">
        <v>8.2891599999999996E-4</v>
      </c>
      <c r="G36" s="1">
        <f>0.91399/10000</f>
        <v>9.1398999999999997E-5</v>
      </c>
      <c r="H36" s="1">
        <f>1.5984/100000</f>
        <v>1.5984000000000001E-5</v>
      </c>
      <c r="I36" s="1">
        <f t="shared" si="6"/>
        <v>9.3629900000000003E-4</v>
      </c>
      <c r="K36" s="1">
        <v>2.7849E-4</v>
      </c>
      <c r="L36" s="1">
        <f>4.9892/100000</f>
        <v>4.9892000000000003E-5</v>
      </c>
      <c r="M36" s="1">
        <f>2.2506/100000</f>
        <v>2.2506000000000001E-5</v>
      </c>
      <c r="N36" s="1">
        <f t="shared" si="13"/>
        <v>3.5088799999999999E-4</v>
      </c>
    </row>
    <row r="37" spans="1:14" x14ac:dyDescent="0.25">
      <c r="A37" s="1">
        <v>8.3649500000000003E-4</v>
      </c>
      <c r="B37" s="1">
        <v>1.1265E-4</v>
      </c>
      <c r="C37" s="1">
        <f>1.4173/100000</f>
        <v>1.4173E-5</v>
      </c>
      <c r="D37" s="1">
        <f t="shared" si="12"/>
        <v>9.6331800000000001E-4</v>
      </c>
      <c r="F37" s="1">
        <v>8.2989999999999995E-4</v>
      </c>
      <c r="G37" s="1">
        <f>9.3992/100000</f>
        <v>9.3992000000000004E-5</v>
      </c>
      <c r="H37" s="1">
        <f>2.8754/100000</f>
        <v>2.8753999999999999E-5</v>
      </c>
      <c r="I37" s="1">
        <f t="shared" si="6"/>
        <v>9.5264599999999992E-4</v>
      </c>
      <c r="K37" s="1">
        <v>2.3694300000000001E-4</v>
      </c>
      <c r="L37" s="1">
        <f>4.0064/100000</f>
        <v>4.0064000000000001E-5</v>
      </c>
      <c r="M37" s="1">
        <f>2.9644/100000</f>
        <v>2.9643999999999999E-5</v>
      </c>
      <c r="N37" s="1">
        <f t="shared" si="13"/>
        <v>3.0665100000000002E-4</v>
      </c>
    </row>
    <row r="38" spans="1:14" x14ac:dyDescent="0.25">
      <c r="A38" s="1">
        <v>8.4119900000000005E-4</v>
      </c>
      <c r="B38" s="1">
        <v>1.0745E-4</v>
      </c>
      <c r="C38" s="1">
        <f>1.2231/100000</f>
        <v>1.2231E-5</v>
      </c>
      <c r="D38" s="1">
        <f t="shared" si="12"/>
        <v>9.6088000000000011E-4</v>
      </c>
      <c r="F38" s="1">
        <v>8.69621E-4</v>
      </c>
      <c r="G38" s="1">
        <v>1.6830999999999999E-4</v>
      </c>
      <c r="H38" s="1">
        <f>1.5237/100000</f>
        <v>1.5237E-5</v>
      </c>
      <c r="I38" s="1">
        <f t="shared" si="6"/>
        <v>1.0531679999999999E-3</v>
      </c>
      <c r="K38" s="1">
        <v>2.44114E-4</v>
      </c>
      <c r="L38" s="1">
        <f>4.3152/100000</f>
        <v>4.3151999999999996E-5</v>
      </c>
      <c r="M38" s="1">
        <f>1.982/100000</f>
        <v>1.982E-5</v>
      </c>
      <c r="N38" s="1">
        <f t="shared" si="13"/>
        <v>3.0708599999999998E-4</v>
      </c>
    </row>
    <row r="39" spans="1:14" x14ac:dyDescent="0.25">
      <c r="A39" s="1">
        <f>AVERAGE(A34:A38)</f>
        <v>8.288474000000001E-4</v>
      </c>
      <c r="B39" s="1">
        <f>AVERAGE(B34:B38)</f>
        <v>1.0396699999999999E-4</v>
      </c>
      <c r="C39" s="1">
        <f>AVERAGE(C34:C38)</f>
        <v>1.86038E-5</v>
      </c>
      <c r="D39" s="1">
        <f t="shared" si="12"/>
        <v>9.5141820000000006E-4</v>
      </c>
      <c r="F39" s="1">
        <f t="shared" ref="F39" si="14">AVERAGE(F34:F38)</f>
        <v>8.3391279999999997E-4</v>
      </c>
      <c r="G39" s="1">
        <f t="shared" ref="G39" si="15">AVERAGE(G34:G38)</f>
        <v>1.1780439999999999E-4</v>
      </c>
      <c r="H39" s="1">
        <f t="shared" ref="H39" si="16">AVERAGE(H34:H38)</f>
        <v>1.7815000000000001E-5</v>
      </c>
      <c r="I39" s="1">
        <f t="shared" si="6"/>
        <v>9.6953220000000001E-4</v>
      </c>
      <c r="K39" s="1">
        <f t="shared" ref="K39" si="17">AVERAGE(K34:K38)</f>
        <v>2.5011579999999997E-4</v>
      </c>
      <c r="L39" s="1">
        <f t="shared" ref="L39" si="18">AVERAGE(L34:L38)</f>
        <v>4.6093600000000002E-5</v>
      </c>
      <c r="M39" s="1">
        <f t="shared" ref="M39" si="19">AVERAGE(M34:M38)</f>
        <v>2.1583E-5</v>
      </c>
      <c r="N39" s="1">
        <f t="shared" si="13"/>
        <v>3.1779239999999998E-4</v>
      </c>
    </row>
    <row r="41" spans="1:14" x14ac:dyDescent="0.25">
      <c r="A41" s="1">
        <v>58619328</v>
      </c>
      <c r="B41" s="1">
        <v>2178240</v>
      </c>
      <c r="C41" s="1">
        <f>A41-B41</f>
        <v>56441088</v>
      </c>
    </row>
    <row r="42" spans="1:14" x14ac:dyDescent="0.25">
      <c r="A42" s="1">
        <v>2.7389360000000001E-2</v>
      </c>
      <c r="B42" s="1">
        <v>8.1015999999999998E-4</v>
      </c>
      <c r="C42" s="1">
        <f>A42-B42</f>
        <v>2.6579200000000001E-2</v>
      </c>
      <c r="D42" s="1">
        <f>C42/C41</f>
        <v>4.709193415973838E-10</v>
      </c>
    </row>
    <row r="44" spans="1:14" x14ac:dyDescent="0.25">
      <c r="A44" s="1">
        <v>3479769</v>
      </c>
      <c r="B44" s="1">
        <v>27841394</v>
      </c>
      <c r="C44" s="1">
        <v>222741273</v>
      </c>
      <c r="D44" s="1">
        <v>1781907696</v>
      </c>
    </row>
    <row r="45" spans="1:14" x14ac:dyDescent="0.25">
      <c r="A45" s="1">
        <v>0.35200959999999998</v>
      </c>
      <c r="B45" s="1">
        <v>2.741692</v>
      </c>
      <c r="C45" s="1">
        <v>21.113119999999999</v>
      </c>
      <c r="D45" s="1">
        <v>166.66919999999999</v>
      </c>
    </row>
    <row r="54" spans="1:3" x14ac:dyDescent="0.25">
      <c r="A54" s="1">
        <v>8.518E-4</v>
      </c>
      <c r="B54" s="1">
        <f>2.84044/100000</f>
        <v>2.8404400000000002E-5</v>
      </c>
      <c r="C54" s="1">
        <f>6.1488/1000000</f>
        <v>6.1487999999999995E-6</v>
      </c>
    </row>
    <row r="55" spans="1:3" x14ac:dyDescent="0.25">
      <c r="A55" s="1">
        <v>8.5990000000000003E-4</v>
      </c>
      <c r="B55" s="1">
        <f>2.61902/100000</f>
        <v>2.6190199999999999E-5</v>
      </c>
      <c r="C55" s="1">
        <f>6.4036/1000000</f>
        <v>6.4036E-6</v>
      </c>
    </row>
    <row r="57" spans="1:3" x14ac:dyDescent="0.25">
      <c r="A57" s="1">
        <v>8.2879999999999998E-4</v>
      </c>
      <c r="B57" s="1">
        <v>1.03967E-4</v>
      </c>
      <c r="C57" s="1">
        <f>1.86038/100000</f>
        <v>1.86038E-5</v>
      </c>
    </row>
    <row r="58" spans="1:3" x14ac:dyDescent="0.25">
      <c r="A58" s="1">
        <v>8.3390000000000005E-4</v>
      </c>
      <c r="B58" s="1">
        <v>1.17804E-4</v>
      </c>
      <c r="C58" s="1">
        <f>0.000017815</f>
        <v>1.7815000000000001E-5</v>
      </c>
    </row>
    <row r="73" spans="1:10" ht="19" thickBot="1" x14ac:dyDescent="0.3"/>
    <row r="74" spans="1:10" ht="19" thickBot="1" x14ac:dyDescent="0.3">
      <c r="A74" s="2">
        <v>8.5993500000000004E-4</v>
      </c>
      <c r="B74" s="1">
        <v>2.6190000000000002E-5</v>
      </c>
      <c r="C74" s="1">
        <v>6.404E-6</v>
      </c>
      <c r="D74" s="1">
        <f>SUM(A74:C74)</f>
        <v>8.9252900000000009E-4</v>
      </c>
      <c r="G74" s="3">
        <v>2.7702400000000001E-4</v>
      </c>
      <c r="H74" s="4">
        <v>7.5839999999999997E-6</v>
      </c>
      <c r="I74" s="4">
        <v>5.7320000000000003E-6</v>
      </c>
      <c r="J74" s="1">
        <f>SUM(G74:I74)</f>
        <v>2.9033999999999999E-4</v>
      </c>
    </row>
    <row r="75" spans="1:10" ht="19" thickBot="1" x14ac:dyDescent="0.3">
      <c r="A75" s="1">
        <v>8.3391300000000004E-4</v>
      </c>
      <c r="B75" s="1">
        <v>1.6830999999999999E-4</v>
      </c>
      <c r="C75" s="1">
        <v>1.7815000000000001E-5</v>
      </c>
      <c r="D75" s="1">
        <f>SUM(A75:C75)</f>
        <v>1.020038E-3</v>
      </c>
      <c r="G75" s="3">
        <v>2.6011600000000001E-4</v>
      </c>
      <c r="H75" s="4">
        <v>4.6094000000000003E-5</v>
      </c>
      <c r="I75" s="4">
        <v>2.1583E-5</v>
      </c>
      <c r="J75" s="1">
        <f>SUM(G75:I75)</f>
        <v>3.27793E-4</v>
      </c>
    </row>
    <row r="90" spans="1:5" ht="19" thickBot="1" x14ac:dyDescent="0.3"/>
    <row r="91" spans="1:5" ht="19" thickBot="1" x14ac:dyDescent="0.3">
      <c r="A91" s="3">
        <v>2.8103359999999999</v>
      </c>
      <c r="B91" s="5">
        <v>1.798154</v>
      </c>
      <c r="C91" s="5">
        <v>1.7016720000000001</v>
      </c>
      <c r="D91" s="5">
        <v>1.7185079999999999</v>
      </c>
      <c r="E91" s="5">
        <v>1.6250800000000001</v>
      </c>
    </row>
    <row r="106" spans="1:7" ht="19" thickBot="1" x14ac:dyDescent="0.3"/>
    <row r="107" spans="1:7" ht="19" thickBot="1" x14ac:dyDescent="0.3">
      <c r="A107" s="3">
        <v>262144</v>
      </c>
      <c r="B107" s="3">
        <v>2.6078799999999999E-2</v>
      </c>
      <c r="C107" s="1">
        <f>LOG(A107, 2)</f>
        <v>18</v>
      </c>
      <c r="D107" s="1">
        <f>LOG(B107, 2)</f>
        <v>-5.2609787034066278</v>
      </c>
    </row>
    <row r="108" spans="1:7" ht="19" thickBot="1" x14ac:dyDescent="0.3">
      <c r="A108" s="5">
        <v>2097152</v>
      </c>
      <c r="B108" s="5">
        <v>6.733256E-2</v>
      </c>
      <c r="C108" s="1">
        <f t="shared" ref="C108:C110" si="20">LOG(A108, 2)</f>
        <v>21</v>
      </c>
      <c r="D108" s="1">
        <f t="shared" ref="D108:D110" si="21">LOG(B108, 2)</f>
        <v>-3.8925518722934078</v>
      </c>
    </row>
    <row r="109" spans="1:7" ht="19" thickBot="1" x14ac:dyDescent="0.3">
      <c r="A109" s="5">
        <v>16777216</v>
      </c>
      <c r="B109" s="5">
        <v>0.39912880000000001</v>
      </c>
      <c r="C109" s="1">
        <f t="shared" si="20"/>
        <v>24</v>
      </c>
      <c r="D109" s="1">
        <f t="shared" si="21"/>
        <v>-1.3250737115077584</v>
      </c>
      <c r="G109" s="1">
        <f>1/58619328/1000000</f>
        <v>1.7059219784982866E-14</v>
      </c>
    </row>
    <row r="110" spans="1:7" ht="19" thickBot="1" x14ac:dyDescent="0.3">
      <c r="A110" s="5">
        <v>134217728</v>
      </c>
      <c r="B110" s="5">
        <v>1.6250800000000001</v>
      </c>
      <c r="C110" s="1">
        <f t="shared" si="20"/>
        <v>27</v>
      </c>
      <c r="D110" s="1">
        <f t="shared" si="21"/>
        <v>0.70051074137947067</v>
      </c>
    </row>
    <row r="126" spans="1:15" x14ac:dyDescent="0.25">
      <c r="A126" s="1">
        <v>12</v>
      </c>
      <c r="B126" s="1">
        <v>7.5043899999999999</v>
      </c>
      <c r="C126" s="1">
        <v>7.50448</v>
      </c>
      <c r="D126" s="1">
        <v>7.5036300000000002</v>
      </c>
      <c r="E126" s="1">
        <v>7.50387</v>
      </c>
      <c r="F126" s="1">
        <v>7.5021199999999997</v>
      </c>
      <c r="G126" s="1">
        <f>AVERAGE(B126:F126)</f>
        <v>7.503698</v>
      </c>
    </row>
    <row r="127" spans="1:15" x14ac:dyDescent="0.25">
      <c r="A127" s="1">
        <v>16</v>
      </c>
      <c r="B127" s="1">
        <v>6.2568999999999999</v>
      </c>
      <c r="C127" s="1">
        <v>6.2636099999999999</v>
      </c>
      <c r="D127" s="1">
        <v>6.2585199999999999</v>
      </c>
      <c r="E127" s="1">
        <v>6.2589600000000001</v>
      </c>
      <c r="F127" s="1">
        <v>6.2641799999999996</v>
      </c>
      <c r="G127" s="1">
        <f t="shared" ref="G127:G130" si="22">AVERAGE(B127:F127)</f>
        <v>6.2604340000000001</v>
      </c>
      <c r="K127" s="1">
        <v>3479769</v>
      </c>
      <c r="L127" s="1">
        <v>8.2798999999999998E-2</v>
      </c>
      <c r="M127" s="1">
        <v>8.1167000000000003E-2</v>
      </c>
      <c r="N127" s="1">
        <v>8.0090999999999996E-2</v>
      </c>
      <c r="O127" s="1">
        <f t="shared" ref="O127:O129" si="23">AVERAGE(L127:N127)</f>
        <v>8.1352333333333332E-2</v>
      </c>
    </row>
    <row r="128" spans="1:15" x14ac:dyDescent="0.25">
      <c r="A128" s="1">
        <v>32</v>
      </c>
      <c r="B128" s="1">
        <v>3.7608700000000002</v>
      </c>
      <c r="C128" s="1">
        <v>3.76335</v>
      </c>
      <c r="D128" s="1">
        <v>3.7634500000000002</v>
      </c>
      <c r="E128" s="1">
        <v>3.76139</v>
      </c>
      <c r="F128" s="1">
        <v>3.7601900000000001</v>
      </c>
      <c r="G128" s="1">
        <f t="shared" si="22"/>
        <v>3.7618500000000004</v>
      </c>
      <c r="K128" s="1">
        <v>27841394</v>
      </c>
      <c r="L128" s="1">
        <v>0.39396599999999998</v>
      </c>
      <c r="M128" s="1">
        <v>0.36890499999999998</v>
      </c>
      <c r="N128" s="1">
        <v>0.39977699999999999</v>
      </c>
      <c r="O128" s="1">
        <f t="shared" si="23"/>
        <v>0.3875493333333333</v>
      </c>
    </row>
    <row r="129" spans="1:15" x14ac:dyDescent="0.25">
      <c r="A129" s="1">
        <v>48</v>
      </c>
      <c r="B129" s="1">
        <v>2.97166</v>
      </c>
      <c r="C129" s="1">
        <v>2.97159</v>
      </c>
      <c r="D129" s="1">
        <v>2.9715799999999999</v>
      </c>
      <c r="E129" s="1">
        <v>2.9714</v>
      </c>
      <c r="F129" s="1">
        <v>2.9714100000000001</v>
      </c>
      <c r="G129" s="1">
        <f t="shared" si="22"/>
        <v>2.9715280000000002</v>
      </c>
      <c r="K129" s="1">
        <v>222741273</v>
      </c>
      <c r="L129" s="1">
        <v>2.8892699999999998</v>
      </c>
      <c r="M129" s="1">
        <v>2.7970899999999999</v>
      </c>
      <c r="N129" s="1">
        <v>2.8869199999999999</v>
      </c>
      <c r="O129" s="1">
        <f t="shared" si="23"/>
        <v>2.8577600000000003</v>
      </c>
    </row>
    <row r="130" spans="1:15" x14ac:dyDescent="0.25">
      <c r="A130" s="1">
        <v>64</v>
      </c>
      <c r="B130" s="1">
        <v>2.9683899999999999</v>
      </c>
      <c r="C130" s="1">
        <v>2.96692</v>
      </c>
      <c r="D130" s="1">
        <v>2.9679000000000002</v>
      </c>
      <c r="E130" s="1">
        <v>2.9679199999999999</v>
      </c>
      <c r="F130" s="1">
        <v>2.9668000000000001</v>
      </c>
      <c r="G130" s="1">
        <f t="shared" si="22"/>
        <v>2.9675859999999998</v>
      </c>
      <c r="K130" s="1">
        <v>1781907696</v>
      </c>
      <c r="L130" s="1">
        <v>22.743264</v>
      </c>
      <c r="M130" s="1">
        <v>22.236889000000001</v>
      </c>
      <c r="N130" s="1">
        <v>22.532442</v>
      </c>
      <c r="O130" s="1">
        <f>AVERAGE(L130:N130)</f>
        <v>22.504198333333335</v>
      </c>
    </row>
    <row r="146" spans="1:4" x14ac:dyDescent="0.25">
      <c r="A146" s="1">
        <v>12</v>
      </c>
    </row>
    <row r="147" spans="1:4" x14ac:dyDescent="0.25">
      <c r="A147" s="1">
        <v>4.1161499999999997E-2</v>
      </c>
      <c r="B147" s="1">
        <v>5.5081399999999995E-4</v>
      </c>
      <c r="C147" s="1">
        <v>2.2977800000000001E-4</v>
      </c>
      <c r="D147" s="1">
        <f>SUM(A147:C147)</f>
        <v>4.1942091999999993E-2</v>
      </c>
    </row>
    <row r="148" spans="1:4" x14ac:dyDescent="0.25">
      <c r="A148" s="1">
        <v>4.3922200000000002E-2</v>
      </c>
      <c r="B148" s="1">
        <v>5.5822200000000004E-4</v>
      </c>
      <c r="C148" s="1">
        <v>2.2977800000000001E-4</v>
      </c>
      <c r="D148" s="1">
        <f t="shared" ref="D148:D151" si="24">SUM(A148:C148)</f>
        <v>4.4710199999999999E-2</v>
      </c>
    </row>
    <row r="149" spans="1:4" x14ac:dyDescent="0.25">
      <c r="A149" s="1">
        <v>4.6547699999999997E-2</v>
      </c>
      <c r="B149" s="1">
        <v>5.8844500000000005E-4</v>
      </c>
      <c r="C149" s="1">
        <v>2.4459200000000002E-4</v>
      </c>
      <c r="D149" s="1">
        <f t="shared" si="24"/>
        <v>4.7380736999999999E-2</v>
      </c>
    </row>
    <row r="150" spans="1:4" x14ac:dyDescent="0.25">
      <c r="A150" s="1">
        <v>4.4202400000000003E-2</v>
      </c>
      <c r="B150" s="1">
        <v>5.7911099999999999E-4</v>
      </c>
      <c r="C150" s="1">
        <v>2.2962899999999999E-4</v>
      </c>
      <c r="D150" s="1">
        <f t="shared" si="24"/>
        <v>4.5011140000000005E-2</v>
      </c>
    </row>
    <row r="151" spans="1:4" x14ac:dyDescent="0.25">
      <c r="A151" s="1">
        <v>4.25858E-2</v>
      </c>
      <c r="B151" s="1">
        <v>5.5259299999999999E-4</v>
      </c>
      <c r="C151" s="1">
        <v>2.6962999999999998E-4</v>
      </c>
      <c r="D151" s="1">
        <f t="shared" si="24"/>
        <v>4.3408022999999997E-2</v>
      </c>
    </row>
    <row r="152" spans="1:4" x14ac:dyDescent="0.25">
      <c r="A152" s="1">
        <f>AVERAGE(A147:A151)</f>
        <v>4.3683920000000001E-2</v>
      </c>
      <c r="B152" s="1">
        <f t="shared" ref="B152:D152" si="25">AVERAGE(B147:B151)</f>
        <v>5.6583700000000002E-4</v>
      </c>
      <c r="C152" s="1">
        <f t="shared" si="25"/>
        <v>2.4068140000000002E-4</v>
      </c>
      <c r="D152" s="1">
        <f t="shared" si="25"/>
        <v>4.4490438399999999E-2</v>
      </c>
    </row>
    <row r="153" spans="1:4" x14ac:dyDescent="0.25">
      <c r="A153" s="1">
        <v>16</v>
      </c>
    </row>
    <row r="154" spans="1:4" x14ac:dyDescent="0.25">
      <c r="A154" s="1">
        <v>3.8016599999999998E-2</v>
      </c>
      <c r="B154" s="1">
        <v>3.1348200000000002E-4</v>
      </c>
      <c r="C154" s="1">
        <v>2.4488899999999998E-4</v>
      </c>
      <c r="D154" s="1">
        <f t="shared" ref="D154:D158" si="26">SUM(A154:C154)</f>
        <v>3.8574970999999993E-2</v>
      </c>
    </row>
    <row r="155" spans="1:4" x14ac:dyDescent="0.25">
      <c r="A155" s="1">
        <v>3.2294999999999997E-2</v>
      </c>
      <c r="B155" s="1">
        <v>3.1363000000000002E-4</v>
      </c>
      <c r="C155" s="1">
        <v>2.4488899999999998E-4</v>
      </c>
      <c r="D155" s="1">
        <f t="shared" si="26"/>
        <v>3.2853518999999998E-2</v>
      </c>
    </row>
    <row r="156" spans="1:4" x14ac:dyDescent="0.25">
      <c r="A156" s="1">
        <v>3.4810500000000001E-2</v>
      </c>
      <c r="B156" s="1">
        <v>3.1363000000000002E-4</v>
      </c>
      <c r="C156" s="1">
        <v>2.4503699999999998E-4</v>
      </c>
      <c r="D156" s="1">
        <f t="shared" si="26"/>
        <v>3.5369167E-2</v>
      </c>
    </row>
    <row r="157" spans="1:4" x14ac:dyDescent="0.25">
      <c r="A157" s="1">
        <v>3.5061299999999997E-2</v>
      </c>
      <c r="B157" s="1">
        <v>3.1511100000000003E-4</v>
      </c>
      <c r="C157" s="1">
        <v>2.4474099999999998E-4</v>
      </c>
      <c r="D157" s="1">
        <f t="shared" si="26"/>
        <v>3.5621151999999996E-2</v>
      </c>
    </row>
    <row r="158" spans="1:4" x14ac:dyDescent="0.25">
      <c r="A158" s="1">
        <v>3.9634999999999997E-2</v>
      </c>
      <c r="B158" s="1">
        <v>3.1066600000000002E-4</v>
      </c>
      <c r="C158" s="1">
        <v>2.4474000000000002E-4</v>
      </c>
      <c r="D158" s="1">
        <f t="shared" si="26"/>
        <v>4.0190405999999998E-2</v>
      </c>
    </row>
    <row r="159" spans="1:4" x14ac:dyDescent="0.25">
      <c r="A159" s="1">
        <f t="shared" ref="A159" si="27">AVERAGE(A154:A158)</f>
        <v>3.5963679999999998E-2</v>
      </c>
      <c r="B159" s="1">
        <f t="shared" ref="B159" si="28">AVERAGE(B154:B158)</f>
        <v>3.1330380000000002E-4</v>
      </c>
      <c r="C159" s="1">
        <f t="shared" ref="C159:D159" si="29">AVERAGE(C154:C158)</f>
        <v>2.4485920000000001E-4</v>
      </c>
      <c r="D159" s="1">
        <f t="shared" si="29"/>
        <v>3.6521842999999998E-2</v>
      </c>
    </row>
    <row r="160" spans="1:4" x14ac:dyDescent="0.25">
      <c r="A160" s="1">
        <v>32</v>
      </c>
    </row>
    <row r="161" spans="1:4" x14ac:dyDescent="0.25">
      <c r="A161" s="1">
        <v>2.30858E-2</v>
      </c>
      <c r="B161" s="1">
        <v>5.6666599999999996E-4</v>
      </c>
      <c r="C161" s="1">
        <v>4.3896300000000001E-4</v>
      </c>
      <c r="D161" s="1">
        <f t="shared" ref="D161:D165" si="30">SUM(A161:C161)</f>
        <v>2.4091429000000001E-2</v>
      </c>
    </row>
    <row r="162" spans="1:4" x14ac:dyDescent="0.25">
      <c r="A162" s="1">
        <v>2.43301E-2</v>
      </c>
      <c r="B162" s="1">
        <v>5.6903699999999999E-4</v>
      </c>
      <c r="C162" s="1">
        <v>4.3896300000000001E-4</v>
      </c>
      <c r="D162" s="1">
        <f t="shared" si="30"/>
        <v>2.5338100000000002E-2</v>
      </c>
    </row>
    <row r="163" spans="1:4" x14ac:dyDescent="0.25">
      <c r="A163" s="1">
        <v>2.4118799999999999E-2</v>
      </c>
      <c r="B163" s="1">
        <v>5.6444500000000001E-4</v>
      </c>
      <c r="C163" s="1">
        <v>4.39407E-4</v>
      </c>
      <c r="D163" s="1">
        <f t="shared" si="30"/>
        <v>2.5122651999999999E-2</v>
      </c>
    </row>
    <row r="164" spans="1:4" x14ac:dyDescent="0.25">
      <c r="A164" s="1">
        <v>2.33095E-2</v>
      </c>
      <c r="B164" s="1">
        <v>5.6933299999999999E-4</v>
      </c>
      <c r="C164" s="1">
        <v>4.39111E-4</v>
      </c>
      <c r="D164" s="1">
        <f t="shared" si="30"/>
        <v>2.4317944000000001E-2</v>
      </c>
    </row>
    <row r="165" spans="1:4" x14ac:dyDescent="0.25">
      <c r="A165" s="1">
        <v>2.2324900000000002E-2</v>
      </c>
      <c r="B165" s="1">
        <v>3.1792600000000001E-4</v>
      </c>
      <c r="C165" s="1">
        <v>2.4488899999999998E-4</v>
      </c>
      <c r="D165" s="1">
        <f t="shared" si="30"/>
        <v>2.2887715000000003E-2</v>
      </c>
    </row>
    <row r="166" spans="1:4" x14ac:dyDescent="0.25">
      <c r="A166" s="1">
        <f t="shared" ref="A166" si="31">AVERAGE(A161:A165)</f>
        <v>2.3433820000000001E-2</v>
      </c>
      <c r="B166" s="1">
        <f t="shared" ref="B166" si="32">AVERAGE(B161:B165)</f>
        <v>5.1748140000000011E-4</v>
      </c>
      <c r="C166" s="1">
        <f t="shared" ref="C166:D166" si="33">AVERAGE(C161:C165)</f>
        <v>4.0026660000000002E-4</v>
      </c>
      <c r="D166" s="1">
        <f t="shared" si="33"/>
        <v>2.4351568000000001E-2</v>
      </c>
    </row>
    <row r="167" spans="1:4" x14ac:dyDescent="0.25">
      <c r="A167" s="1">
        <v>64</v>
      </c>
    </row>
    <row r="168" spans="1:4" x14ac:dyDescent="0.25">
      <c r="A168" s="1">
        <v>1.45308E-2</v>
      </c>
      <c r="B168" s="1">
        <v>5.5911100000000005E-4</v>
      </c>
      <c r="C168" s="1">
        <v>4.4118500000000003E-4</v>
      </c>
      <c r="D168" s="1">
        <f t="shared" ref="D168:D172" si="34">SUM(A168:C168)</f>
        <v>1.5531095999999999E-2</v>
      </c>
    </row>
    <row r="169" spans="1:4" x14ac:dyDescent="0.25">
      <c r="A169" s="1">
        <v>1.39659E-2</v>
      </c>
      <c r="B169" s="1">
        <v>5.5688899999999997E-4</v>
      </c>
      <c r="C169" s="1">
        <v>4.4133399999999999E-4</v>
      </c>
      <c r="D169" s="1">
        <f t="shared" si="34"/>
        <v>1.4964122999999999E-2</v>
      </c>
    </row>
    <row r="170" spans="1:4" x14ac:dyDescent="0.25">
      <c r="A170" s="1">
        <v>1.3814699999999999E-2</v>
      </c>
      <c r="B170" s="1">
        <v>5.5733400000000004E-4</v>
      </c>
      <c r="C170" s="1">
        <v>4.4133300000000002E-4</v>
      </c>
      <c r="D170" s="1">
        <f t="shared" si="34"/>
        <v>1.4813366999999999E-2</v>
      </c>
    </row>
    <row r="171" spans="1:4" x14ac:dyDescent="0.25">
      <c r="A171" s="1">
        <v>1.54717E-2</v>
      </c>
      <c r="B171" s="1">
        <v>5.5940700000000005E-4</v>
      </c>
      <c r="C171" s="1">
        <v>4.4133399999999999E-4</v>
      </c>
      <c r="D171" s="1">
        <f t="shared" si="34"/>
        <v>1.6472441000000001E-2</v>
      </c>
    </row>
    <row r="172" spans="1:4" x14ac:dyDescent="0.25">
      <c r="A172" s="1">
        <v>1.486E-2</v>
      </c>
      <c r="B172" s="1">
        <v>5.5555600000000002E-4</v>
      </c>
      <c r="C172" s="1">
        <v>4.4103700000000003E-4</v>
      </c>
      <c r="D172" s="1">
        <f t="shared" si="34"/>
        <v>1.5856593000000002E-2</v>
      </c>
    </row>
    <row r="173" spans="1:4" x14ac:dyDescent="0.25">
      <c r="A173" s="1">
        <f t="shared" ref="A173" si="35">AVERAGE(A168:A172)</f>
        <v>1.4528620000000001E-2</v>
      </c>
      <c r="B173" s="1">
        <f t="shared" ref="B173" si="36">AVERAGE(B168:B172)</f>
        <v>5.5765939999999998E-4</v>
      </c>
      <c r="C173" s="1">
        <f t="shared" ref="C173" si="37">AVERAGE(C168:C172)</f>
        <v>4.4124460000000002E-4</v>
      </c>
      <c r="D173" s="1">
        <f t="shared" ref="D173" si="38">AVERAGE(D168:D172)</f>
        <v>1.5527524000000001E-2</v>
      </c>
    </row>
    <row r="175" spans="1:4" x14ac:dyDescent="0.25">
      <c r="A175" s="1">
        <v>1</v>
      </c>
    </row>
    <row r="176" spans="1:4" x14ac:dyDescent="0.25">
      <c r="A176" s="1">
        <v>1.7503900000000001E-3</v>
      </c>
      <c r="B176" s="1">
        <f>1.7664/100000</f>
        <v>1.7663999999999999E-5</v>
      </c>
      <c r="C176" s="1">
        <f>1.439/1000000</f>
        <v>1.4390000000000001E-6</v>
      </c>
      <c r="D176" s="1">
        <f t="shared" ref="D176:D180" si="39">SUM(A176:C176)</f>
        <v>1.769493E-3</v>
      </c>
    </row>
    <row r="177" spans="1:4" x14ac:dyDescent="0.25">
      <c r="A177" s="1">
        <v>1.8990299999999999E-3</v>
      </c>
      <c r="B177" s="1">
        <f>1.8476/100000</f>
        <v>1.8476000000000001E-5</v>
      </c>
      <c r="C177" s="1">
        <f>1.215/1000000</f>
        <v>1.215E-6</v>
      </c>
      <c r="D177" s="1">
        <f t="shared" si="39"/>
        <v>1.9187209999999998E-3</v>
      </c>
    </row>
    <row r="178" spans="1:4" x14ac:dyDescent="0.25">
      <c r="A178" s="1">
        <v>1.8667600000000001E-3</v>
      </c>
      <c r="B178" s="1">
        <f>1.7934/100000</f>
        <v>1.7934000000000001E-5</v>
      </c>
      <c r="C178" s="1">
        <f>1.3/1000000</f>
        <v>1.3E-6</v>
      </c>
      <c r="D178" s="1">
        <f t="shared" si="39"/>
        <v>1.8859940000000002E-3</v>
      </c>
    </row>
    <row r="179" spans="1:4" x14ac:dyDescent="0.25">
      <c r="A179" s="1">
        <v>1.848E-3</v>
      </c>
      <c r="B179" s="1">
        <f>1.7654/100000</f>
        <v>1.7654000000000001E-5</v>
      </c>
      <c r="C179" s="1">
        <f>1.542/1000000</f>
        <v>1.542E-6</v>
      </c>
      <c r="D179" s="1">
        <f t="shared" si="39"/>
        <v>1.867196E-3</v>
      </c>
    </row>
    <row r="180" spans="1:4" x14ac:dyDescent="0.25">
      <c r="A180" s="1">
        <f>0.00184129</f>
        <v>1.84129E-3</v>
      </c>
      <c r="B180" s="1">
        <f>1.8333/100000</f>
        <v>1.8332999999999999E-5</v>
      </c>
      <c r="C180" s="1">
        <f>1.154/1000000</f>
        <v>1.1539999999999999E-6</v>
      </c>
      <c r="D180" s="1">
        <f t="shared" si="39"/>
        <v>1.8607769999999999E-3</v>
      </c>
    </row>
    <row r="181" spans="1:4" x14ac:dyDescent="0.25">
      <c r="A181" s="1">
        <f t="shared" ref="A181:C181" si="40">AVERAGE(A176:A180)</f>
        <v>1.8410940000000002E-3</v>
      </c>
      <c r="B181" s="1">
        <f t="shared" si="40"/>
        <v>1.80122E-5</v>
      </c>
      <c r="C181" s="1">
        <f t="shared" si="40"/>
        <v>1.3300000000000002E-6</v>
      </c>
      <c r="D181" s="1">
        <f t="shared" ref="D181" si="41">AVERAGE(D176:D180)</f>
        <v>1.8604361999999999E-3</v>
      </c>
    </row>
    <row r="182" spans="1:4" x14ac:dyDescent="0.25">
      <c r="A182" s="1">
        <v>2</v>
      </c>
    </row>
    <row r="183" spans="1:4" x14ac:dyDescent="0.25">
      <c r="A183" s="1">
        <v>1.02476E-3</v>
      </c>
      <c r="B183" s="1">
        <f>2.3619/100000</f>
        <v>2.3618999999999999E-5</v>
      </c>
      <c r="C183" s="1">
        <f>2.771/1000000</f>
        <v>2.7709999999999998E-6</v>
      </c>
      <c r="D183" s="1">
        <f t="shared" ref="D183:D187" si="42">SUM(A183:C183)</f>
        <v>1.0511499999999998E-3</v>
      </c>
    </row>
    <row r="184" spans="1:4" x14ac:dyDescent="0.25">
      <c r="A184" s="1">
        <f>0.00108588</f>
        <v>1.08588E-3</v>
      </c>
      <c r="B184" s="1">
        <f>3.0997/100000</f>
        <v>3.0997000000000002E-5</v>
      </c>
      <c r="C184" s="1">
        <f>2.617/1000000</f>
        <v>2.6170000000000001E-6</v>
      </c>
      <c r="D184" s="1">
        <f t="shared" si="42"/>
        <v>1.119494E-3</v>
      </c>
    </row>
    <row r="185" spans="1:4" x14ac:dyDescent="0.25">
      <c r="A185" s="1">
        <v>1.0432200000000001E-3</v>
      </c>
      <c r="B185" s="1">
        <f>2.7231/100000</f>
        <v>2.7231000000000001E-5</v>
      </c>
      <c r="C185" s="1">
        <f>2.569/1000000</f>
        <v>2.5689999999999999E-6</v>
      </c>
      <c r="D185" s="1">
        <f t="shared" si="42"/>
        <v>1.0730200000000001E-3</v>
      </c>
    </row>
    <row r="186" spans="1:4" x14ac:dyDescent="0.25">
      <c r="A186" s="1">
        <v>1.10216E-3</v>
      </c>
      <c r="B186" s="1">
        <f>2.6001/100000</f>
        <v>2.6000999999999997E-5</v>
      </c>
      <c r="C186" s="1">
        <f>2.972/1000000</f>
        <v>2.9720000000000001E-6</v>
      </c>
      <c r="D186" s="1">
        <f t="shared" si="42"/>
        <v>1.1311329999999999E-3</v>
      </c>
    </row>
    <row r="187" spans="1:4" x14ac:dyDescent="0.25">
      <c r="A187" s="1">
        <v>1.06273E-3</v>
      </c>
      <c r="B187" s="1">
        <f>2.3935/100000</f>
        <v>2.3935E-5</v>
      </c>
      <c r="C187" s="1">
        <f>2.157/1000000</f>
        <v>2.1569999999999998E-6</v>
      </c>
      <c r="D187" s="1">
        <f t="shared" si="42"/>
        <v>1.0888220000000001E-3</v>
      </c>
    </row>
    <row r="188" spans="1:4" x14ac:dyDescent="0.25">
      <c r="A188" s="1">
        <f t="shared" ref="A188:C188" si="43">AVERAGE(A183:A187)</f>
        <v>1.06375E-3</v>
      </c>
      <c r="B188" s="1">
        <f t="shared" si="43"/>
        <v>2.6356600000000001E-5</v>
      </c>
      <c r="C188" s="1">
        <f t="shared" si="43"/>
        <v>2.6172000000000001E-6</v>
      </c>
      <c r="D188" s="1">
        <f t="shared" ref="D188" si="44">AVERAGE(D183:D187)</f>
        <v>1.0927237999999999E-3</v>
      </c>
    </row>
    <row r="189" spans="1:4" x14ac:dyDescent="0.25">
      <c r="A189" s="1">
        <v>4</v>
      </c>
    </row>
    <row r="190" spans="1:4" x14ac:dyDescent="0.25">
      <c r="A190" s="1">
        <v>7.6247399999999996E-4</v>
      </c>
      <c r="B190" s="1">
        <f>2.8785/100000</f>
        <v>2.8785E-5</v>
      </c>
      <c r="C190" s="1">
        <f>4.648/1000000</f>
        <v>4.6479999999999994E-6</v>
      </c>
      <c r="D190" s="1">
        <f t="shared" ref="D190:D194" si="45">SUM(A190:C190)</f>
        <v>7.9590699999999999E-4</v>
      </c>
    </row>
    <row r="191" spans="1:4" x14ac:dyDescent="0.25">
      <c r="A191" s="1">
        <v>7.5641900000000004E-4</v>
      </c>
      <c r="B191" s="1">
        <f>2.3243/100000</f>
        <v>2.3243000000000001E-5</v>
      </c>
      <c r="C191" s="1">
        <f>6.032/1000000</f>
        <v>6.032E-6</v>
      </c>
      <c r="D191" s="1">
        <f t="shared" si="45"/>
        <v>7.8569400000000008E-4</v>
      </c>
    </row>
    <row r="192" spans="1:4" x14ac:dyDescent="0.25">
      <c r="A192" s="1">
        <v>7.5479699999999998E-4</v>
      </c>
      <c r="B192" s="1">
        <f>3.3826/100000</f>
        <v>3.3825999999999998E-5</v>
      </c>
      <c r="C192" s="1">
        <f>4.252/1000000</f>
        <v>4.2520000000000001E-6</v>
      </c>
      <c r="D192" s="1">
        <f t="shared" si="45"/>
        <v>7.9287500000000007E-4</v>
      </c>
    </row>
    <row r="193" spans="1:12" x14ac:dyDescent="0.25">
      <c r="A193" s="1">
        <f>0.000798323</f>
        <v>7.9832299999999998E-4</v>
      </c>
      <c r="B193" s="1">
        <f>4.5796/100000</f>
        <v>4.5796E-5</v>
      </c>
      <c r="C193" s="1">
        <f>5.048/1000000</f>
        <v>5.0479999999999998E-6</v>
      </c>
      <c r="D193" s="1">
        <f t="shared" si="45"/>
        <v>8.4916699999999996E-4</v>
      </c>
    </row>
    <row r="194" spans="1:12" x14ac:dyDescent="0.25">
      <c r="A194" s="1">
        <v>8.2671100000000005E-4</v>
      </c>
      <c r="B194" s="1">
        <f>2.3958/100000</f>
        <v>2.3958E-5</v>
      </c>
      <c r="C194" s="1">
        <f>5.789/1000000</f>
        <v>5.789E-6</v>
      </c>
      <c r="D194" s="1">
        <f t="shared" si="45"/>
        <v>8.5645800000000005E-4</v>
      </c>
    </row>
    <row r="195" spans="1:12" x14ac:dyDescent="0.25">
      <c r="A195" s="1">
        <f t="shared" ref="A195:C195" si="46">AVERAGE(A190:A194)</f>
        <v>7.7974480000000002E-4</v>
      </c>
      <c r="B195" s="1">
        <f t="shared" si="46"/>
        <v>3.1121600000000004E-5</v>
      </c>
      <c r="C195" s="1">
        <f t="shared" si="46"/>
        <v>5.1537999999999997E-6</v>
      </c>
      <c r="D195" s="1">
        <f t="shared" ref="D195" si="47">AVERAGE(D190:D194)</f>
        <v>8.1602020000000016E-4</v>
      </c>
    </row>
    <row r="196" spans="1:12" x14ac:dyDescent="0.25">
      <c r="A196" s="1">
        <v>8</v>
      </c>
    </row>
    <row r="197" spans="1:12" x14ac:dyDescent="0.25">
      <c r="A197" s="1">
        <v>7.8678600000000004E-4</v>
      </c>
      <c r="B197" s="1">
        <f>2.5319/100000</f>
        <v>2.5318999999999999E-5</v>
      </c>
      <c r="C197" s="1">
        <f>5.409/1000000</f>
        <v>5.4090000000000002E-6</v>
      </c>
      <c r="D197" s="1">
        <f t="shared" ref="D197:D201" si="48">SUM(A197:C197)</f>
        <v>8.1751399999999998E-4</v>
      </c>
    </row>
    <row r="198" spans="1:12" x14ac:dyDescent="0.25">
      <c r="A198" s="1">
        <v>8.1554399999999997E-4</v>
      </c>
      <c r="B198" s="1">
        <f>2.5667/100000</f>
        <v>2.5667E-5</v>
      </c>
      <c r="C198" s="1">
        <f>5.29/1000000</f>
        <v>5.2900000000000002E-6</v>
      </c>
      <c r="D198" s="1">
        <f t="shared" si="48"/>
        <v>8.4650100000000005E-4</v>
      </c>
    </row>
    <row r="199" spans="1:12" x14ac:dyDescent="0.25">
      <c r="A199" s="1">
        <v>8.0413200000000005E-4</v>
      </c>
      <c r="B199" s="1">
        <f>2.8928/100000</f>
        <v>2.8927999999999998E-5</v>
      </c>
      <c r="C199" s="1">
        <f>5.478/1000000</f>
        <v>5.4779999999999999E-6</v>
      </c>
      <c r="D199" s="1">
        <f t="shared" si="48"/>
        <v>8.38538E-4</v>
      </c>
      <c r="F199" s="1">
        <f xml:space="preserve"> 0.00184109 / 24947</f>
        <v>7.3800056118972227E-8</v>
      </c>
    </row>
    <row r="200" spans="1:12" x14ac:dyDescent="0.25">
      <c r="A200" s="1">
        <v>8.3034099999999996E-4</v>
      </c>
      <c r="B200" s="1">
        <f>2.3684/100000</f>
        <v>2.3683999999999999E-5</v>
      </c>
      <c r="C200" s="1">
        <f>5.416/1000000</f>
        <v>5.4160000000000003E-6</v>
      </c>
      <c r="D200" s="1">
        <f t="shared" si="48"/>
        <v>8.5944099999999996E-4</v>
      </c>
    </row>
    <row r="201" spans="1:12" x14ac:dyDescent="0.25">
      <c r="A201" s="1">
        <v>8.24036E-4</v>
      </c>
      <c r="B201" s="1">
        <f>3.6593/100000</f>
        <v>3.6593E-5</v>
      </c>
      <c r="C201" s="1">
        <f>5.289/1000000</f>
        <v>5.2889999999999997E-6</v>
      </c>
      <c r="D201" s="1">
        <f t="shared" si="48"/>
        <v>8.6591800000000003E-4</v>
      </c>
      <c r="F201" s="1">
        <v>0.33799200000000001</v>
      </c>
      <c r="G201" s="1">
        <v>0.33973199999999998</v>
      </c>
      <c r="H201" s="1">
        <v>0.34245300000000001</v>
      </c>
      <c r="I201" s="1">
        <v>0.335594</v>
      </c>
      <c r="J201" s="1">
        <v>0.34267700000000001</v>
      </c>
      <c r="K201" s="1">
        <f>AVERAGE(F201:J201)</f>
        <v>0.33968959999999998</v>
      </c>
      <c r="L201" s="1">
        <f>K201/24947</f>
        <v>1.3616450875856815E-5</v>
      </c>
    </row>
    <row r="202" spans="1:12" x14ac:dyDescent="0.25">
      <c r="A202" s="1">
        <f t="shared" ref="A202:C202" si="49">AVERAGE(A197:A201)</f>
        <v>8.1216779999999998E-4</v>
      </c>
      <c r="B202" s="1">
        <f t="shared" si="49"/>
        <v>2.8038199999999999E-5</v>
      </c>
      <c r="C202" s="1">
        <f t="shared" si="49"/>
        <v>5.3763999999999999E-6</v>
      </c>
      <c r="D202" s="1">
        <f t="shared" ref="D202" si="50">AVERAGE(D197:D201)</f>
        <v>8.4558240000000002E-4</v>
      </c>
    </row>
    <row r="208" spans="1:12" x14ac:dyDescent="0.25">
      <c r="E208" s="1">
        <f>24947+1313</f>
        <v>26260</v>
      </c>
    </row>
    <row r="209" spans="1:12" x14ac:dyDescent="0.25">
      <c r="E209" s="1">
        <f>24947+247</f>
        <v>25194</v>
      </c>
    </row>
    <row r="210" spans="1:12" x14ac:dyDescent="0.25">
      <c r="E210" s="1">
        <f>24947+13+247</f>
        <v>25207</v>
      </c>
    </row>
    <row r="211" spans="1:12" x14ac:dyDescent="0.25">
      <c r="B211" s="1">
        <f>A212/13</f>
        <v>1</v>
      </c>
    </row>
    <row r="212" spans="1:12" x14ac:dyDescent="0.25">
      <c r="A212" s="1">
        <f>A213/101</f>
        <v>13</v>
      </c>
      <c r="B212" s="1">
        <f>B213/13</f>
        <v>19</v>
      </c>
      <c r="C212" s="1">
        <f>C213/19</f>
        <v>101</v>
      </c>
    </row>
    <row r="213" spans="1:12" x14ac:dyDescent="0.25">
      <c r="A213" s="1">
        <f>B214/19</f>
        <v>1313</v>
      </c>
      <c r="B213" s="1">
        <f>B214/101</f>
        <v>247</v>
      </c>
      <c r="C213" s="1">
        <f>B214/13</f>
        <v>1919</v>
      </c>
    </row>
    <row r="214" spans="1:12" x14ac:dyDescent="0.25">
      <c r="B214" s="1">
        <f>24947</f>
        <v>24947</v>
      </c>
    </row>
    <row r="216" spans="1:12" x14ac:dyDescent="0.25">
      <c r="B216" s="1" t="s">
        <v>3</v>
      </c>
      <c r="C216" s="1" t="s">
        <v>4</v>
      </c>
      <c r="D216" s="1" t="s">
        <v>5</v>
      </c>
      <c r="E216" s="1" t="s">
        <v>6</v>
      </c>
      <c r="G216" s="1" t="s">
        <v>9</v>
      </c>
      <c r="H216" s="1" t="s">
        <v>10</v>
      </c>
    </row>
    <row r="217" spans="1:12" x14ac:dyDescent="0.25">
      <c r="A217" s="1" t="s">
        <v>7</v>
      </c>
      <c r="B217" s="6">
        <v>9.3461299999999995E-8</v>
      </c>
      <c r="C217" s="7">
        <v>4.7091899999999995E-10</v>
      </c>
      <c r="D217" s="7">
        <v>7.3799999999999999E-8</v>
      </c>
      <c r="E217" s="2">
        <v>2.2499999999999998E-3</v>
      </c>
      <c r="G217" s="1">
        <v>136</v>
      </c>
      <c r="H217" s="1">
        <v>2664070</v>
      </c>
    </row>
    <row r="218" spans="1:12" x14ac:dyDescent="0.25">
      <c r="A218" s="1" t="s">
        <v>8</v>
      </c>
      <c r="B218" s="7">
        <v>0</v>
      </c>
      <c r="C218" s="7">
        <v>1.7E-14</v>
      </c>
      <c r="D218" s="7">
        <v>1.3616500000000001E-5</v>
      </c>
      <c r="E218" s="2">
        <v>0.19500000000000001</v>
      </c>
    </row>
    <row r="220" spans="1:12" ht="19" thickBot="1" x14ac:dyDescent="0.3">
      <c r="A220" s="1" t="s">
        <v>13</v>
      </c>
      <c r="D220" s="1" t="s">
        <v>7</v>
      </c>
      <c r="G220" s="1" t="s">
        <v>11</v>
      </c>
      <c r="H220" s="1" t="s">
        <v>12</v>
      </c>
    </row>
    <row r="221" spans="1:12" ht="19" thickBot="1" x14ac:dyDescent="0.3">
      <c r="A221" s="3">
        <v>1919</v>
      </c>
      <c r="B221" s="3">
        <v>24947</v>
      </c>
      <c r="D221" s="3">
        <v>1919</v>
      </c>
      <c r="E221" s="8">
        <f>-(($K$222 - K223) * $B$217 + $C$217 * B221 * $G$217 + $C$217 * B229 * $G$217 + $D$217 * B221 / $G$221 + $E$217)</f>
        <v>-0.23472574190875936</v>
      </c>
      <c r="G221" s="1">
        <v>2</v>
      </c>
      <c r="H221" s="1">
        <v>16</v>
      </c>
    </row>
    <row r="222" spans="1:12" ht="19" thickBot="1" x14ac:dyDescent="0.3">
      <c r="A222" s="5">
        <v>1313</v>
      </c>
      <c r="B222" s="5">
        <v>24947</v>
      </c>
      <c r="D222" s="5">
        <v>1313</v>
      </c>
      <c r="E222" s="8">
        <f t="shared" ref="E222:E227" si="51">-(($K$222 - K224) * $B$217 + $C$217 * B222 * $G$217 + $C$217 * B230 * $G$217 + $D$217 * B222 / $G$221 + $E$217)</f>
        <v>-0.2407352086765768</v>
      </c>
      <c r="J222" s="1">
        <v>24947</v>
      </c>
      <c r="K222" s="1">
        <v>2664070</v>
      </c>
      <c r="L222" s="1">
        <f>2664070/24947</f>
        <v>106.78919308934942</v>
      </c>
    </row>
    <row r="223" spans="1:12" ht="19" thickBot="1" x14ac:dyDescent="0.3">
      <c r="A223" s="5">
        <v>247</v>
      </c>
      <c r="B223" s="5">
        <v>24947</v>
      </c>
      <c r="D223" s="5">
        <v>247</v>
      </c>
      <c r="E223" s="8">
        <f t="shared" si="51"/>
        <v>-0.2513063168853118</v>
      </c>
      <c r="J223" s="3">
        <v>1919</v>
      </c>
      <c r="K223" s="1">
        <f>J223*L223</f>
        <v>204928.46153846153</v>
      </c>
      <c r="L223" s="1">
        <f t="shared" ref="L223:L229" si="52">2664070/24947</f>
        <v>106.78919308934942</v>
      </c>
    </row>
    <row r="224" spans="1:12" ht="19" thickBot="1" x14ac:dyDescent="0.3">
      <c r="A224" s="5">
        <v>101</v>
      </c>
      <c r="B224" s="5">
        <v>26260</v>
      </c>
      <c r="D224" s="5">
        <v>101</v>
      </c>
      <c r="E224" s="8">
        <f t="shared" si="51"/>
        <v>-0.25297077404019569</v>
      </c>
      <c r="J224" s="5">
        <v>1313</v>
      </c>
      <c r="K224" s="1">
        <f t="shared" ref="K224:K229" si="53">J224*L224</f>
        <v>140214.21052631579</v>
      </c>
      <c r="L224" s="1">
        <f t="shared" si="52"/>
        <v>106.78919308934942</v>
      </c>
    </row>
    <row r="225" spans="1:12" ht="19" thickBot="1" x14ac:dyDescent="0.3">
      <c r="A225" s="5">
        <v>19</v>
      </c>
      <c r="B225" s="5">
        <v>25194</v>
      </c>
      <c r="D225" s="5">
        <v>19</v>
      </c>
      <c r="E225" s="8">
        <f t="shared" si="51"/>
        <v>-0.2536080569042104</v>
      </c>
      <c r="J225" s="5">
        <v>247</v>
      </c>
      <c r="K225" s="1">
        <f t="shared" si="53"/>
        <v>26376.930693069309</v>
      </c>
      <c r="L225" s="1">
        <f t="shared" si="52"/>
        <v>106.78919308934942</v>
      </c>
    </row>
    <row r="226" spans="1:12" ht="19" thickBot="1" x14ac:dyDescent="0.3">
      <c r="A226" s="5">
        <v>13</v>
      </c>
      <c r="B226" s="5">
        <v>25194</v>
      </c>
      <c r="D226" s="5">
        <v>13</v>
      </c>
      <c r="E226" s="8">
        <f t="shared" si="51"/>
        <v>-0.25366755657517887</v>
      </c>
      <c r="J226" s="5">
        <v>101</v>
      </c>
      <c r="K226" s="1">
        <f t="shared" si="53"/>
        <v>10785.708502024292</v>
      </c>
      <c r="L226" s="1">
        <f t="shared" si="52"/>
        <v>106.78919308934942</v>
      </c>
    </row>
    <row r="227" spans="1:12" ht="19" thickBot="1" x14ac:dyDescent="0.3">
      <c r="A227" s="5">
        <v>1</v>
      </c>
      <c r="B227" s="5">
        <v>25207</v>
      </c>
      <c r="D227" s="5">
        <v>1</v>
      </c>
      <c r="E227" s="8">
        <f t="shared" si="51"/>
        <v>-0.25378870078669991</v>
      </c>
      <c r="J227" s="5">
        <v>19</v>
      </c>
      <c r="K227" s="1">
        <f t="shared" si="53"/>
        <v>2028.9946686976391</v>
      </c>
      <c r="L227" s="1">
        <f t="shared" si="52"/>
        <v>106.78919308934942</v>
      </c>
    </row>
    <row r="228" spans="1:12" ht="19" thickBot="1" x14ac:dyDescent="0.3">
      <c r="A228" s="1" t="s">
        <v>14</v>
      </c>
      <c r="D228" s="1" t="s">
        <v>8</v>
      </c>
      <c r="E228" s="8"/>
      <c r="J228" s="5">
        <v>13</v>
      </c>
      <c r="K228" s="1">
        <f t="shared" si="53"/>
        <v>1388.2595101615425</v>
      </c>
      <c r="L228" s="1">
        <f t="shared" si="52"/>
        <v>106.78919308934942</v>
      </c>
    </row>
    <row r="229" spans="1:12" ht="19" thickBot="1" x14ac:dyDescent="0.3">
      <c r="A229" s="3">
        <v>1919</v>
      </c>
      <c r="B229" s="3">
        <v>1919</v>
      </c>
      <c r="D229" s="3">
        <v>1919</v>
      </c>
      <c r="E229" s="8">
        <f>-(($K$222 - K223) * $B$218 + $C$218 * B221 * $G$217 + $C$218 * B229 * $G$217 + $D$218 * B221 / $H$221 + $E$218)</f>
        <v>-0.21623073870794202</v>
      </c>
      <c r="J229" s="5">
        <v>1</v>
      </c>
      <c r="K229" s="1">
        <f t="shared" si="53"/>
        <v>106.78919308934942</v>
      </c>
      <c r="L229" s="1">
        <f t="shared" si="52"/>
        <v>106.78919308934942</v>
      </c>
    </row>
    <row r="230" spans="1:12" ht="19" thickBot="1" x14ac:dyDescent="0.3">
      <c r="A230" s="5">
        <v>1313</v>
      </c>
      <c r="B230" s="5">
        <v>1313</v>
      </c>
      <c r="D230" s="5">
        <v>1313</v>
      </c>
      <c r="E230" s="8">
        <f t="shared" ref="E230:E235" si="54">-(($K$222 - K224) * $B$218 + $C$218 * B222 * $G$217 + $C$218 * B230 * $G$217 + $D$218 * B222 / $H$221 + $E$218)</f>
        <v>-0.21623073730687001</v>
      </c>
    </row>
    <row r="231" spans="1:12" ht="19" thickBot="1" x14ac:dyDescent="0.3">
      <c r="A231" s="5">
        <v>247</v>
      </c>
      <c r="B231" s="5">
        <v>247</v>
      </c>
      <c r="D231" s="5">
        <v>247</v>
      </c>
      <c r="E231" s="8">
        <f>-(($K$222 - K225) * $B$218 + $C$218 * B223 * $G$217 + $C$218 * B231 * $G$217 + $D$218 * B223 / $H$221 + $E$218)</f>
        <v>-0.21623073484227801</v>
      </c>
    </row>
    <row r="232" spans="1:12" ht="19" thickBot="1" x14ac:dyDescent="0.3">
      <c r="A232" s="5">
        <v>101</v>
      </c>
      <c r="B232" s="5">
        <v>1414</v>
      </c>
      <c r="D232" s="5">
        <v>101</v>
      </c>
      <c r="E232" s="8">
        <f>-(($K$222 - K226) * $B$218 + $C$218 * B224 * $G$217 + $C$218 * B232 * $G$217 + $D$218 * B224 / $H$221 + $E$218)</f>
        <v>-0.21734814460728802</v>
      </c>
    </row>
    <row r="233" spans="1:12" ht="19" thickBot="1" x14ac:dyDescent="0.3">
      <c r="A233" s="5">
        <v>19</v>
      </c>
      <c r="B233" s="5">
        <v>266</v>
      </c>
      <c r="D233" s="5">
        <v>19</v>
      </c>
      <c r="E233" s="8">
        <f t="shared" si="54"/>
        <v>-0.21644094017602</v>
      </c>
    </row>
    <row r="234" spans="1:12" ht="19" thickBot="1" x14ac:dyDescent="0.3">
      <c r="A234" s="5">
        <v>13</v>
      </c>
      <c r="B234" s="5">
        <v>260</v>
      </c>
      <c r="D234" s="5">
        <v>13</v>
      </c>
      <c r="E234" s="8">
        <f t="shared" si="54"/>
        <v>-0.21644094016214802</v>
      </c>
    </row>
    <row r="235" spans="1:12" ht="19" thickBot="1" x14ac:dyDescent="0.3">
      <c r="A235" s="5">
        <v>1</v>
      </c>
      <c r="B235" s="5">
        <v>261</v>
      </c>
      <c r="D235" s="5">
        <v>1</v>
      </c>
      <c r="E235" s="8">
        <f t="shared" si="54"/>
        <v>-0.216452003600766</v>
      </c>
    </row>
    <row r="236" spans="1:12" x14ac:dyDescent="0.25">
      <c r="A236" s="9"/>
      <c r="B236" s="9"/>
      <c r="D236" s="9"/>
      <c r="E236" s="8"/>
    </row>
    <row r="237" spans="1:12" x14ac:dyDescent="0.25">
      <c r="A237" s="1" t="s">
        <v>7</v>
      </c>
    </row>
    <row r="238" spans="1:12" x14ac:dyDescent="0.25">
      <c r="A238" s="1" t="s">
        <v>15</v>
      </c>
      <c r="B238" s="1">
        <v>24947</v>
      </c>
    </row>
    <row r="239" spans="1:12" x14ac:dyDescent="0.25">
      <c r="A239" s="1" t="s">
        <v>17</v>
      </c>
      <c r="B239" s="1">
        <v>0</v>
      </c>
    </row>
    <row r="240" spans="1:12" x14ac:dyDescent="0.25">
      <c r="A240" s="1" t="s">
        <v>16</v>
      </c>
      <c r="B240" s="1">
        <v>1</v>
      </c>
      <c r="C240" s="1">
        <v>13</v>
      </c>
      <c r="D240" s="1">
        <v>19</v>
      </c>
      <c r="E240" s="1">
        <v>101</v>
      </c>
      <c r="F240" s="1">
        <v>247</v>
      </c>
      <c r="G240" s="1">
        <v>1313</v>
      </c>
      <c r="H240" s="1">
        <v>1919</v>
      </c>
    </row>
    <row r="241" spans="1:9" x14ac:dyDescent="0.25">
      <c r="A241" s="1">
        <v>1</v>
      </c>
      <c r="I241" s="1">
        <f>SUM(B241:H241)</f>
        <v>0</v>
      </c>
    </row>
    <row r="242" spans="1:9" x14ac:dyDescent="0.25">
      <c r="A242" s="1">
        <v>13</v>
      </c>
      <c r="B242" s="8">
        <f>B239 - E226</f>
        <v>0.25366755657517887</v>
      </c>
      <c r="I242" s="1">
        <f t="shared" ref="I242:I247" si="55">SUM(B242:H242)</f>
        <v>0.25366755657517887</v>
      </c>
    </row>
    <row r="243" spans="1:9" x14ac:dyDescent="0.25">
      <c r="A243" s="1">
        <v>19</v>
      </c>
      <c r="B243" s="8">
        <f>B239 - E225</f>
        <v>0.2536080569042104</v>
      </c>
      <c r="I243" s="1">
        <f t="shared" si="55"/>
        <v>0.2536080569042104</v>
      </c>
    </row>
    <row r="244" spans="1:9" x14ac:dyDescent="0.25">
      <c r="A244" s="1">
        <v>101</v>
      </c>
      <c r="B244" s="8">
        <f>B239-E224</f>
        <v>0.25297077404019569</v>
      </c>
      <c r="I244" s="1">
        <f t="shared" si="55"/>
        <v>0.25297077404019569</v>
      </c>
    </row>
    <row r="245" spans="1:9" x14ac:dyDescent="0.25">
      <c r="A245" s="1">
        <v>247</v>
      </c>
      <c r="B245" s="8">
        <f>B239-E223</f>
        <v>0.2513063168853118</v>
      </c>
      <c r="C245" s="8">
        <f>B239-E223</f>
        <v>0.2513063168853118</v>
      </c>
      <c r="D245" s="8">
        <f>B239 - E223</f>
        <v>0.2513063168853118</v>
      </c>
      <c r="I245" s="1">
        <f t="shared" si="55"/>
        <v>0.75391895065593539</v>
      </c>
    </row>
    <row r="246" spans="1:9" x14ac:dyDescent="0.25">
      <c r="A246" s="1">
        <v>1313</v>
      </c>
      <c r="B246" s="8">
        <f>B239-E222</f>
        <v>0.2407352086765768</v>
      </c>
      <c r="C246" s="8">
        <f>B239-E222</f>
        <v>0.2407352086765768</v>
      </c>
      <c r="E246" s="8">
        <f>B239 - E222</f>
        <v>0.2407352086765768</v>
      </c>
      <c r="I246" s="1">
        <f t="shared" si="55"/>
        <v>0.72220562602973037</v>
      </c>
    </row>
    <row r="247" spans="1:9" x14ac:dyDescent="0.25">
      <c r="A247" s="1">
        <v>1919</v>
      </c>
      <c r="B247" s="8">
        <f>B239-E221</f>
        <v>0.23472574190875936</v>
      </c>
      <c r="D247" s="8">
        <f>B239 - E221</f>
        <v>0.23472574190875936</v>
      </c>
      <c r="E247" s="8">
        <f>B239-E221</f>
        <v>0.23472574190875936</v>
      </c>
      <c r="I247" s="1">
        <f t="shared" si="55"/>
        <v>0.70417722572627806</v>
      </c>
    </row>
    <row r="248" spans="1:9" x14ac:dyDescent="0.25">
      <c r="A248" s="1" t="s">
        <v>15</v>
      </c>
      <c r="B248" s="1">
        <v>24947</v>
      </c>
      <c r="C248" s="1">
        <v>247</v>
      </c>
    </row>
    <row r="249" spans="1:9" x14ac:dyDescent="0.25">
      <c r="A249" s="1" t="s">
        <v>17</v>
      </c>
      <c r="B249" s="1">
        <f>B239</f>
        <v>0</v>
      </c>
      <c r="C249" s="8">
        <f>E223</f>
        <v>-0.2513063168853118</v>
      </c>
    </row>
    <row r="250" spans="1:9" x14ac:dyDescent="0.25">
      <c r="A250" s="1" t="s">
        <v>16</v>
      </c>
      <c r="B250" s="1">
        <v>1</v>
      </c>
      <c r="C250" s="1">
        <v>13</v>
      </c>
      <c r="D250" s="1">
        <v>19</v>
      </c>
      <c r="E250" s="1">
        <v>101</v>
      </c>
      <c r="F250" s="1">
        <v>247</v>
      </c>
      <c r="G250" s="1">
        <v>1313</v>
      </c>
      <c r="H250" s="1">
        <v>1919</v>
      </c>
    </row>
    <row r="251" spans="1:9" x14ac:dyDescent="0.25">
      <c r="A251" s="1">
        <v>1</v>
      </c>
      <c r="I251" s="1">
        <f>SUM(B251:H251)</f>
        <v>0</v>
      </c>
    </row>
    <row r="252" spans="1:9" x14ac:dyDescent="0.25">
      <c r="A252" s="1">
        <v>13</v>
      </c>
      <c r="B252" s="8">
        <f>C249 - E226</f>
        <v>2.3612396898670673E-3</v>
      </c>
      <c r="I252" s="1">
        <f t="shared" ref="I252:I257" si="56">SUM(B252:H252)</f>
        <v>2.3612396898670673E-3</v>
      </c>
    </row>
    <row r="253" spans="1:9" x14ac:dyDescent="0.25">
      <c r="A253" s="1">
        <v>19</v>
      </c>
      <c r="B253" s="8">
        <f>C249 - E225</f>
        <v>2.3017400188986015E-3</v>
      </c>
      <c r="I253" s="1">
        <f t="shared" si="56"/>
        <v>2.3017400188986015E-3</v>
      </c>
    </row>
    <row r="254" spans="1:9" x14ac:dyDescent="0.25">
      <c r="A254" s="1">
        <v>101</v>
      </c>
      <c r="B254" s="8">
        <f>B249-E224</f>
        <v>0.25297077404019569</v>
      </c>
      <c r="I254" s="1">
        <f t="shared" si="56"/>
        <v>0.25297077404019569</v>
      </c>
    </row>
    <row r="255" spans="1:9" x14ac:dyDescent="0.25">
      <c r="A255" s="1">
        <v>247</v>
      </c>
      <c r="B255" s="10"/>
      <c r="C255" s="10"/>
      <c r="D255" s="10"/>
      <c r="E255" s="11"/>
      <c r="F255" s="11"/>
      <c r="G255" s="11"/>
      <c r="H255" s="11"/>
      <c r="I255" s="1">
        <f t="shared" si="56"/>
        <v>0</v>
      </c>
    </row>
    <row r="256" spans="1:9" x14ac:dyDescent="0.25">
      <c r="A256" s="1">
        <v>1313</v>
      </c>
      <c r="B256" s="8">
        <f>B249-E222</f>
        <v>0.2407352086765768</v>
      </c>
      <c r="C256" s="8">
        <f>B249-E222</f>
        <v>0.2407352086765768</v>
      </c>
      <c r="E256" s="8">
        <f>B249-E222</f>
        <v>0.2407352086765768</v>
      </c>
      <c r="I256" s="1">
        <f t="shared" si="56"/>
        <v>0.72220562602973037</v>
      </c>
    </row>
    <row r="257" spans="1:10" x14ac:dyDescent="0.25">
      <c r="A257" s="1">
        <v>1919</v>
      </c>
      <c r="B257" s="8">
        <f>B249-E221</f>
        <v>0.23472574190875936</v>
      </c>
      <c r="D257" s="8">
        <f>B249-E221</f>
        <v>0.23472574190875936</v>
      </c>
      <c r="E257" s="8">
        <f>B249-E221</f>
        <v>0.23472574190875936</v>
      </c>
      <c r="I257" s="1">
        <f t="shared" si="56"/>
        <v>0.70417722572627806</v>
      </c>
    </row>
    <row r="258" spans="1:10" x14ac:dyDescent="0.25">
      <c r="A258" s="1" t="s">
        <v>18</v>
      </c>
    </row>
    <row r="259" spans="1:10" x14ac:dyDescent="0.25">
      <c r="A259" s="1" t="s">
        <v>15</v>
      </c>
      <c r="B259" s="1">
        <v>24947</v>
      </c>
      <c r="C259" s="1">
        <v>247</v>
      </c>
      <c r="D259" s="1">
        <v>1313</v>
      </c>
      <c r="E259" s="1">
        <v>1919</v>
      </c>
    </row>
    <row r="260" spans="1:10" x14ac:dyDescent="0.25">
      <c r="A260" s="1" t="s">
        <v>17</v>
      </c>
      <c r="B260" s="1">
        <f>B249</f>
        <v>0</v>
      </c>
      <c r="C260" s="8">
        <f>E234</f>
        <v>-0.21644094016214802</v>
      </c>
      <c r="D260" s="8">
        <f>E222</f>
        <v>-0.2407352086765768</v>
      </c>
      <c r="E260" s="8">
        <f>E221</f>
        <v>-0.23472574190875936</v>
      </c>
    </row>
    <row r="261" spans="1:10" x14ac:dyDescent="0.25">
      <c r="A261" s="1" t="s">
        <v>16</v>
      </c>
      <c r="B261" s="1">
        <v>1</v>
      </c>
      <c r="C261" s="1">
        <v>13</v>
      </c>
      <c r="D261" s="1">
        <v>19</v>
      </c>
      <c r="E261" s="1">
        <v>101</v>
      </c>
      <c r="F261" s="1">
        <v>247</v>
      </c>
      <c r="G261" s="1">
        <v>1313</v>
      </c>
      <c r="H261" s="1">
        <v>1919</v>
      </c>
    </row>
    <row r="262" spans="1:10" x14ac:dyDescent="0.25">
      <c r="A262" s="1">
        <v>1</v>
      </c>
      <c r="I262" s="1">
        <f>SUM(B262:H262)</f>
        <v>0</v>
      </c>
    </row>
    <row r="263" spans="1:10" x14ac:dyDescent="0.25">
      <c r="A263" s="1">
        <v>13</v>
      </c>
      <c r="B263" s="8">
        <f>C260-E226</f>
        <v>3.722661641303085E-2</v>
      </c>
      <c r="I263" s="1">
        <f t="shared" ref="I263:I268" si="57">SUM(B263:H263)</f>
        <v>3.722661641303085E-2</v>
      </c>
    </row>
    <row r="264" spans="1:10" x14ac:dyDescent="0.25">
      <c r="A264" s="1">
        <v>19</v>
      </c>
      <c r="B264" s="8">
        <f>C260-E225</f>
        <v>3.7167116742062384E-2</v>
      </c>
      <c r="I264" s="1">
        <f t="shared" si="57"/>
        <v>3.7167116742062384E-2</v>
      </c>
    </row>
    <row r="265" spans="1:10" x14ac:dyDescent="0.25">
      <c r="A265" s="1">
        <v>101</v>
      </c>
      <c r="B265" s="8">
        <f>D260-E224</f>
        <v>1.2235565363618889E-2</v>
      </c>
      <c r="I265" s="1">
        <f t="shared" si="57"/>
        <v>1.2235565363618889E-2</v>
      </c>
      <c r="J265" s="13"/>
    </row>
    <row r="266" spans="1:10" x14ac:dyDescent="0.25">
      <c r="A266" s="1">
        <v>247</v>
      </c>
      <c r="B266" s="10"/>
      <c r="C266" s="10"/>
      <c r="D266" s="10"/>
      <c r="E266" s="11"/>
      <c r="F266" s="11"/>
      <c r="G266" s="11"/>
      <c r="H266" s="11"/>
      <c r="I266" s="1">
        <f t="shared" si="57"/>
        <v>0</v>
      </c>
    </row>
    <row r="267" spans="1:10" x14ac:dyDescent="0.25">
      <c r="A267" s="1">
        <v>1313</v>
      </c>
      <c r="B267" s="12"/>
      <c r="C267" s="12"/>
      <c r="D267" s="13"/>
      <c r="E267" s="12"/>
      <c r="F267" s="13"/>
      <c r="G267" s="13"/>
      <c r="H267" s="13"/>
      <c r="I267" s="1">
        <f t="shared" si="57"/>
        <v>0</v>
      </c>
    </row>
    <row r="268" spans="1:10" x14ac:dyDescent="0.25">
      <c r="A268" s="1">
        <v>1919</v>
      </c>
      <c r="B268" s="12"/>
      <c r="C268" s="13"/>
      <c r="D268" s="12"/>
      <c r="E268" s="12"/>
      <c r="F268" s="13"/>
      <c r="G268" s="13"/>
      <c r="H268" s="13"/>
      <c r="I268" s="1">
        <f t="shared" si="57"/>
        <v>0</v>
      </c>
    </row>
    <row r="270" spans="1:10" x14ac:dyDescent="0.25">
      <c r="A270" s="1" t="s">
        <v>8</v>
      </c>
    </row>
    <row r="271" spans="1:10" x14ac:dyDescent="0.25">
      <c r="A271" s="1" t="s">
        <v>15</v>
      </c>
      <c r="B271" s="1">
        <v>24947</v>
      </c>
      <c r="C271" s="1">
        <v>247</v>
      </c>
      <c r="D271" s="1">
        <v>1313</v>
      </c>
      <c r="E271" s="1">
        <v>1919</v>
      </c>
    </row>
    <row r="272" spans="1:10" x14ac:dyDescent="0.25">
      <c r="A272" s="1" t="s">
        <v>17</v>
      </c>
      <c r="B272" s="1">
        <v>0</v>
      </c>
      <c r="C272" s="8">
        <f>E231</f>
        <v>-0.21623073484227801</v>
      </c>
      <c r="D272" s="8">
        <f>E230</f>
        <v>-0.21623073730687001</v>
      </c>
      <c r="E272" s="8">
        <f>E229</f>
        <v>-0.21623073870794202</v>
      </c>
    </row>
    <row r="273" spans="1:9" x14ac:dyDescent="0.25">
      <c r="A273" s="1" t="s">
        <v>16</v>
      </c>
      <c r="B273" s="1">
        <v>1</v>
      </c>
      <c r="C273" s="1">
        <v>13</v>
      </c>
      <c r="D273" s="1">
        <v>19</v>
      </c>
      <c r="E273" s="1">
        <v>101</v>
      </c>
      <c r="F273" s="1">
        <v>247</v>
      </c>
      <c r="G273" s="1">
        <v>1313</v>
      </c>
      <c r="H273" s="1">
        <v>1919</v>
      </c>
    </row>
    <row r="274" spans="1:9" x14ac:dyDescent="0.25">
      <c r="A274" s="1">
        <v>1</v>
      </c>
      <c r="I274" s="1">
        <f>SUM(B274:H274)</f>
        <v>0</v>
      </c>
    </row>
    <row r="275" spans="1:9" x14ac:dyDescent="0.25">
      <c r="A275" s="1">
        <v>13</v>
      </c>
      <c r="B275" s="8">
        <f>C272-E234</f>
        <v>2.1020531987001045E-4</v>
      </c>
      <c r="I275" s="1">
        <f t="shared" ref="I275:I280" si="58">SUM(B275:H275)</f>
        <v>2.1020531987001045E-4</v>
      </c>
    </row>
    <row r="276" spans="1:9" x14ac:dyDescent="0.25">
      <c r="A276" s="1">
        <v>19</v>
      </c>
      <c r="B276" s="8">
        <f>C272-E233</f>
        <v>2.1020533374199735E-4</v>
      </c>
      <c r="I276" s="1">
        <f t="shared" si="58"/>
        <v>2.1020533374199735E-4</v>
      </c>
    </row>
    <row r="277" spans="1:9" x14ac:dyDescent="0.25">
      <c r="A277" s="1">
        <v>101</v>
      </c>
      <c r="B277" s="8">
        <f>D272-E232</f>
        <v>1.1174073004180107E-3</v>
      </c>
      <c r="I277" s="1">
        <f t="shared" si="58"/>
        <v>1.1174073004180107E-3</v>
      </c>
    </row>
    <row r="278" spans="1:9" x14ac:dyDescent="0.25">
      <c r="A278" s="1">
        <v>247</v>
      </c>
      <c r="B278" s="10"/>
      <c r="C278" s="10"/>
      <c r="D278" s="10"/>
      <c r="E278" s="11"/>
      <c r="F278" s="11"/>
      <c r="G278" s="11"/>
      <c r="H278" s="11"/>
      <c r="I278" s="1">
        <f t="shared" si="58"/>
        <v>0</v>
      </c>
    </row>
    <row r="279" spans="1:9" x14ac:dyDescent="0.25">
      <c r="A279" s="1">
        <v>1313</v>
      </c>
      <c r="B279" s="12"/>
      <c r="C279" s="12"/>
      <c r="D279" s="13"/>
      <c r="E279" s="12"/>
      <c r="F279" s="13"/>
      <c r="G279" s="13"/>
      <c r="H279" s="13"/>
      <c r="I279" s="1">
        <f t="shared" si="58"/>
        <v>0</v>
      </c>
    </row>
    <row r="280" spans="1:9" x14ac:dyDescent="0.25">
      <c r="A280" s="1">
        <v>1919</v>
      </c>
      <c r="B280" s="12"/>
      <c r="C280" s="13"/>
      <c r="D280" s="12"/>
      <c r="E280" s="12"/>
      <c r="F280" s="13"/>
      <c r="G280" s="13"/>
      <c r="H280" s="13"/>
      <c r="I280" s="1">
        <f t="shared" si="58"/>
        <v>0</v>
      </c>
    </row>
    <row r="282" spans="1:9" x14ac:dyDescent="0.25">
      <c r="A282" s="1" t="s">
        <v>19</v>
      </c>
    </row>
    <row r="283" spans="1:9" x14ac:dyDescent="0.25">
      <c r="A283" s="1" t="s">
        <v>15</v>
      </c>
      <c r="B283" s="1">
        <v>24947</v>
      </c>
    </row>
    <row r="284" spans="1:9" x14ac:dyDescent="0.25">
      <c r="A284" s="1" t="s">
        <v>17</v>
      </c>
      <c r="B284" s="1">
        <v>24947</v>
      </c>
      <c r="C284" s="8"/>
      <c r="D284" s="8"/>
      <c r="E284" s="8"/>
    </row>
    <row r="285" spans="1:9" x14ac:dyDescent="0.25">
      <c r="A285" s="1" t="s">
        <v>16</v>
      </c>
      <c r="B285" s="1">
        <v>1</v>
      </c>
      <c r="C285" s="1">
        <v>13</v>
      </c>
      <c r="D285" s="1">
        <v>19</v>
      </c>
      <c r="E285" s="1">
        <v>101</v>
      </c>
      <c r="F285" s="1">
        <v>247</v>
      </c>
      <c r="G285" s="1">
        <v>1313</v>
      </c>
      <c r="H285" s="1">
        <v>1919</v>
      </c>
    </row>
    <row r="286" spans="1:9" x14ac:dyDescent="0.25">
      <c r="A286" s="1">
        <v>1</v>
      </c>
      <c r="I286" s="1">
        <f>SUM(B286:H286)</f>
        <v>0</v>
      </c>
    </row>
    <row r="287" spans="1:9" x14ac:dyDescent="0.25">
      <c r="A287" s="1">
        <v>13</v>
      </c>
      <c r="B287" s="8">
        <f>$B$284-$A287</f>
        <v>24934</v>
      </c>
      <c r="I287" s="1">
        <f t="shared" ref="I287:I292" si="59">SUM(B287:H287)</f>
        <v>24934</v>
      </c>
    </row>
    <row r="288" spans="1:9" x14ac:dyDescent="0.25">
      <c r="A288" s="1">
        <v>19</v>
      </c>
      <c r="B288" s="8">
        <f t="shared" ref="B288:E292" si="60">$B$284-$A288</f>
        <v>24928</v>
      </c>
      <c r="I288" s="1">
        <f t="shared" si="59"/>
        <v>24928</v>
      </c>
    </row>
    <row r="289" spans="1:9" x14ac:dyDescent="0.25">
      <c r="A289" s="1">
        <v>101</v>
      </c>
      <c r="B289" s="8">
        <f t="shared" si="60"/>
        <v>24846</v>
      </c>
      <c r="I289" s="1">
        <f t="shared" si="59"/>
        <v>24846</v>
      </c>
    </row>
    <row r="290" spans="1:9" x14ac:dyDescent="0.25">
      <c r="A290" s="1">
        <v>247</v>
      </c>
      <c r="B290" s="8">
        <f t="shared" si="60"/>
        <v>24700</v>
      </c>
      <c r="C290" s="8">
        <f>$B$284-$A290</f>
        <v>24700</v>
      </c>
      <c r="D290" s="8">
        <f>$B$284-$A290</f>
        <v>24700</v>
      </c>
      <c r="E290" s="15"/>
      <c r="F290" s="15"/>
      <c r="G290" s="15"/>
      <c r="H290" s="15"/>
      <c r="I290" s="16">
        <f t="shared" si="59"/>
        <v>74100</v>
      </c>
    </row>
    <row r="291" spans="1:9" x14ac:dyDescent="0.25">
      <c r="A291" s="1">
        <v>1313</v>
      </c>
      <c r="B291" s="8">
        <f t="shared" si="60"/>
        <v>23634</v>
      </c>
      <c r="C291" s="8">
        <f t="shared" si="60"/>
        <v>23634</v>
      </c>
      <c r="D291" s="8"/>
      <c r="E291" s="8">
        <f t="shared" si="60"/>
        <v>23634</v>
      </c>
      <c r="F291" s="14"/>
      <c r="G291" s="14"/>
      <c r="H291" s="14"/>
      <c r="I291" s="1">
        <f t="shared" si="59"/>
        <v>70902</v>
      </c>
    </row>
    <row r="292" spans="1:9" x14ac:dyDescent="0.25">
      <c r="A292" s="1">
        <v>1919</v>
      </c>
      <c r="B292" s="8">
        <f t="shared" si="60"/>
        <v>23028</v>
      </c>
      <c r="C292" s="8"/>
      <c r="D292" s="8">
        <f t="shared" si="60"/>
        <v>23028</v>
      </c>
      <c r="E292" s="8">
        <f t="shared" si="60"/>
        <v>23028</v>
      </c>
      <c r="F292" s="14"/>
      <c r="G292" s="14"/>
      <c r="H292" s="14"/>
      <c r="I292" s="1">
        <f t="shared" si="59"/>
        <v>69084</v>
      </c>
    </row>
    <row r="293" spans="1:9" x14ac:dyDescent="0.25">
      <c r="A293" s="1" t="s">
        <v>18</v>
      </c>
    </row>
    <row r="296" spans="1:9" x14ac:dyDescent="0.25">
      <c r="C296" s="8"/>
      <c r="D296" s="8"/>
      <c r="E296" s="8"/>
    </row>
    <row r="297" spans="1:9" ht="19" thickBot="1" x14ac:dyDescent="0.3"/>
    <row r="298" spans="1:9" ht="19" thickBot="1" x14ac:dyDescent="0.3">
      <c r="B298" s="17">
        <v>0.28979899999999997</v>
      </c>
      <c r="C298" s="18">
        <v>0.90113200000000004</v>
      </c>
    </row>
    <row r="299" spans="1:9" x14ac:dyDescent="0.25">
      <c r="B299" s="8"/>
    </row>
    <row r="300" spans="1:9" x14ac:dyDescent="0.25">
      <c r="B300" s="8" t="s">
        <v>20</v>
      </c>
      <c r="C300" s="1" t="s">
        <v>21</v>
      </c>
    </row>
    <row r="301" spans="1:9" x14ac:dyDescent="0.25">
      <c r="B301" s="8"/>
    </row>
    <row r="302" spans="1:9" x14ac:dyDescent="0.25">
      <c r="B302" s="8">
        <v>8.1503999999999995E-4</v>
      </c>
      <c r="C302" s="8">
        <v>8.7807E-4</v>
      </c>
      <c r="D302" s="8"/>
      <c r="E302" s="15"/>
      <c r="F302" s="15"/>
      <c r="G302" s="15"/>
      <c r="H302" s="15"/>
      <c r="I302" s="16"/>
    </row>
    <row r="303" spans="1:9" x14ac:dyDescent="0.25">
      <c r="B303" s="8"/>
      <c r="C303" s="8"/>
      <c r="D303" s="8"/>
      <c r="E303" s="8"/>
      <c r="F303" s="14"/>
      <c r="G303" s="14"/>
      <c r="H303" s="14"/>
    </row>
    <row r="304" spans="1:9" x14ac:dyDescent="0.25">
      <c r="B304" s="8"/>
      <c r="C304" s="8"/>
      <c r="D304" s="8"/>
      <c r="E304" s="8"/>
      <c r="F304" s="14"/>
      <c r="G304" s="14"/>
      <c r="H304" s="14"/>
    </row>
    <row r="318" spans="2:3" x14ac:dyDescent="0.25">
      <c r="B318" s="1" t="s">
        <v>22</v>
      </c>
      <c r="C318" s="1" t="s">
        <v>23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2017-05-07T12:04:41Z</dcterms:created>
  <dcterms:modified xsi:type="dcterms:W3CDTF">2017-05-19T03:29:23Z</dcterms:modified>
</cp:coreProperties>
</file>