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hohtestarossa/my_github/Mirage-docs/thoh/毕业论文/"/>
    </mc:Choice>
  </mc:AlternateContent>
  <bookViews>
    <workbookView xWindow="0" yWindow="460" windowWidth="28800" windowHeight="16260" tabRatio="500"/>
  </bookViews>
  <sheets>
    <sheet name="工作表1" sheetId="1" r:id="rId1"/>
    <sheet name="工作表2" sheetId="2" r:id="rId2"/>
  </sheets>
  <definedNames>
    <definedName name="OLE_LINK2" localSheetId="0">工作表1!$F$94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8" i="1" l="1"/>
  <c r="D109" i="1"/>
  <c r="D110" i="1"/>
  <c r="D107" i="1"/>
  <c r="C108" i="1"/>
  <c r="C109" i="1"/>
  <c r="C110" i="1"/>
  <c r="C107" i="1"/>
  <c r="J75" i="1"/>
  <c r="J74" i="1"/>
  <c r="D75" i="1"/>
  <c r="D74" i="1"/>
  <c r="C58" i="1"/>
  <c r="C57" i="1"/>
  <c r="C55" i="1"/>
  <c r="C54" i="1"/>
  <c r="B55" i="1"/>
  <c r="B54" i="1"/>
  <c r="D42" i="1"/>
  <c r="C42" i="1"/>
  <c r="C41" i="1"/>
  <c r="M38" i="1"/>
  <c r="L38" i="1"/>
  <c r="M37" i="1"/>
  <c r="L37" i="1"/>
  <c r="M36" i="1"/>
  <c r="L36" i="1"/>
  <c r="M35" i="1"/>
  <c r="L35" i="1"/>
  <c r="K35" i="1"/>
  <c r="M34" i="1"/>
  <c r="L34" i="1"/>
  <c r="M30" i="1"/>
  <c r="L30" i="1"/>
  <c r="M29" i="1"/>
  <c r="L29" i="1"/>
  <c r="K29" i="1"/>
  <c r="M28" i="1"/>
  <c r="L28" i="1"/>
  <c r="M27" i="1"/>
  <c r="L27" i="1"/>
  <c r="M26" i="1"/>
  <c r="L26" i="1"/>
  <c r="H38" i="1"/>
  <c r="H37" i="1"/>
  <c r="G37" i="1"/>
  <c r="H36" i="1"/>
  <c r="G36" i="1"/>
  <c r="H35" i="1"/>
  <c r="G35" i="1"/>
  <c r="F35" i="1"/>
  <c r="H34" i="1"/>
  <c r="G34" i="1"/>
  <c r="H30" i="1"/>
  <c r="G30" i="1"/>
  <c r="H29" i="1"/>
  <c r="G29" i="1"/>
  <c r="H28" i="1"/>
  <c r="G28" i="1"/>
  <c r="H27" i="1"/>
  <c r="G27" i="1"/>
  <c r="H26" i="1"/>
  <c r="G26" i="1"/>
  <c r="C38" i="1"/>
  <c r="C36" i="1"/>
  <c r="B36" i="1"/>
  <c r="C34" i="1"/>
  <c r="B34" i="1"/>
  <c r="C30" i="1"/>
  <c r="B30" i="1"/>
  <c r="C29" i="1"/>
  <c r="B29" i="1"/>
  <c r="C28" i="1"/>
  <c r="B28" i="1"/>
  <c r="C27" i="1"/>
  <c r="B27" i="1"/>
  <c r="B26" i="1"/>
  <c r="C26" i="1"/>
  <c r="D26" i="1"/>
  <c r="D27" i="1"/>
  <c r="D28" i="1"/>
  <c r="D29" i="1"/>
  <c r="D30" i="1"/>
  <c r="A31" i="1"/>
  <c r="B31" i="1"/>
  <c r="C31" i="1"/>
  <c r="D31" i="1"/>
  <c r="C35" i="1"/>
  <c r="D35" i="1"/>
  <c r="D36" i="1"/>
  <c r="C37" i="1"/>
  <c r="D37" i="1"/>
  <c r="D38" i="1"/>
  <c r="A39" i="1"/>
  <c r="B39" i="1"/>
  <c r="C39" i="1"/>
  <c r="D39" i="1"/>
  <c r="D34" i="1"/>
  <c r="K39" i="1"/>
  <c r="L39" i="1"/>
  <c r="M39" i="1"/>
  <c r="N39" i="1"/>
  <c r="N38" i="1"/>
  <c r="N37" i="1"/>
  <c r="N36" i="1"/>
  <c r="N35" i="1"/>
  <c r="N34" i="1"/>
  <c r="K31" i="1"/>
  <c r="L31" i="1"/>
  <c r="M31" i="1"/>
  <c r="N31" i="1"/>
  <c r="N30" i="1"/>
  <c r="N29" i="1"/>
  <c r="N28" i="1"/>
  <c r="N27" i="1"/>
  <c r="N26" i="1"/>
  <c r="I34" i="1"/>
  <c r="I35" i="1"/>
  <c r="I36" i="1"/>
  <c r="I37" i="1"/>
  <c r="I38" i="1"/>
  <c r="F39" i="1"/>
  <c r="G39" i="1"/>
  <c r="H39" i="1"/>
  <c r="I39" i="1"/>
  <c r="I27" i="1"/>
  <c r="I28" i="1"/>
  <c r="I29" i="1"/>
  <c r="I30" i="1"/>
  <c r="F31" i="1"/>
  <c r="G31" i="1"/>
  <c r="H31" i="1"/>
  <c r="I31" i="1"/>
  <c r="I26" i="1"/>
  <c r="G22" i="1"/>
  <c r="G23" i="1"/>
  <c r="G21" i="1"/>
  <c r="G20" i="1"/>
  <c r="A21" i="1"/>
  <c r="A22" i="1"/>
  <c r="A23" i="1"/>
  <c r="G15" i="1"/>
  <c r="G16" i="1"/>
  <c r="G17" i="1"/>
  <c r="G18" i="1"/>
  <c r="G14" i="1"/>
  <c r="K11" i="1"/>
  <c r="K9" i="1"/>
  <c r="D9" i="1"/>
  <c r="E9" i="1"/>
  <c r="D11" i="1"/>
  <c r="E11" i="1"/>
  <c r="D12" i="1"/>
  <c r="E12" i="1"/>
  <c r="D10" i="1"/>
  <c r="E10" i="1"/>
  <c r="C6" i="1"/>
  <c r="D6" i="1"/>
  <c r="B6" i="1"/>
  <c r="A6" i="1"/>
</calcChain>
</file>

<file path=xl/sharedStrings.xml><?xml version="1.0" encoding="utf-8"?>
<sst xmlns="http://schemas.openxmlformats.org/spreadsheetml/2006/main" count="6" uniqueCount="3">
  <si>
    <t>T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</si>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</sst>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Microsoft YaHei"/>
      <family val="3"/>
      <charset val="134"/>
    </font>
    <font>
      <sz val="12"/>
      <color theme="1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原始数据集大小</a:t>
            </a:r>
            <a:r>
              <a:rPr lang="en-US" altLang="zh-CN"/>
              <a:t>-cuboid</a:t>
            </a:r>
            <a:r>
              <a:rPr lang="zh-CN" altLang="en-US"/>
              <a:t>聚合时间（单位：</a:t>
            </a:r>
            <a:r>
              <a:rPr lang="en-US" altLang="zh-CN"/>
              <a:t>s</a:t>
            </a:r>
            <a:r>
              <a:rPr lang="zh-CN" altLang="en-US"/>
              <a:t>）柱形图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数据集：134217728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工作表1!$A$54:$C$54</c:f>
              <c:numCache>
                <c:formatCode>General</c:formatCode>
                <c:ptCount val="3"/>
                <c:pt idx="0">
                  <c:v>0.0008518</c:v>
                </c:pt>
                <c:pt idx="1">
                  <c:v>2.84044E-5</c:v>
                </c:pt>
                <c:pt idx="2">
                  <c:v>6.1488E-6</c:v>
                </c:pt>
              </c:numCache>
            </c:numRef>
          </c:val>
        </c:ser>
        <c:ser>
          <c:idx val="1"/>
          <c:order val="1"/>
          <c:tx>
            <c:v>数据集：262144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工作表1!$A$55:$C$55</c:f>
              <c:numCache>
                <c:formatCode>General</c:formatCode>
                <c:ptCount val="3"/>
                <c:pt idx="0">
                  <c:v>0.0008599</c:v>
                </c:pt>
                <c:pt idx="1">
                  <c:v>2.61902E-5</c:v>
                </c:pt>
                <c:pt idx="2">
                  <c:v>6.4036E-6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31840848"/>
        <c:axId val="-831839072"/>
      </c:barChart>
      <c:catAx>
        <c:axId val="-8318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1839072"/>
        <c:crosses val="autoZero"/>
        <c:auto val="1"/>
        <c:lblAlgn val="ctr"/>
        <c:lblOffset val="100"/>
        <c:noMultiLvlLbl val="0"/>
      </c:catAx>
      <c:valAx>
        <c:axId val="-8318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18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0" i="0" baseline="0">
                <a:effectLst/>
              </a:rPr>
              <a:t>原始数据集大小</a:t>
            </a:r>
            <a:r>
              <a:rPr lang="en-US" altLang="zh-CN" sz="1800" b="0" i="0" baseline="0">
                <a:effectLst/>
              </a:rPr>
              <a:t>-cuboid</a:t>
            </a:r>
            <a:r>
              <a:rPr lang="zh-CN" altLang="en-US" sz="1800" b="0" i="0" baseline="0">
                <a:effectLst/>
              </a:rPr>
              <a:t>聚合时间（单位：</a:t>
            </a:r>
            <a:r>
              <a:rPr lang="en-US" altLang="zh-CN" sz="1800" b="0" i="0" baseline="0">
                <a:effectLst/>
              </a:rPr>
              <a:t>s</a:t>
            </a:r>
            <a:r>
              <a:rPr lang="zh-CN" altLang="en-US" sz="1800" b="0" i="0" baseline="0">
                <a:effectLst/>
              </a:rPr>
              <a:t>）柱形图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数据集：134217728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工作表1!$A$57:$C$57</c:f>
              <c:numCache>
                <c:formatCode>General</c:formatCode>
                <c:ptCount val="3"/>
                <c:pt idx="0">
                  <c:v>0.0008288</c:v>
                </c:pt>
                <c:pt idx="1">
                  <c:v>0.000103967</c:v>
                </c:pt>
                <c:pt idx="2">
                  <c:v>1.86038E-5</c:v>
                </c:pt>
              </c:numCache>
            </c:numRef>
          </c:val>
        </c:ser>
        <c:ser>
          <c:idx val="1"/>
          <c:order val="1"/>
          <c:tx>
            <c:v>数据集：262144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工作表1!$A$58:$C$58</c:f>
              <c:numCache>
                <c:formatCode>General</c:formatCode>
                <c:ptCount val="3"/>
                <c:pt idx="0">
                  <c:v>0.0008339</c:v>
                </c:pt>
                <c:pt idx="1">
                  <c:v>0.000117804</c:v>
                </c:pt>
                <c:pt idx="2">
                  <c:v>1.7815E-5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37266704"/>
        <c:axId val="-834865952"/>
      </c:barChart>
      <c:catAx>
        <c:axId val="-83726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4865952"/>
        <c:crosses val="autoZero"/>
        <c:auto val="1"/>
        <c:lblAlgn val="ctr"/>
        <c:lblOffset val="100"/>
        <c:noMultiLvlLbl val="0"/>
      </c:catAx>
      <c:valAx>
        <c:axId val="-8348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726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聚合路径优化算法有无</a:t>
            </a:r>
            <a:r>
              <a:rPr lang="en-US" altLang="zh-CN"/>
              <a:t>-cuboid</a:t>
            </a:r>
            <a:r>
              <a:rPr lang="zh-CN" altLang="en-US"/>
              <a:t>聚合时间（单位：</a:t>
            </a:r>
            <a:r>
              <a:rPr lang="en-US" altLang="zh-CN"/>
              <a:t>s</a:t>
            </a:r>
            <a:r>
              <a:rPr lang="zh-CN" altLang="en-US"/>
              <a:t>）柱形图（</a:t>
            </a:r>
            <a:r>
              <a:rPr lang="en-US" altLang="zh-CN"/>
              <a:t>13, 101, 19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使用聚合路径优化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total</c:v>
              </c:pt>
            </c:strLit>
          </c:cat>
          <c:val>
            <c:numRef>
              <c:f>工作表1!$A$74:$D$74</c:f>
              <c:numCache>
                <c:formatCode>General</c:formatCode>
                <c:ptCount val="4"/>
                <c:pt idx="0">
                  <c:v>0.000859935</c:v>
                </c:pt>
                <c:pt idx="1">
                  <c:v>2.619E-5</c:v>
                </c:pt>
                <c:pt idx="2">
                  <c:v>6.404E-6</c:v>
                </c:pt>
                <c:pt idx="3">
                  <c:v>0.000892529</c:v>
                </c:pt>
              </c:numCache>
            </c:numRef>
          </c:val>
        </c:ser>
        <c:ser>
          <c:idx val="1"/>
          <c:order val="1"/>
          <c:tx>
            <c:v>不使用聚合路径优化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total</c:v>
              </c:pt>
            </c:strLit>
          </c:cat>
          <c:val>
            <c:numRef>
              <c:f>工作表1!$A$75:$D$75</c:f>
              <c:numCache>
                <c:formatCode>General</c:formatCode>
                <c:ptCount val="4"/>
                <c:pt idx="0">
                  <c:v>0.000833913</c:v>
                </c:pt>
                <c:pt idx="1">
                  <c:v>0.00016831</c:v>
                </c:pt>
                <c:pt idx="2">
                  <c:v>1.7815E-5</c:v>
                </c:pt>
                <c:pt idx="3">
                  <c:v>0.001020038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36506480"/>
        <c:axId val="-835857184"/>
      </c:barChart>
      <c:catAx>
        <c:axId val="-83650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5857184"/>
        <c:crosses val="autoZero"/>
        <c:auto val="1"/>
        <c:lblAlgn val="ctr"/>
        <c:lblOffset val="100"/>
        <c:noMultiLvlLbl val="0"/>
      </c:catAx>
      <c:valAx>
        <c:axId val="-835857184"/>
        <c:scaling>
          <c:orientation val="minMax"/>
          <c:max val="0.00105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650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baseline="0">
                <a:effectLst/>
              </a:rPr>
              <a:t>聚合路径优化算法有无</a:t>
            </a:r>
            <a:r>
              <a:rPr lang="en-US" altLang="zh-CN" sz="1400" b="0" i="0" baseline="0">
                <a:effectLst/>
              </a:rPr>
              <a:t>-cuboid</a:t>
            </a:r>
            <a:r>
              <a:rPr lang="zh-CN" altLang="en-US" sz="1400" b="0" i="0" baseline="0">
                <a:effectLst/>
              </a:rPr>
              <a:t>聚合时间（单位：</a:t>
            </a:r>
            <a:r>
              <a:rPr lang="en-US" altLang="zh-CN" sz="1400" b="0" i="0" baseline="0">
                <a:effectLst/>
              </a:rPr>
              <a:t>s</a:t>
            </a:r>
            <a:r>
              <a:rPr lang="zh-CN" altLang="en-US" sz="1400" b="0" i="0" baseline="0">
                <a:effectLst/>
              </a:rPr>
              <a:t>）柱形图（</a:t>
            </a:r>
            <a:r>
              <a:rPr lang="en-US" altLang="zh-CN" sz="1400" b="0" i="0" baseline="0">
                <a:effectLst/>
              </a:rPr>
              <a:t>3, 101, 11</a:t>
            </a:r>
            <a:r>
              <a:rPr lang="zh-CN" altLang="en-US" sz="1400" b="0" i="0" baseline="0">
                <a:effectLst/>
              </a:rPr>
              <a:t>）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使用聚合路径优化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total</c:v>
              </c:pt>
            </c:strLit>
          </c:cat>
          <c:val>
            <c:numRef>
              <c:f>工作表1!$G$74:$J$74</c:f>
              <c:numCache>
                <c:formatCode>General</c:formatCode>
                <c:ptCount val="4"/>
                <c:pt idx="0">
                  <c:v>0.000277024</c:v>
                </c:pt>
                <c:pt idx="1">
                  <c:v>7.584E-6</c:v>
                </c:pt>
                <c:pt idx="2">
                  <c:v>5.732E-6</c:v>
                </c:pt>
                <c:pt idx="3">
                  <c:v>0.00029034</c:v>
                </c:pt>
              </c:numCache>
            </c:numRef>
          </c:val>
        </c:ser>
        <c:ser>
          <c:idx val="1"/>
          <c:order val="1"/>
          <c:tx>
            <c:v>未使用聚合路径优化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total</c:v>
              </c:pt>
            </c:strLit>
          </c:cat>
          <c:val>
            <c:numRef>
              <c:f>工作表1!$G$75:$J$75</c:f>
              <c:numCache>
                <c:formatCode>General</c:formatCode>
                <c:ptCount val="4"/>
                <c:pt idx="0">
                  <c:v>0.000260116</c:v>
                </c:pt>
                <c:pt idx="1">
                  <c:v>4.6094E-5</c:v>
                </c:pt>
                <c:pt idx="2">
                  <c:v>2.1583E-5</c:v>
                </c:pt>
                <c:pt idx="3">
                  <c:v>0.000327793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59086704"/>
        <c:axId val="-837933824"/>
      </c:barChart>
      <c:catAx>
        <c:axId val="-8590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7933824"/>
        <c:crosses val="autoZero"/>
        <c:auto val="1"/>
        <c:lblAlgn val="ctr"/>
        <c:lblOffset val="100"/>
        <c:noMultiLvlLbl val="0"/>
      </c:catAx>
      <c:valAx>
        <c:axId val="-837933824"/>
        <c:scaling>
          <c:orientation val="minMax"/>
          <c:max val="0.00033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590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Kernel</a:t>
            </a:r>
            <a:r>
              <a:rPr lang="zh-CN" altLang="en-US"/>
              <a:t>数</a:t>
            </a:r>
            <a:r>
              <a:rPr lang="en-US" altLang="zh-CN"/>
              <a:t>-</a:t>
            </a:r>
            <a:r>
              <a:rPr lang="zh-CN" altLang="en-US"/>
              <a:t>底层</a:t>
            </a:r>
            <a:r>
              <a:rPr lang="en-US" altLang="zh-CN"/>
              <a:t>cuboid</a:t>
            </a:r>
            <a:r>
              <a:rPr lang="zh-CN" altLang="en-US"/>
              <a:t>生成时间（单位：</a:t>
            </a:r>
            <a:r>
              <a:rPr lang="en-US" altLang="zh-CN"/>
              <a:t>s</a:t>
            </a:r>
            <a:r>
              <a:rPr lang="zh-CN" altLang="en-US"/>
              <a:t>）柱形图（数据集：</a:t>
            </a:r>
            <a:r>
              <a:rPr lang="en-US" altLang="zh-CN"/>
              <a:t>134217728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</c:strLit>
          </c:cat>
          <c:val>
            <c:numRef>
              <c:f>工作表1!$A$91:$E$91</c:f>
              <c:numCache>
                <c:formatCode>General</c:formatCode>
                <c:ptCount val="5"/>
                <c:pt idx="0">
                  <c:v>2.810336</c:v>
                </c:pt>
                <c:pt idx="1">
                  <c:v>1.798154</c:v>
                </c:pt>
                <c:pt idx="2">
                  <c:v>1.701672</c:v>
                </c:pt>
                <c:pt idx="3">
                  <c:v>1.718508</c:v>
                </c:pt>
                <c:pt idx="4">
                  <c:v>1.62508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31342000"/>
        <c:axId val="-834363152"/>
      </c:barChart>
      <c:catAx>
        <c:axId val="-8313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4363152"/>
        <c:crosses val="autoZero"/>
        <c:auto val="1"/>
        <c:lblAlgn val="ctr"/>
        <c:lblOffset val="100"/>
        <c:noMultiLvlLbl val="0"/>
      </c:catAx>
      <c:valAx>
        <c:axId val="-8343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134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数据集大小</a:t>
            </a:r>
            <a:r>
              <a:rPr lang="en-US" altLang="zh-CN"/>
              <a:t>-</a:t>
            </a:r>
            <a:r>
              <a:rPr lang="zh-CN" altLang="en-US"/>
              <a:t>底层</a:t>
            </a:r>
            <a:r>
              <a:rPr lang="en-US" altLang="zh-CN"/>
              <a:t>cuboid</a:t>
            </a:r>
            <a:r>
              <a:rPr lang="zh-CN" altLang="en-US"/>
              <a:t>生成时间（单位：</a:t>
            </a:r>
            <a:r>
              <a:rPr lang="en-US" altLang="zh-CN"/>
              <a:t>s</a:t>
            </a:r>
            <a:r>
              <a:rPr lang="zh-CN" altLang="en-US"/>
              <a:t>）线性图（</a:t>
            </a:r>
            <a:r>
              <a:rPr lang="en-US" altLang="zh-CN"/>
              <a:t>xy</a:t>
            </a:r>
            <a:r>
              <a:rPr lang="zh-CN" altLang="en-US"/>
              <a:t>坐标轴均幂处理）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工作表1!$A$107:$A$110</c:f>
              <c:numCache>
                <c:formatCode>General</c:formatCode>
                <c:ptCount val="4"/>
                <c:pt idx="0">
                  <c:v>262144.0</c:v>
                </c:pt>
                <c:pt idx="1">
                  <c:v>2.097152E6</c:v>
                </c:pt>
                <c:pt idx="2">
                  <c:v>1.6777216E7</c:v>
                </c:pt>
                <c:pt idx="3">
                  <c:v>1.34217728E8</c:v>
                </c:pt>
              </c:numCache>
            </c:numRef>
          </c:xVal>
          <c:yVal>
            <c:numRef>
              <c:f>工作表1!$B$107:$B$110</c:f>
              <c:numCache>
                <c:formatCode>General</c:formatCode>
                <c:ptCount val="4"/>
                <c:pt idx="0">
                  <c:v>0.0260788</c:v>
                </c:pt>
                <c:pt idx="1">
                  <c:v>0.06733256</c:v>
                </c:pt>
                <c:pt idx="2">
                  <c:v>0.3991288</c:v>
                </c:pt>
                <c:pt idx="3">
                  <c:v>1.62508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4169392"/>
        <c:axId val="-779038192"/>
      </c:scatterChart>
      <c:valAx>
        <c:axId val="-834169392"/>
        <c:scaling>
          <c:logBase val="2.0"/>
          <c:orientation val="minMax"/>
          <c:min val="262144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79038192"/>
        <c:crosses val="autoZero"/>
        <c:crossBetween val="midCat"/>
      </c:valAx>
      <c:valAx>
        <c:axId val="-779038192"/>
        <c:scaling>
          <c:logBase val="2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3416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178326</xdr:colOff>
      <xdr:row>58</xdr:row>
      <xdr:rowOff>168193</xdr:rowOff>
    </xdr:from>
    <xdr:to>
      <xdr:col>5</xdr:col>
      <xdr:colOff>163849</xdr:colOff>
      <xdr:row>72</xdr:row>
      <xdr:rowOff>55538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250710</xdr:colOff>
      <xdr:row>58</xdr:row>
      <xdr:rowOff>161612</xdr:rowOff>
    </xdr:from>
    <xdr:to>
      <xdr:col>10</xdr:col>
      <xdr:colOff>446804</xdr:colOff>
      <xdr:row>72</xdr:row>
      <xdr:rowOff>48957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250710</xdr:colOff>
      <xdr:row>75</xdr:row>
      <xdr:rowOff>95809</xdr:rowOff>
    </xdr:from>
    <xdr:to>
      <xdr:col>5</xdr:col>
      <xdr:colOff>236233</xdr:colOff>
      <xdr:row>88</xdr:row>
      <xdr:rowOff>187143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573144</xdr:colOff>
      <xdr:row>75</xdr:row>
      <xdr:rowOff>108970</xdr:rowOff>
    </xdr:from>
    <xdr:to>
      <xdr:col>10</xdr:col>
      <xdr:colOff>769238</xdr:colOff>
      <xdr:row>88</xdr:row>
      <xdr:rowOff>200305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237549</xdr:colOff>
      <xdr:row>91</xdr:row>
      <xdr:rowOff>155032</xdr:rowOff>
    </xdr:from>
    <xdr:to>
      <xdr:col>5</xdr:col>
      <xdr:colOff>223072</xdr:colOff>
      <xdr:row>105</xdr:row>
      <xdr:rowOff>42377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152005</xdr:colOff>
      <xdr:row>110</xdr:row>
      <xdr:rowOff>89229</xdr:rowOff>
    </xdr:from>
    <xdr:to>
      <xdr:col>5</xdr:col>
      <xdr:colOff>137528</xdr:colOff>
      <xdr:row>123</xdr:row>
      <xdr:rowOff>180564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showRuler="0" topLeftCell="A82" zoomScale="193" zoomScaleNormal="193" zoomScalePageLayoutView="193" workbookViewId="0">
      <selection activeCell="F117" sqref="F117"/>
    </sheetView>
  </sheetViews>
  <sheetFormatPr baseColWidth="10" defaultRowHeight="16" x14ac:dyDescent="0.2"/>
  <cols>
    <col min="2" max="4" width="12.83203125" bestFit="1" customWidth="1"/>
    <col min="6" max="6" width="10.83203125" customWidth="1"/>
    <col min="7" max="7" width="13.6640625" bestFit="1" customWidth="1"/>
    <col min="8" max="8" width="12.5" bestFit="1" customWidth="1"/>
    <col min="11" max="13" width="12.5" bestFit="1" customWidth="1"/>
  </cols>
  <sheetData>
    <row r="1" spans="1:11" x14ac:dyDescent="0.2">
      <c r="A1">
        <v>166.29</v>
      </c>
      <c r="B1">
        <v>21.0871</v>
      </c>
      <c r="C1">
        <v>2.7441200000000001</v>
      </c>
      <c r="D1">
        <v>0.350161</v>
      </c>
    </row>
    <row r="2" spans="1:11" x14ac:dyDescent="0.2">
      <c r="A2">
        <v>168.18100000000001</v>
      </c>
      <c r="B2">
        <v>20.954499999999999</v>
      </c>
      <c r="C2">
        <v>2.7265199999999998</v>
      </c>
      <c r="D2">
        <v>0.34717599999999998</v>
      </c>
    </row>
    <row r="3" spans="1:11" x14ac:dyDescent="0.2">
      <c r="A3">
        <v>167.26400000000001</v>
      </c>
      <c r="B3">
        <v>21.070699999999999</v>
      </c>
      <c r="C3">
        <v>2.7533099999999999</v>
      </c>
      <c r="D3">
        <v>0.354771</v>
      </c>
    </row>
    <row r="4" spans="1:11" x14ac:dyDescent="0.2">
      <c r="A4">
        <v>165.62799999999999</v>
      </c>
      <c r="B4">
        <v>21.382100000000001</v>
      </c>
      <c r="C4">
        <v>2.7442700000000002</v>
      </c>
      <c r="D4">
        <v>0.35381800000000002</v>
      </c>
    </row>
    <row r="5" spans="1:11" x14ac:dyDescent="0.2">
      <c r="A5">
        <v>165.983</v>
      </c>
      <c r="B5">
        <v>21.071200000000001</v>
      </c>
      <c r="C5">
        <v>2.74024</v>
      </c>
      <c r="D5">
        <v>0.35412199999999999</v>
      </c>
    </row>
    <row r="6" spans="1:11" x14ac:dyDescent="0.2">
      <c r="A6">
        <f>AVERAGE(A1:A5)</f>
        <v>166.66919999999999</v>
      </c>
      <c r="B6">
        <f>AVERAGE(B1:B5)</f>
        <v>21.113120000000002</v>
      </c>
      <c r="C6">
        <f t="shared" ref="C6:D6" si="0">AVERAGE(C1:C5)</f>
        <v>2.7416919999999996</v>
      </c>
      <c r="D6">
        <f t="shared" si="0"/>
        <v>0.35200960000000003</v>
      </c>
    </row>
    <row r="8" spans="1:11" x14ac:dyDescent="0.2">
      <c r="A8">
        <v>136</v>
      </c>
      <c r="B8">
        <v>4</v>
      </c>
    </row>
    <row r="9" spans="1:11" x14ac:dyDescent="0.2">
      <c r="A9">
        <v>31</v>
      </c>
      <c r="B9">
        <v>79</v>
      </c>
      <c r="C9">
        <v>11</v>
      </c>
      <c r="D9">
        <f>A9*B9*C9</f>
        <v>26939</v>
      </c>
      <c r="E9">
        <f>$A$8*D9+$B$8</f>
        <v>3663708</v>
      </c>
      <c r="F9">
        <v>2.7969500000000001E-2</v>
      </c>
      <c r="G9">
        <v>2.6116799999999999E-2</v>
      </c>
      <c r="H9">
        <v>2.4481699999999999E-2</v>
      </c>
      <c r="I9">
        <v>3.2162099999999999E-2</v>
      </c>
      <c r="J9">
        <v>2.6216699999999999E-2</v>
      </c>
      <c r="K9">
        <f>AVERAGE(F9:J9)</f>
        <v>2.7389360000000001E-2</v>
      </c>
    </row>
    <row r="10" spans="1:11" x14ac:dyDescent="0.2">
      <c r="A10">
        <v>19</v>
      </c>
      <c r="B10">
        <v>101</v>
      </c>
      <c r="C10">
        <v>13</v>
      </c>
      <c r="D10">
        <f>A10*B10*C10</f>
        <v>24947</v>
      </c>
      <c r="E10">
        <f>$A$8*D10+$B$8</f>
        <v>3392796</v>
      </c>
    </row>
    <row r="11" spans="1:11" x14ac:dyDescent="0.2">
      <c r="A11">
        <v>7</v>
      </c>
      <c r="B11">
        <v>11</v>
      </c>
      <c r="C11">
        <v>13</v>
      </c>
      <c r="D11">
        <f>A11*B11*C11</f>
        <v>1001</v>
      </c>
      <c r="E11">
        <f t="shared" ref="E11:E12" si="1">$A$8*D11+$B$8</f>
        <v>136140</v>
      </c>
      <c r="F11">
        <v>8.7279700000000003E-4</v>
      </c>
      <c r="G11">
        <v>7.2154800000000002E-4</v>
      </c>
      <c r="H11">
        <v>8.3918299999999996E-4</v>
      </c>
      <c r="I11">
        <v>8.4719600000000004E-4</v>
      </c>
      <c r="J11">
        <v>7.70078E-4</v>
      </c>
      <c r="K11">
        <f t="shared" ref="K11" si="2">AVERAGE(F11:J11)</f>
        <v>8.1016040000000001E-4</v>
      </c>
    </row>
    <row r="12" spans="1:11" x14ac:dyDescent="0.2">
      <c r="A12">
        <v>3</v>
      </c>
      <c r="B12">
        <v>5</v>
      </c>
      <c r="C12">
        <v>7</v>
      </c>
      <c r="D12">
        <f>A12*B12*C12</f>
        <v>105</v>
      </c>
      <c r="E12">
        <f t="shared" si="1"/>
        <v>14284</v>
      </c>
    </row>
    <row r="14" spans="1:11" x14ac:dyDescent="0.2">
      <c r="A14">
        <v>1</v>
      </c>
      <c r="B14">
        <v>2.7637100000000001</v>
      </c>
      <c r="C14">
        <v>2.9511099999999999</v>
      </c>
      <c r="D14">
        <v>2.9335499999999999</v>
      </c>
      <c r="E14">
        <v>2.6424699999999999</v>
      </c>
      <c r="F14">
        <v>2.76084</v>
      </c>
      <c r="G14">
        <f>AVERAGE(B14:F14)</f>
        <v>2.8103359999999999</v>
      </c>
    </row>
    <row r="15" spans="1:11" x14ac:dyDescent="0.2">
      <c r="A15">
        <v>2</v>
      </c>
      <c r="B15">
        <v>1.7837000000000001</v>
      </c>
      <c r="C15">
        <v>1.78552</v>
      </c>
      <c r="D15">
        <v>1.84172</v>
      </c>
      <c r="E15">
        <v>1.7930699999999999</v>
      </c>
      <c r="F15">
        <v>1.7867599999999999</v>
      </c>
      <c r="G15">
        <f t="shared" ref="G15:G23" si="3">AVERAGE(B15:F15)</f>
        <v>1.7981539999999998</v>
      </c>
    </row>
    <row r="16" spans="1:11" x14ac:dyDescent="0.2">
      <c r="A16">
        <v>4</v>
      </c>
      <c r="B16">
        <v>1.68628</v>
      </c>
      <c r="C16">
        <v>1.7434799999999999</v>
      </c>
      <c r="D16">
        <v>1.70278</v>
      </c>
      <c r="E16">
        <v>1.6884399999999999</v>
      </c>
      <c r="F16">
        <v>1.6873800000000001</v>
      </c>
      <c r="G16">
        <f t="shared" si="3"/>
        <v>1.7016719999999999</v>
      </c>
    </row>
    <row r="17" spans="1:14" x14ac:dyDescent="0.2">
      <c r="A17">
        <v>8</v>
      </c>
      <c r="B17">
        <v>1.6958899999999999</v>
      </c>
      <c r="C17">
        <v>1.7083900000000001</v>
      </c>
      <c r="D17">
        <v>1.71671</v>
      </c>
      <c r="E17">
        <v>1.76871</v>
      </c>
      <c r="F17">
        <v>1.7028399999999999</v>
      </c>
      <c r="G17">
        <f t="shared" si="3"/>
        <v>1.7185079999999999</v>
      </c>
    </row>
    <row r="18" spans="1:14" x14ac:dyDescent="0.2">
      <c r="A18">
        <v>16</v>
      </c>
      <c r="B18">
        <v>1.6270899999999999</v>
      </c>
      <c r="C18">
        <v>1.64252</v>
      </c>
      <c r="D18">
        <v>1.61145</v>
      </c>
      <c r="E18">
        <v>1.6164000000000001</v>
      </c>
      <c r="F18">
        <v>1.6279399999999999</v>
      </c>
      <c r="G18">
        <f t="shared" si="3"/>
        <v>1.6250800000000001</v>
      </c>
    </row>
    <row r="20" spans="1:14" x14ac:dyDescent="0.2">
      <c r="A20">
        <v>262144</v>
      </c>
      <c r="B20">
        <v>2.3454599999999999E-2</v>
      </c>
      <c r="C20">
        <v>2.26307E-2</v>
      </c>
      <c r="D20">
        <v>3.2100499999999997E-2</v>
      </c>
      <c r="E20">
        <v>2.25455E-2</v>
      </c>
      <c r="F20">
        <v>2.96627E-2</v>
      </c>
      <c r="G20">
        <f t="shared" si="3"/>
        <v>2.6078800000000003E-2</v>
      </c>
    </row>
    <row r="21" spans="1:14" x14ac:dyDescent="0.2">
      <c r="A21">
        <f>A20*8</f>
        <v>2097152</v>
      </c>
      <c r="B21">
        <v>6.9671200000000003E-2</v>
      </c>
      <c r="C21">
        <v>6.6352900000000006E-2</v>
      </c>
      <c r="D21">
        <v>6.6452700000000003E-2</v>
      </c>
      <c r="E21">
        <v>6.5012200000000006E-2</v>
      </c>
      <c r="F21">
        <v>6.9173799999999994E-2</v>
      </c>
      <c r="G21">
        <f t="shared" si="3"/>
        <v>6.7332560000000014E-2</v>
      </c>
    </row>
    <row r="22" spans="1:14" x14ac:dyDescent="0.2">
      <c r="A22">
        <f t="shared" ref="A22:A23" si="4">A21*8</f>
        <v>16777216</v>
      </c>
      <c r="B22">
        <v>0.38750099999999998</v>
      </c>
      <c r="C22">
        <v>0.40157300000000001</v>
      </c>
      <c r="D22">
        <v>0.38253700000000002</v>
      </c>
      <c r="E22">
        <v>0.41733399999999998</v>
      </c>
      <c r="F22">
        <v>0.40669899999999998</v>
      </c>
      <c r="G22">
        <f t="shared" si="3"/>
        <v>0.39912879999999995</v>
      </c>
    </row>
    <row r="23" spans="1:14" x14ac:dyDescent="0.2">
      <c r="A23">
        <f t="shared" si="4"/>
        <v>134217728</v>
      </c>
      <c r="B23">
        <v>1.6270899999999999</v>
      </c>
      <c r="C23">
        <v>1.64252</v>
      </c>
      <c r="D23">
        <v>1.61145</v>
      </c>
      <c r="E23">
        <v>1.6164000000000001</v>
      </c>
      <c r="F23">
        <v>1.6279399999999999</v>
      </c>
      <c r="G23">
        <f t="shared" si="3"/>
        <v>1.6250800000000001</v>
      </c>
    </row>
    <row r="25" spans="1:14" x14ac:dyDescent="0.2">
      <c r="A25">
        <v>24947</v>
      </c>
      <c r="B25">
        <v>134217728</v>
      </c>
      <c r="C25" t="s">
        <v>0</v>
      </c>
      <c r="F25">
        <v>24947</v>
      </c>
      <c r="G25">
        <v>262144</v>
      </c>
      <c r="H25" t="s">
        <v>0</v>
      </c>
      <c r="K25">
        <v>3333</v>
      </c>
      <c r="L25">
        <v>262144</v>
      </c>
      <c r="M25" t="s">
        <v>0</v>
      </c>
    </row>
    <row r="26" spans="1:14" x14ac:dyDescent="0.2">
      <c r="A26">
        <v>8.4996699999999998E-4</v>
      </c>
      <c r="B26">
        <f>2.2376/100000</f>
        <v>2.2376000000000001E-5</v>
      </c>
      <c r="C26">
        <f>7.304/1000000</f>
        <v>7.3039999999999999E-6</v>
      </c>
      <c r="D26">
        <f t="shared" ref="D26:D31" si="5">SUM(A26:C26)</f>
        <v>8.7964699999999989E-4</v>
      </c>
      <c r="F26">
        <v>8.52248E-4</v>
      </c>
      <c r="G26">
        <f>2.4348/100000</f>
        <v>2.4348000000000001E-5</v>
      </c>
      <c r="H26">
        <f>5.477/1000000</f>
        <v>5.4770000000000002E-6</v>
      </c>
      <c r="I26">
        <f>SUM(F26:H26)</f>
        <v>8.8207300000000004E-4</v>
      </c>
      <c r="K26">
        <v>2.6577000000000003E-4</v>
      </c>
      <c r="L26">
        <f>6.192/1000000</f>
        <v>6.1920000000000002E-6</v>
      </c>
      <c r="M26">
        <f>5.146/1000000</f>
        <v>5.1459999999999995E-6</v>
      </c>
      <c r="N26">
        <f>SUM(K26:M26)</f>
        <v>2.7710800000000003E-4</v>
      </c>
    </row>
    <row r="27" spans="1:14" x14ac:dyDescent="0.2">
      <c r="A27">
        <v>8.5836300000000001E-4</v>
      </c>
      <c r="B27">
        <f>2.7017/100000</f>
        <v>2.7017000000000002E-5</v>
      </c>
      <c r="C27">
        <f>5.823/1000000</f>
        <v>5.823E-6</v>
      </c>
      <c r="D27">
        <f t="shared" si="5"/>
        <v>8.9120300000000003E-4</v>
      </c>
      <c r="F27">
        <v>8.5793399999999998E-4</v>
      </c>
      <c r="G27">
        <f>3.3282/100000</f>
        <v>3.3281999999999997E-5</v>
      </c>
      <c r="H27">
        <f>5.853/1000000</f>
        <v>5.8529999999999997E-6</v>
      </c>
      <c r="I27">
        <f t="shared" ref="I27:I39" si="6">SUM(F27:H27)</f>
        <v>8.9706900000000001E-4</v>
      </c>
      <c r="K27">
        <v>2.6943399999999998E-4</v>
      </c>
      <c r="L27">
        <f>9.971/1000000</f>
        <v>9.9709999999999999E-6</v>
      </c>
      <c r="M27">
        <f>5.301/1000000</f>
        <v>5.3010000000000006E-6</v>
      </c>
      <c r="N27">
        <f t="shared" ref="N27:N31" si="7">SUM(K27:M27)</f>
        <v>2.8470599999999997E-4</v>
      </c>
    </row>
    <row r="28" spans="1:14" x14ac:dyDescent="0.2">
      <c r="A28">
        <v>8.4171699999999996E-4</v>
      </c>
      <c r="B28">
        <f>2.8714/100000</f>
        <v>2.8714E-5</v>
      </c>
      <c r="C28">
        <f>5.564/1000000</f>
        <v>5.5640000000000004E-6</v>
      </c>
      <c r="D28">
        <f t="shared" si="5"/>
        <v>8.7599499999999996E-4</v>
      </c>
      <c r="F28">
        <v>8.53246E-4</v>
      </c>
      <c r="G28">
        <f>2.768/100000</f>
        <v>2.7679999999999999E-5</v>
      </c>
      <c r="H28">
        <f>7.249/1000000</f>
        <v>7.2489999999999995E-6</v>
      </c>
      <c r="I28">
        <f t="shared" si="6"/>
        <v>8.8817499999999995E-4</v>
      </c>
      <c r="K28">
        <v>2.9135000000000001E-4</v>
      </c>
      <c r="L28">
        <f>8.558/1000000</f>
        <v>8.5580000000000001E-6</v>
      </c>
      <c r="M28">
        <f>7.1/1000000</f>
        <v>7.0999999999999998E-6</v>
      </c>
      <c r="N28">
        <f t="shared" si="7"/>
        <v>3.07008E-4</v>
      </c>
    </row>
    <row r="29" spans="1:14" x14ac:dyDescent="0.2">
      <c r="A29">
        <v>8.5839E-4</v>
      </c>
      <c r="B29">
        <f>3.5885/100000</f>
        <v>3.5884999999999999E-5</v>
      </c>
      <c r="C29">
        <f>5.363/1000000</f>
        <v>5.3630000000000002E-6</v>
      </c>
      <c r="D29">
        <f t="shared" si="5"/>
        <v>8.9963800000000002E-4</v>
      </c>
      <c r="F29">
        <v>8.7358800000000001E-4</v>
      </c>
      <c r="G29">
        <f>2.2097/100000</f>
        <v>2.2097000000000002E-5</v>
      </c>
      <c r="H29">
        <f>6.894/1000000</f>
        <v>6.8940000000000004E-6</v>
      </c>
      <c r="I29">
        <f t="shared" si="6"/>
        <v>9.0257900000000003E-4</v>
      </c>
      <c r="K29">
        <f>0.000290625</f>
        <v>2.9062499999999998E-4</v>
      </c>
      <c r="L29">
        <f>6.748/1000000</f>
        <v>6.7480000000000004E-6</v>
      </c>
      <c r="M29">
        <f>5.033/1000000</f>
        <v>5.0330000000000008E-6</v>
      </c>
      <c r="N29">
        <f t="shared" si="7"/>
        <v>3.0240599999999996E-4</v>
      </c>
    </row>
    <row r="30" spans="1:14" x14ac:dyDescent="0.2">
      <c r="A30">
        <v>8.5075000000000005E-4</v>
      </c>
      <c r="B30">
        <f>2.803/100000</f>
        <v>2.8030000000000001E-5</v>
      </c>
      <c r="C30">
        <f>6.69/1000000</f>
        <v>6.6900000000000003E-6</v>
      </c>
      <c r="D30">
        <f t="shared" si="5"/>
        <v>8.8546999999999996E-4</v>
      </c>
      <c r="F30">
        <v>8.6265799999999998E-4</v>
      </c>
      <c r="G30">
        <f>2.3544/100000</f>
        <v>2.3544E-5</v>
      </c>
      <c r="H30">
        <f>6.545/1000000</f>
        <v>6.545E-6</v>
      </c>
      <c r="I30">
        <f t="shared" si="6"/>
        <v>8.9274700000000005E-4</v>
      </c>
      <c r="K30">
        <v>2.6794200000000002E-4</v>
      </c>
      <c r="L30">
        <f>6.454/1000000</f>
        <v>6.4539999999999995E-6</v>
      </c>
      <c r="M30">
        <f>6.08/1000000</f>
        <v>6.0800000000000002E-6</v>
      </c>
      <c r="N30">
        <f t="shared" si="7"/>
        <v>2.8047599999999999E-4</v>
      </c>
    </row>
    <row r="31" spans="1:14" x14ac:dyDescent="0.2">
      <c r="A31">
        <f>AVERAGE(A26:A30)</f>
        <v>8.5183740000000006E-4</v>
      </c>
      <c r="B31">
        <f>AVERAGE(B26:B30)</f>
        <v>2.8404400000000002E-5</v>
      </c>
      <c r="C31">
        <f>AVERAGE(C26:C30)</f>
        <v>6.1488000000000003E-6</v>
      </c>
      <c r="D31">
        <f t="shared" si="5"/>
        <v>8.8639060000000013E-4</v>
      </c>
      <c r="F31">
        <f t="shared" ref="F31:H31" si="8">AVERAGE(F26:F30)</f>
        <v>8.5993479999999997E-4</v>
      </c>
      <c r="G31">
        <f t="shared" si="8"/>
        <v>2.6190199999999999E-5</v>
      </c>
      <c r="H31">
        <f t="shared" si="8"/>
        <v>6.4035999999999991E-6</v>
      </c>
      <c r="I31">
        <f t="shared" si="6"/>
        <v>8.9252859999999995E-4</v>
      </c>
      <c r="K31">
        <f t="shared" ref="K31" si="9">AVERAGE(K26:K30)</f>
        <v>2.7702420000000002E-4</v>
      </c>
      <c r="L31">
        <f t="shared" ref="L31" si="10">AVERAGE(L26:L30)</f>
        <v>7.5846000000000019E-6</v>
      </c>
      <c r="M31">
        <f t="shared" ref="M31" si="11">AVERAGE(M26:M30)</f>
        <v>5.7320000000000003E-6</v>
      </c>
      <c r="N31">
        <f t="shared" si="7"/>
        <v>2.9034080000000004E-4</v>
      </c>
    </row>
    <row r="33" spans="1:14" x14ac:dyDescent="0.2">
      <c r="A33">
        <v>24947</v>
      </c>
      <c r="B33">
        <v>134217728</v>
      </c>
      <c r="C33" t="s">
        <v>2</v>
      </c>
      <c r="F33">
        <v>24947</v>
      </c>
      <c r="G33">
        <v>262144</v>
      </c>
      <c r="H33" t="s">
        <v>1</v>
      </c>
      <c r="K33">
        <v>3333</v>
      </c>
      <c r="L33">
        <v>262144</v>
      </c>
      <c r="M33" t="s">
        <v>1</v>
      </c>
    </row>
    <row r="34" spans="1:14" x14ac:dyDescent="0.2">
      <c r="A34">
        <v>8.0987500000000005E-4</v>
      </c>
      <c r="B34">
        <f>9.7339/100000</f>
        <v>9.7338999999999998E-5</v>
      </c>
      <c r="C34">
        <f>2.9385/100000</f>
        <v>2.9384999999999997E-5</v>
      </c>
      <c r="D34">
        <f>SUM(A34:C34)</f>
        <v>9.3659900000000009E-4</v>
      </c>
      <c r="F34">
        <v>8.1906000000000004E-4</v>
      </c>
      <c r="G34">
        <f>0.000140989</f>
        <v>1.40989E-4</v>
      </c>
      <c r="H34">
        <f>1.441/100000</f>
        <v>1.4410000000000001E-5</v>
      </c>
      <c r="I34">
        <f t="shared" si="6"/>
        <v>9.74459E-4</v>
      </c>
      <c r="K34">
        <v>2.47889E-4</v>
      </c>
      <c r="L34">
        <f>3.0718/100000</f>
        <v>3.0718E-5</v>
      </c>
      <c r="M34">
        <f>1.2592/100000</f>
        <v>1.2592000000000001E-5</v>
      </c>
      <c r="N34">
        <f>SUM(K34:M34)</f>
        <v>2.9119900000000002E-4</v>
      </c>
    </row>
    <row r="35" spans="1:14" x14ac:dyDescent="0.2">
      <c r="A35">
        <v>8.5035700000000004E-4</v>
      </c>
      <c r="B35">
        <v>1.0650300000000001E-4</v>
      </c>
      <c r="C35">
        <f>2.3903/100000</f>
        <v>2.3902999999999998E-5</v>
      </c>
      <c r="D35">
        <f t="shared" ref="D35:D39" si="12">SUM(A35:C35)</f>
        <v>9.8076299999999995E-4</v>
      </c>
      <c r="F35">
        <f>0.000822067</f>
        <v>8.22067E-4</v>
      </c>
      <c r="G35">
        <f>9.4332/100000</f>
        <v>9.4331999999999991E-5</v>
      </c>
      <c r="H35">
        <f>1.469/100000</f>
        <v>1.4690000000000002E-5</v>
      </c>
      <c r="I35">
        <f t="shared" si="6"/>
        <v>9.3108900000000007E-4</v>
      </c>
      <c r="K35">
        <f>0.000243143</f>
        <v>2.43143E-4</v>
      </c>
      <c r="L35">
        <f>6.6642/100000</f>
        <v>6.6642000000000003E-5</v>
      </c>
      <c r="M35">
        <f>2.3353/100000</f>
        <v>2.3353000000000002E-5</v>
      </c>
      <c r="N35">
        <f t="shared" ref="N35:N39" si="13">SUM(K35:M35)</f>
        <v>3.3313800000000002E-4</v>
      </c>
    </row>
    <row r="36" spans="1:14" x14ac:dyDescent="0.2">
      <c r="A36">
        <v>8.0631099999999999E-4</v>
      </c>
      <c r="B36">
        <f>9.5893/100000</f>
        <v>9.5892999999999998E-5</v>
      </c>
      <c r="C36">
        <f>1.3327/100000</f>
        <v>1.3327E-5</v>
      </c>
      <c r="D36">
        <f t="shared" si="12"/>
        <v>9.1553100000000003E-4</v>
      </c>
      <c r="F36">
        <v>8.2891599999999996E-4</v>
      </c>
      <c r="G36">
        <f>0.91399/10000</f>
        <v>9.1398999999999997E-5</v>
      </c>
      <c r="H36">
        <f>1.5984/100000</f>
        <v>1.5984000000000001E-5</v>
      </c>
      <c r="I36">
        <f t="shared" si="6"/>
        <v>9.3629900000000003E-4</v>
      </c>
      <c r="K36">
        <v>2.7849E-4</v>
      </c>
      <c r="L36">
        <f>4.9892/100000</f>
        <v>4.9892000000000003E-5</v>
      </c>
      <c r="M36">
        <f>2.2506/100000</f>
        <v>2.2506000000000001E-5</v>
      </c>
      <c r="N36">
        <f t="shared" si="13"/>
        <v>3.5088799999999999E-4</v>
      </c>
    </row>
    <row r="37" spans="1:14" x14ac:dyDescent="0.2">
      <c r="A37">
        <v>8.3649500000000003E-4</v>
      </c>
      <c r="B37">
        <v>1.1265E-4</v>
      </c>
      <c r="C37">
        <f>1.4173/100000</f>
        <v>1.4173E-5</v>
      </c>
      <c r="D37">
        <f t="shared" si="12"/>
        <v>9.6331800000000001E-4</v>
      </c>
      <c r="F37">
        <v>8.2989999999999995E-4</v>
      </c>
      <c r="G37">
        <f>9.3992/100000</f>
        <v>9.3992000000000004E-5</v>
      </c>
      <c r="H37">
        <f>2.8754/100000</f>
        <v>2.8753999999999999E-5</v>
      </c>
      <c r="I37">
        <f t="shared" si="6"/>
        <v>9.5264599999999992E-4</v>
      </c>
      <c r="K37">
        <v>2.3694300000000001E-4</v>
      </c>
      <c r="L37">
        <f>4.0064/100000</f>
        <v>4.0064000000000001E-5</v>
      </c>
      <c r="M37">
        <f>2.9644/100000</f>
        <v>2.9643999999999999E-5</v>
      </c>
      <c r="N37">
        <f t="shared" si="13"/>
        <v>3.0665100000000002E-4</v>
      </c>
    </row>
    <row r="38" spans="1:14" x14ac:dyDescent="0.2">
      <c r="A38">
        <v>8.4119900000000005E-4</v>
      </c>
      <c r="B38">
        <v>1.0745E-4</v>
      </c>
      <c r="C38">
        <f>1.2231/100000</f>
        <v>1.2231E-5</v>
      </c>
      <c r="D38">
        <f t="shared" si="12"/>
        <v>9.6088000000000011E-4</v>
      </c>
      <c r="F38">
        <v>8.69621E-4</v>
      </c>
      <c r="G38">
        <v>1.6830999999999999E-4</v>
      </c>
      <c r="H38">
        <f>1.5237/100000</f>
        <v>1.5237E-5</v>
      </c>
      <c r="I38">
        <f t="shared" si="6"/>
        <v>1.0531679999999999E-3</v>
      </c>
      <c r="K38">
        <v>2.44114E-4</v>
      </c>
      <c r="L38">
        <f>4.3152/100000</f>
        <v>4.3151999999999996E-5</v>
      </c>
      <c r="M38">
        <f>1.982/100000</f>
        <v>1.982E-5</v>
      </c>
      <c r="N38">
        <f t="shared" si="13"/>
        <v>3.0708599999999998E-4</v>
      </c>
    </row>
    <row r="39" spans="1:14" x14ac:dyDescent="0.2">
      <c r="A39">
        <f>AVERAGE(A34:A38)</f>
        <v>8.288474000000001E-4</v>
      </c>
      <c r="B39">
        <f>AVERAGE(B34:B38)</f>
        <v>1.0396699999999999E-4</v>
      </c>
      <c r="C39">
        <f>AVERAGE(C34:C38)</f>
        <v>1.86038E-5</v>
      </c>
      <c r="D39">
        <f t="shared" si="12"/>
        <v>9.5141820000000006E-4</v>
      </c>
      <c r="F39">
        <f t="shared" ref="F39" si="14">AVERAGE(F34:F38)</f>
        <v>8.3391279999999997E-4</v>
      </c>
      <c r="G39">
        <f t="shared" ref="G39" si="15">AVERAGE(G34:G38)</f>
        <v>1.1780439999999999E-4</v>
      </c>
      <c r="H39">
        <f t="shared" ref="H39" si="16">AVERAGE(H34:H38)</f>
        <v>1.7815000000000001E-5</v>
      </c>
      <c r="I39">
        <f t="shared" si="6"/>
        <v>9.6953220000000001E-4</v>
      </c>
      <c r="K39">
        <f t="shared" ref="K39" si="17">AVERAGE(K34:K38)</f>
        <v>2.5011579999999997E-4</v>
      </c>
      <c r="L39">
        <f t="shared" ref="L39" si="18">AVERAGE(L34:L38)</f>
        <v>4.6093600000000002E-5</v>
      </c>
      <c r="M39">
        <f t="shared" ref="M39" si="19">AVERAGE(M34:M38)</f>
        <v>2.1583E-5</v>
      </c>
      <c r="N39">
        <f t="shared" si="13"/>
        <v>3.1779239999999998E-4</v>
      </c>
    </row>
    <row r="41" spans="1:14" x14ac:dyDescent="0.2">
      <c r="A41">
        <v>58619328</v>
      </c>
      <c r="B41">
        <v>2178240</v>
      </c>
      <c r="C41">
        <f>A41-B41</f>
        <v>56441088</v>
      </c>
    </row>
    <row r="42" spans="1:14" x14ac:dyDescent="0.2">
      <c r="A42">
        <v>2.7389360000000001E-2</v>
      </c>
      <c r="B42">
        <v>8.1015999999999998E-4</v>
      </c>
      <c r="C42">
        <f>A42-B42</f>
        <v>2.6579200000000001E-2</v>
      </c>
      <c r="D42">
        <f>C42/C41</f>
        <v>4.709193415973838E-10</v>
      </c>
    </row>
    <row r="44" spans="1:14" x14ac:dyDescent="0.2">
      <c r="A44">
        <v>3479769</v>
      </c>
      <c r="B44">
        <v>27841394</v>
      </c>
      <c r="C44">
        <v>222741273</v>
      </c>
      <c r="D44">
        <v>1781907696</v>
      </c>
    </row>
    <row r="45" spans="1:14" x14ac:dyDescent="0.2">
      <c r="A45">
        <v>0.35200959999999998</v>
      </c>
      <c r="B45">
        <v>2.741692</v>
      </c>
      <c r="C45">
        <v>21.113119999999999</v>
      </c>
      <c r="D45">
        <v>166.66919999999999</v>
      </c>
    </row>
    <row r="54" spans="1:3" x14ac:dyDescent="0.2">
      <c r="A54">
        <v>8.518E-4</v>
      </c>
      <c r="B54">
        <f>2.84044/100000</f>
        <v>2.8404400000000002E-5</v>
      </c>
      <c r="C54">
        <f>6.1488/1000000</f>
        <v>6.1487999999999995E-6</v>
      </c>
    </row>
    <row r="55" spans="1:3" x14ac:dyDescent="0.2">
      <c r="A55">
        <v>8.5990000000000003E-4</v>
      </c>
      <c r="B55">
        <f>2.61902/100000</f>
        <v>2.6190199999999999E-5</v>
      </c>
      <c r="C55">
        <f>6.4036/1000000</f>
        <v>6.4036E-6</v>
      </c>
    </row>
    <row r="57" spans="1:3" x14ac:dyDescent="0.2">
      <c r="A57">
        <v>8.2879999999999998E-4</v>
      </c>
      <c r="B57">
        <v>1.03967E-4</v>
      </c>
      <c r="C57">
        <f>1.86038/100000</f>
        <v>1.86038E-5</v>
      </c>
    </row>
    <row r="58" spans="1:3" x14ac:dyDescent="0.2">
      <c r="A58">
        <v>8.3390000000000005E-4</v>
      </c>
      <c r="B58">
        <v>1.17804E-4</v>
      </c>
      <c r="C58">
        <f>0.000017815</f>
        <v>1.7815000000000001E-5</v>
      </c>
    </row>
    <row r="73" spans="1:10" ht="17" thickBot="1" x14ac:dyDescent="0.25"/>
    <row r="74" spans="1:10" ht="19" thickBot="1" x14ac:dyDescent="0.3">
      <c r="A74" s="1">
        <v>8.5993500000000004E-4</v>
      </c>
      <c r="B74" s="2">
        <v>2.6190000000000002E-5</v>
      </c>
      <c r="C74" s="2">
        <v>6.404E-6</v>
      </c>
      <c r="D74">
        <f>SUM(A74:C74)</f>
        <v>8.9252900000000009E-4</v>
      </c>
      <c r="G74" s="3">
        <v>2.7702400000000001E-4</v>
      </c>
      <c r="H74" s="4">
        <v>7.5839999999999997E-6</v>
      </c>
      <c r="I74" s="4">
        <v>5.7320000000000003E-6</v>
      </c>
      <c r="J74">
        <f>SUM(G74:I74)</f>
        <v>2.9033999999999999E-4</v>
      </c>
    </row>
    <row r="75" spans="1:10" ht="19" thickBot="1" x14ac:dyDescent="0.3">
      <c r="A75" s="2">
        <v>8.3391300000000004E-4</v>
      </c>
      <c r="B75" s="2">
        <v>1.6830999999999999E-4</v>
      </c>
      <c r="C75" s="2">
        <v>1.7815000000000001E-5</v>
      </c>
      <c r="D75">
        <f>SUM(A75:C75)</f>
        <v>1.020038E-3</v>
      </c>
      <c r="G75" s="3">
        <v>2.6011600000000001E-4</v>
      </c>
      <c r="H75" s="4">
        <v>4.6094000000000003E-5</v>
      </c>
      <c r="I75" s="4">
        <v>2.1583E-5</v>
      </c>
      <c r="J75">
        <f>SUM(G75:I75)</f>
        <v>3.27793E-4</v>
      </c>
    </row>
    <row r="90" spans="1:5" ht="17" thickBot="1" x14ac:dyDescent="0.25"/>
    <row r="91" spans="1:5" ht="19" thickBot="1" x14ac:dyDescent="0.25">
      <c r="A91" s="3">
        <v>2.8103359999999999</v>
      </c>
      <c r="B91" s="5">
        <v>1.798154</v>
      </c>
      <c r="C91" s="5">
        <v>1.7016720000000001</v>
      </c>
      <c r="D91" s="5">
        <v>1.7185079999999999</v>
      </c>
      <c r="E91" s="5">
        <v>1.6250800000000001</v>
      </c>
    </row>
    <row r="106" spans="1:4" ht="17" thickBot="1" x14ac:dyDescent="0.25"/>
    <row r="107" spans="1:4" ht="19" thickBot="1" x14ac:dyDescent="0.25">
      <c r="A107" s="3">
        <v>262144</v>
      </c>
      <c r="B107" s="3">
        <v>2.6078799999999999E-2</v>
      </c>
      <c r="C107">
        <f>LOG(A107, 2)</f>
        <v>18</v>
      </c>
      <c r="D107">
        <f>LOG(B107, 2)</f>
        <v>-5.2609787034066278</v>
      </c>
    </row>
    <row r="108" spans="1:4" ht="19" thickBot="1" x14ac:dyDescent="0.25">
      <c r="A108" s="5">
        <v>2097152</v>
      </c>
      <c r="B108" s="5">
        <v>6.733256E-2</v>
      </c>
      <c r="C108">
        <f t="shared" ref="C108:C110" si="20">LOG(A108, 2)</f>
        <v>21</v>
      </c>
      <c r="D108">
        <f t="shared" ref="D108:D110" si="21">LOG(B108, 2)</f>
        <v>-3.8925518722934078</v>
      </c>
    </row>
    <row r="109" spans="1:4" ht="19" thickBot="1" x14ac:dyDescent="0.25">
      <c r="A109" s="5">
        <v>16777216</v>
      </c>
      <c r="B109" s="5">
        <v>0.39912880000000001</v>
      </c>
      <c r="C109">
        <f t="shared" si="20"/>
        <v>24</v>
      </c>
      <c r="D109">
        <f t="shared" si="21"/>
        <v>-1.3250737115077584</v>
      </c>
    </row>
    <row r="110" spans="1:4" ht="19" thickBot="1" x14ac:dyDescent="0.25">
      <c r="A110" s="5">
        <v>134217728</v>
      </c>
      <c r="B110" s="5">
        <v>1.6250800000000001</v>
      </c>
      <c r="C110">
        <f t="shared" si="20"/>
        <v>27</v>
      </c>
      <c r="D110">
        <f t="shared" si="21"/>
        <v>0.70051074137947067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2017-05-07T12:04:41Z</dcterms:created>
  <dcterms:modified xsi:type="dcterms:W3CDTF">2017-05-16T08:52:48Z</dcterms:modified>
</cp:coreProperties>
</file>