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8800" windowHeight="14232" tabRatio="837"/>
  </bookViews>
  <sheets>
    <sheet name="Summary" sheetId="16" r:id="rId1"/>
    <sheet name="Key Metrics and SEO" sheetId="12" r:id="rId2"/>
    <sheet name="Traffic Analysis" sheetId="13" state="hidden" r:id="rId3"/>
    <sheet name="Digital Total" sheetId="27" r:id="rId4"/>
  </sheets>
  <externalReferences>
    <externalReference r:id="rId5"/>
  </externalReferences>
  <definedNames>
    <definedName name="_xlnm._FilterDatabase" localSheetId="3" hidden="1">'Digital Total'!$B$2:$XEU$14</definedName>
  </definedNames>
  <calcPr calcId="152511"/>
</workbook>
</file>

<file path=xl/calcChain.xml><?xml version="1.0" encoding="utf-8"?>
<calcChain xmlns="http://schemas.openxmlformats.org/spreadsheetml/2006/main">
  <c r="O45" i="16" l="1"/>
  <c r="O44" i="16"/>
  <c r="O145" i="27" l="1"/>
  <c r="O107" i="27"/>
  <c r="O124" i="27"/>
  <c r="O125" i="27"/>
  <c r="O127" i="27"/>
  <c r="G80" i="27" l="1"/>
  <c r="H80" i="27"/>
  <c r="I80" i="27"/>
  <c r="J80" i="27"/>
  <c r="K80" i="27"/>
  <c r="L80" i="27"/>
  <c r="M80" i="27"/>
  <c r="N80" i="27"/>
  <c r="O80" i="27"/>
  <c r="F80" i="27"/>
  <c r="O85" i="27"/>
  <c r="N85" i="27"/>
  <c r="M68" i="27"/>
  <c r="N68" i="27"/>
  <c r="O68" i="27"/>
  <c r="O156" i="27"/>
  <c r="J144" i="27"/>
  <c r="K144" i="27"/>
  <c r="L144" i="27"/>
  <c r="M144" i="27"/>
  <c r="N144" i="27"/>
  <c r="I144" i="27"/>
  <c r="AU167" i="27" l="1"/>
  <c r="AT167" i="27"/>
  <c r="AU166" i="27"/>
  <c r="AT166" i="27"/>
  <c r="AU165" i="27"/>
  <c r="AT165" i="27"/>
  <c r="AU164" i="27"/>
  <c r="AT164" i="27"/>
  <c r="AU163" i="27"/>
  <c r="AT163" i="27"/>
  <c r="AU162" i="27"/>
  <c r="AT162" i="27"/>
  <c r="AU161" i="27"/>
  <c r="AT161" i="27"/>
  <c r="AU160" i="27"/>
  <c r="AT160" i="27"/>
  <c r="AU159" i="27"/>
  <c r="AT159" i="27"/>
  <c r="AU158" i="27"/>
  <c r="AT158" i="27"/>
  <c r="AU157" i="27"/>
  <c r="AT157" i="27"/>
  <c r="AU156" i="27"/>
  <c r="AT156" i="27"/>
  <c r="AU148" i="27"/>
  <c r="AT148" i="27"/>
  <c r="AU147" i="27"/>
  <c r="AT147" i="27"/>
  <c r="AU146" i="27"/>
  <c r="AT146" i="27"/>
  <c r="AU145" i="27"/>
  <c r="AT145" i="27"/>
  <c r="AU144" i="27"/>
  <c r="AT144" i="27"/>
  <c r="AU129" i="27"/>
  <c r="AT129" i="27"/>
  <c r="AU128" i="27"/>
  <c r="AT128" i="27"/>
  <c r="AU126" i="27"/>
  <c r="AT126" i="27"/>
  <c r="AU123" i="27"/>
  <c r="AT123" i="27"/>
  <c r="AU122" i="27"/>
  <c r="AT122" i="27"/>
  <c r="AU121" i="27"/>
  <c r="AT121" i="27"/>
  <c r="AU120" i="27"/>
  <c r="AT120" i="27"/>
  <c r="AU119" i="27"/>
  <c r="AT119" i="27"/>
  <c r="AU118" i="27"/>
  <c r="AT118" i="27"/>
  <c r="AU110" i="27"/>
  <c r="AT110" i="27"/>
  <c r="AU109" i="27"/>
  <c r="AT109" i="27"/>
  <c r="AU107" i="27"/>
  <c r="AT107" i="27"/>
  <c r="AU106" i="27"/>
  <c r="AT106" i="27"/>
  <c r="AU103" i="27"/>
  <c r="AT103" i="27"/>
  <c r="AU102" i="27"/>
  <c r="AT102" i="27"/>
  <c r="AU101" i="27"/>
  <c r="AT101" i="27"/>
  <c r="AU100" i="27"/>
  <c r="AT100" i="27"/>
  <c r="AU99" i="27"/>
  <c r="AT99" i="27"/>
  <c r="AU91" i="27"/>
  <c r="AT91" i="27"/>
  <c r="AU90" i="27"/>
  <c r="AT90" i="27"/>
  <c r="AU89" i="27"/>
  <c r="AT89" i="27"/>
  <c r="AU88" i="27"/>
  <c r="AT88" i="27"/>
  <c r="AU87" i="27"/>
  <c r="AT87" i="27"/>
  <c r="AU86" i="27"/>
  <c r="AT86" i="27"/>
  <c r="AU85" i="27"/>
  <c r="AT85" i="27"/>
  <c r="AU84" i="27"/>
  <c r="AT84" i="27"/>
  <c r="AU83" i="27"/>
  <c r="AT83" i="27"/>
  <c r="AU82" i="27"/>
  <c r="AT82" i="27"/>
  <c r="AU81" i="27"/>
  <c r="AT81" i="27"/>
  <c r="AU80" i="27"/>
  <c r="AT80" i="27"/>
  <c r="AU72" i="27"/>
  <c r="AT72" i="27"/>
  <c r="AU71" i="27"/>
  <c r="AT71" i="27"/>
  <c r="AU70" i="27"/>
  <c r="AT70" i="27"/>
  <c r="AU69" i="27"/>
  <c r="AT69" i="27"/>
  <c r="AT68" i="27"/>
  <c r="AU53" i="27"/>
  <c r="AT53" i="27"/>
  <c r="AU52" i="27"/>
  <c r="AT52" i="27"/>
  <c r="AU51" i="27"/>
  <c r="AT51" i="27"/>
  <c r="AU50" i="27"/>
  <c r="AT50" i="27"/>
  <c r="AU49" i="27"/>
  <c r="AT49" i="27"/>
  <c r="AU48" i="27"/>
  <c r="AT48" i="27"/>
  <c r="AU46" i="27"/>
  <c r="AT46" i="27"/>
  <c r="AU45" i="27"/>
  <c r="AT45" i="27"/>
  <c r="AU44" i="27"/>
  <c r="AT44" i="27"/>
  <c r="AU43" i="27"/>
  <c r="AT43" i="27"/>
  <c r="AU26" i="27"/>
  <c r="AT26" i="27"/>
  <c r="AU25" i="27"/>
  <c r="AT25" i="27"/>
  <c r="AU24" i="27"/>
  <c r="AT24" i="27"/>
  <c r="AU23" i="27"/>
  <c r="AT23" i="27"/>
  <c r="AU22" i="27"/>
  <c r="AT22" i="27"/>
  <c r="AU20" i="27"/>
  <c r="AT20" i="27"/>
  <c r="AU19" i="27"/>
  <c r="AT19" i="27"/>
  <c r="AU18" i="27"/>
  <c r="AT18" i="27"/>
  <c r="AU17" i="27"/>
  <c r="AT17" i="27"/>
  <c r="AU13" i="27"/>
  <c r="AT13" i="27"/>
  <c r="AU12" i="27"/>
  <c r="AT12" i="27"/>
  <c r="AU11" i="27"/>
  <c r="AT11" i="27"/>
  <c r="AU10" i="27"/>
  <c r="AT10" i="27"/>
  <c r="AU9" i="27"/>
  <c r="AT9" i="27"/>
  <c r="AU7" i="27"/>
  <c r="AT7" i="27"/>
  <c r="AU6" i="27"/>
  <c r="AT6" i="27"/>
  <c r="AU5" i="27"/>
  <c r="AT5" i="27"/>
  <c r="AU4" i="27"/>
  <c r="AT4" i="27"/>
  <c r="O175" i="27"/>
  <c r="O173" i="27"/>
  <c r="O172" i="27"/>
  <c r="O171" i="27"/>
  <c r="O170" i="27"/>
  <c r="O154" i="27"/>
  <c r="O153" i="27"/>
  <c r="O152" i="27"/>
  <c r="O151" i="27"/>
  <c r="O150" i="27"/>
  <c r="O142" i="27"/>
  <c r="O141" i="27"/>
  <c r="O139" i="27"/>
  <c r="O138" i="27"/>
  <c r="O135" i="27"/>
  <c r="O134" i="27"/>
  <c r="O133" i="27"/>
  <c r="O132" i="27"/>
  <c r="O116" i="27"/>
  <c r="O115" i="27"/>
  <c r="O114" i="27"/>
  <c r="O113" i="27"/>
  <c r="O112" i="27"/>
  <c r="O104" i="27"/>
  <c r="O97" i="27"/>
  <c r="O96" i="27"/>
  <c r="O95" i="27"/>
  <c r="O94" i="27"/>
  <c r="O65" i="27"/>
  <c r="O64" i="27"/>
  <c r="O63" i="27"/>
  <c r="O62" i="27"/>
  <c r="O61" i="27"/>
  <c r="O59" i="27"/>
  <c r="O58" i="27"/>
  <c r="O57" i="27"/>
  <c r="O56" i="27"/>
  <c r="O47" i="27"/>
  <c r="O30" i="27"/>
  <c r="O21" i="27"/>
  <c r="O8" i="27"/>
  <c r="O3" i="27" s="1"/>
  <c r="D9" i="27"/>
  <c r="AX10" i="16"/>
  <c r="AX47" i="16"/>
  <c r="AX46" i="16"/>
  <c r="AX45" i="16"/>
  <c r="AX43" i="16"/>
  <c r="AX42" i="16"/>
  <c r="AX37" i="16"/>
  <c r="AX35" i="16"/>
  <c r="AX32" i="16"/>
  <c r="AX31" i="16"/>
  <c r="AX30" i="16"/>
  <c r="AX29" i="16"/>
  <c r="AX28" i="16"/>
  <c r="AX27" i="16"/>
  <c r="AX26" i="16"/>
  <c r="AX22" i="16"/>
  <c r="AX21" i="16"/>
  <c r="AX20" i="16"/>
  <c r="AX19" i="16"/>
  <c r="AX17" i="16"/>
  <c r="AX16" i="16"/>
  <c r="AX15" i="16"/>
  <c r="AX14" i="16"/>
  <c r="AX12" i="16"/>
  <c r="AX11" i="16"/>
  <c r="AX9" i="16"/>
  <c r="AX7" i="16"/>
  <c r="AX6" i="16"/>
  <c r="AX5" i="16"/>
  <c r="AX4" i="16"/>
  <c r="AW47" i="16"/>
  <c r="AW46" i="16"/>
  <c r="AW45" i="16"/>
  <c r="AW43" i="16"/>
  <c r="AW42" i="16"/>
  <c r="AW37" i="16"/>
  <c r="AW35" i="16"/>
  <c r="AW32" i="16"/>
  <c r="AW31" i="16"/>
  <c r="AW30" i="16"/>
  <c r="AW29" i="16"/>
  <c r="AW28" i="16"/>
  <c r="AW27" i="16"/>
  <c r="AW26" i="16"/>
  <c r="AW22" i="16"/>
  <c r="AW21" i="16"/>
  <c r="AW20" i="16"/>
  <c r="AW19" i="16"/>
  <c r="AW17" i="16"/>
  <c r="AW16" i="16"/>
  <c r="AW15" i="16"/>
  <c r="AW14" i="16"/>
  <c r="AW12" i="16"/>
  <c r="AW11" i="16"/>
  <c r="AW10" i="16"/>
  <c r="AW9" i="16"/>
  <c r="AW7" i="16"/>
  <c r="AW6" i="16"/>
  <c r="AW5" i="16"/>
  <c r="AW4" i="16"/>
  <c r="AZ48" i="12"/>
  <c r="AZ47" i="12"/>
  <c r="AZ46" i="12"/>
  <c r="AZ45" i="12"/>
  <c r="AZ44" i="12"/>
  <c r="AZ43" i="12"/>
  <c r="AZ42" i="12"/>
  <c r="AZ41" i="12"/>
  <c r="AZ36" i="12"/>
  <c r="AZ35" i="12"/>
  <c r="AZ34" i="12"/>
  <c r="AZ33" i="12"/>
  <c r="AZ32" i="12"/>
  <c r="AZ31" i="12"/>
  <c r="AZ30" i="12"/>
  <c r="AZ29" i="12"/>
  <c r="AZ25" i="12"/>
  <c r="AZ24" i="12"/>
  <c r="AZ23" i="12"/>
  <c r="AZ22" i="12"/>
  <c r="AZ21" i="12"/>
  <c r="AZ20" i="12"/>
  <c r="AZ18" i="12"/>
  <c r="AZ17" i="12"/>
  <c r="AZ16" i="12"/>
  <c r="AZ15" i="12"/>
  <c r="AZ14" i="12"/>
  <c r="AZ13" i="12"/>
  <c r="AZ11" i="12"/>
  <c r="AZ10" i="12"/>
  <c r="AZ9" i="12"/>
  <c r="AZ7" i="12"/>
  <c r="AZ6" i="12"/>
  <c r="AZ5" i="12"/>
  <c r="AZ4" i="12"/>
  <c r="AY48" i="12"/>
  <c r="AY47" i="12"/>
  <c r="AY46" i="12"/>
  <c r="AY45" i="12"/>
  <c r="AY44" i="12"/>
  <c r="AY43" i="12"/>
  <c r="AY42" i="12"/>
  <c r="AY41" i="12"/>
  <c r="AY36" i="12"/>
  <c r="AY35" i="12"/>
  <c r="AY34" i="12"/>
  <c r="AY33" i="12"/>
  <c r="AY32" i="12"/>
  <c r="AY31" i="12"/>
  <c r="AY30" i="12"/>
  <c r="AY29" i="12"/>
  <c r="AY25" i="12"/>
  <c r="AY24" i="12"/>
  <c r="AY23" i="12"/>
  <c r="AY22" i="12"/>
  <c r="AY21" i="12"/>
  <c r="AY20" i="12"/>
  <c r="AY18" i="12"/>
  <c r="AY17" i="12"/>
  <c r="AY16" i="12"/>
  <c r="AY15" i="12"/>
  <c r="AY14" i="12"/>
  <c r="AY13" i="12"/>
  <c r="AY11" i="12"/>
  <c r="AY10" i="12"/>
  <c r="AY9" i="12"/>
  <c r="AY7" i="12"/>
  <c r="AY5" i="12"/>
  <c r="AY6" i="12"/>
  <c r="AY4" i="12"/>
  <c r="O25" i="12"/>
  <c r="O24" i="12"/>
  <c r="O21" i="12"/>
  <c r="O20" i="12"/>
  <c r="O17" i="12"/>
  <c r="O14" i="12"/>
  <c r="O13" i="12"/>
  <c r="O10" i="12"/>
  <c r="O5" i="12"/>
  <c r="O37" i="16"/>
  <c r="O38" i="16" s="1"/>
  <c r="AX38" i="16" s="1"/>
  <c r="N37" i="16"/>
  <c r="O47" i="16"/>
  <c r="O41" i="16"/>
  <c r="AW41" i="16" s="1"/>
  <c r="O36" i="16"/>
  <c r="AX36" i="16" s="1"/>
  <c r="O28" i="16"/>
  <c r="O26" i="16"/>
  <c r="O20" i="16"/>
  <c r="O22" i="16" s="1"/>
  <c r="O12" i="16"/>
  <c r="O21" i="16"/>
  <c r="O17" i="16"/>
  <c r="AW36" i="16" l="1"/>
  <c r="AW38" i="16"/>
  <c r="O174" i="27"/>
  <c r="O136" i="27"/>
  <c r="O16" i="27"/>
  <c r="O29" i="27" s="1"/>
  <c r="O98" i="27"/>
  <c r="O60" i="27"/>
  <c r="O42" i="27"/>
  <c r="AX41" i="16"/>
  <c r="O55" i="27" l="1"/>
  <c r="O131" i="27"/>
  <c r="O93" i="27"/>
  <c r="O169" i="27"/>
  <c r="N170" i="27"/>
  <c r="AT170" i="27" s="1"/>
  <c r="N171" i="27"/>
  <c r="AT171" i="27" s="1"/>
  <c r="N172" i="27"/>
  <c r="AT172" i="27" s="1"/>
  <c r="N173" i="27"/>
  <c r="AT173" i="27" s="1"/>
  <c r="N175" i="27"/>
  <c r="AT175" i="27" s="1"/>
  <c r="N132" i="27"/>
  <c r="AT132" i="27" s="1"/>
  <c r="N133" i="27"/>
  <c r="AT133" i="27" s="1"/>
  <c r="N134" i="27"/>
  <c r="AT134" i="27" s="1"/>
  <c r="N135" i="27"/>
  <c r="AT135" i="27" s="1"/>
  <c r="N139" i="27"/>
  <c r="N141" i="27"/>
  <c r="AT141" i="27" s="1"/>
  <c r="N142" i="27"/>
  <c r="AT142" i="27" s="1"/>
  <c r="N125" i="27"/>
  <c r="AT125" i="27" s="1"/>
  <c r="N112" i="27"/>
  <c r="AT112" i="27" s="1"/>
  <c r="N113" i="27"/>
  <c r="AT113" i="27" s="1"/>
  <c r="N114" i="27"/>
  <c r="AT114" i="27" s="1"/>
  <c r="N115" i="27"/>
  <c r="AT115" i="27" s="1"/>
  <c r="N116" i="27"/>
  <c r="AT116" i="27" s="1"/>
  <c r="N94" i="27"/>
  <c r="AT94" i="27" s="1"/>
  <c r="N95" i="27"/>
  <c r="AT95" i="27" s="1"/>
  <c r="N96" i="27"/>
  <c r="AT96" i="27" s="1"/>
  <c r="N97" i="27"/>
  <c r="AT97" i="27" s="1"/>
  <c r="N104" i="27"/>
  <c r="AT104" i="27" s="1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AP74" i="27"/>
  <c r="AQ74" i="27"/>
  <c r="AR74" i="27"/>
  <c r="AS74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AP75" i="27"/>
  <c r="AQ75" i="27"/>
  <c r="AR75" i="27"/>
  <c r="AS75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AP76" i="27"/>
  <c r="AQ76" i="27"/>
  <c r="AR76" i="27"/>
  <c r="AS76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AP77" i="27"/>
  <c r="AQ77" i="27"/>
  <c r="AR77" i="27"/>
  <c r="AS77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AP78" i="27"/>
  <c r="AQ78" i="27"/>
  <c r="AR78" i="27"/>
  <c r="AS78" i="27"/>
  <c r="N56" i="27"/>
  <c r="AT56" i="27" s="1"/>
  <c r="N57" i="27"/>
  <c r="AT57" i="27" s="1"/>
  <c r="N58" i="27"/>
  <c r="AT58" i="27" s="1"/>
  <c r="N59" i="27"/>
  <c r="AT59" i="27" s="1"/>
  <c r="N61" i="27"/>
  <c r="AT61" i="27" s="1"/>
  <c r="N62" i="27"/>
  <c r="AT62" i="27" s="1"/>
  <c r="N63" i="27"/>
  <c r="AT63" i="27" s="1"/>
  <c r="N64" i="27"/>
  <c r="AT64" i="27" s="1"/>
  <c r="N65" i="27"/>
  <c r="AT65" i="27" s="1"/>
  <c r="N47" i="27"/>
  <c r="AT47" i="27" s="1"/>
  <c r="N30" i="27"/>
  <c r="AT30" i="27" s="1"/>
  <c r="N8" i="27"/>
  <c r="N3" i="27" l="1"/>
  <c r="AT3" i="27" s="1"/>
  <c r="AT8" i="27"/>
  <c r="AT78" i="27"/>
  <c r="AT77" i="27"/>
  <c r="AT76" i="27"/>
  <c r="AT75" i="27"/>
  <c r="AT74" i="27"/>
  <c r="N138" i="27"/>
  <c r="AT138" i="27" s="1"/>
  <c r="N42" i="27"/>
  <c r="N131" i="27" s="1"/>
  <c r="AT131" i="27" s="1"/>
  <c r="N174" i="27"/>
  <c r="AT174" i="27" s="1"/>
  <c r="N98" i="27"/>
  <c r="AT98" i="27" s="1"/>
  <c r="N136" i="27"/>
  <c r="AT136" i="27" s="1"/>
  <c r="N25" i="12"/>
  <c r="N169" i="27" l="1"/>
  <c r="AT169" i="27" s="1"/>
  <c r="N93" i="27"/>
  <c r="AT93" i="27" s="1"/>
  <c r="AT42" i="27"/>
  <c r="N41" i="16"/>
  <c r="N38" i="16" l="1"/>
  <c r="N36" i="16"/>
  <c r="N28" i="16"/>
  <c r="N22" i="16"/>
  <c r="N21" i="16"/>
  <c r="N20" i="16"/>
  <c r="N17" i="16"/>
  <c r="N12" i="16"/>
  <c r="AX48" i="12" l="1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C36" i="12"/>
  <c r="M125" i="27" l="1"/>
  <c r="M124" i="27"/>
  <c r="N124" i="27"/>
  <c r="N137" i="27" s="1"/>
  <c r="P124" i="27"/>
  <c r="Q124" i="27"/>
  <c r="R124" i="27"/>
  <c r="S124" i="27"/>
  <c r="T124" i="27"/>
  <c r="U124" i="27"/>
  <c r="V124" i="27"/>
  <c r="W124" i="27"/>
  <c r="X124" i="27"/>
  <c r="Y124" i="27"/>
  <c r="Z124" i="27"/>
  <c r="AA124" i="27"/>
  <c r="AB124" i="27"/>
  <c r="AC124" i="27"/>
  <c r="AD124" i="27"/>
  <c r="AE124" i="27"/>
  <c r="AF124" i="27"/>
  <c r="AG124" i="27"/>
  <c r="AH124" i="27"/>
  <c r="AI124" i="27"/>
  <c r="AJ124" i="27"/>
  <c r="AK124" i="27"/>
  <c r="AL124" i="27"/>
  <c r="AM124" i="27"/>
  <c r="AN124" i="27"/>
  <c r="AO124" i="27"/>
  <c r="AP124" i="27"/>
  <c r="AQ124" i="27"/>
  <c r="AR124" i="27"/>
  <c r="AS124" i="27"/>
  <c r="M170" i="27"/>
  <c r="M171" i="27"/>
  <c r="M172" i="27"/>
  <c r="M173" i="27"/>
  <c r="M175" i="27"/>
  <c r="M132" i="27"/>
  <c r="M133" i="27"/>
  <c r="M134" i="27"/>
  <c r="M135" i="27"/>
  <c r="M137" i="27"/>
  <c r="M138" i="27"/>
  <c r="M139" i="27"/>
  <c r="M141" i="27"/>
  <c r="M142" i="27"/>
  <c r="M116" i="27"/>
  <c r="M115" i="27"/>
  <c r="M114" i="27"/>
  <c r="M113" i="27"/>
  <c r="M112" i="27"/>
  <c r="M94" i="27"/>
  <c r="M95" i="27"/>
  <c r="M96" i="27"/>
  <c r="M97" i="27"/>
  <c r="M104" i="27"/>
  <c r="AT124" i="27" l="1"/>
  <c r="O137" i="27"/>
  <c r="M74" i="27"/>
  <c r="M75" i="27"/>
  <c r="M76" i="27"/>
  <c r="M77" i="27"/>
  <c r="M78" i="27"/>
  <c r="M65" i="27"/>
  <c r="M64" i="27"/>
  <c r="M63" i="27"/>
  <c r="M62" i="27"/>
  <c r="M61" i="27"/>
  <c r="M59" i="27"/>
  <c r="M58" i="27"/>
  <c r="M57" i="27"/>
  <c r="M56" i="27"/>
  <c r="M47" i="27"/>
  <c r="M30" i="27"/>
  <c r="M8" i="27"/>
  <c r="M41" i="16"/>
  <c r="M38" i="16"/>
  <c r="M36" i="16"/>
  <c r="M28" i="16"/>
  <c r="M21" i="16"/>
  <c r="M20" i="16"/>
  <c r="M17" i="16"/>
  <c r="M12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M25" i="12"/>
  <c r="M42" i="27" l="1"/>
  <c r="M136" i="27"/>
  <c r="M174" i="27"/>
  <c r="M98" i="27"/>
  <c r="AT137" i="27"/>
  <c r="M3" i="27"/>
  <c r="M22" i="16"/>
  <c r="M131" i="27" l="1"/>
  <c r="M93" i="27"/>
  <c r="M169" i="27"/>
  <c r="L170" i="27" l="1"/>
  <c r="AU170" i="27" s="1"/>
  <c r="L171" i="27"/>
  <c r="AU171" i="27" s="1"/>
  <c r="L172" i="27"/>
  <c r="AU172" i="27" s="1"/>
  <c r="L173" i="27"/>
  <c r="AU173" i="27" s="1"/>
  <c r="L175" i="27"/>
  <c r="AU175" i="27" s="1"/>
  <c r="L124" i="27"/>
  <c r="AU124" i="27" s="1"/>
  <c r="L125" i="27"/>
  <c r="AU125" i="27" s="1"/>
  <c r="L127" i="27"/>
  <c r="L140" i="27" s="1"/>
  <c r="L132" i="27"/>
  <c r="AU132" i="27" s="1"/>
  <c r="L133" i="27"/>
  <c r="AU133" i="27" s="1"/>
  <c r="L134" i="27"/>
  <c r="AU134" i="27" s="1"/>
  <c r="L135" i="27"/>
  <c r="AU135" i="27" s="1"/>
  <c r="L139" i="27"/>
  <c r="L141" i="27"/>
  <c r="AU141" i="27" s="1"/>
  <c r="L142" i="27"/>
  <c r="AU142" i="27" s="1"/>
  <c r="L112" i="27"/>
  <c r="AU112" i="27" s="1"/>
  <c r="L113" i="27"/>
  <c r="AU113" i="27" s="1"/>
  <c r="L114" i="27"/>
  <c r="AU114" i="27" s="1"/>
  <c r="L115" i="27"/>
  <c r="AU115" i="27" s="1"/>
  <c r="L116" i="27"/>
  <c r="AU116" i="27" s="1"/>
  <c r="L104" i="27"/>
  <c r="AU104" i="27" s="1"/>
  <c r="L97" i="27"/>
  <c r="AU97" i="27" s="1"/>
  <c r="L96" i="27"/>
  <c r="AU96" i="27" s="1"/>
  <c r="L95" i="27"/>
  <c r="AU95" i="27" s="1"/>
  <c r="L94" i="27"/>
  <c r="AU94" i="27" s="1"/>
  <c r="L68" i="27"/>
  <c r="AU68" i="27" s="1"/>
  <c r="L65" i="27"/>
  <c r="AU65" i="27" s="1"/>
  <c r="L64" i="27"/>
  <c r="AU64" i="27" s="1"/>
  <c r="L63" i="27"/>
  <c r="AU63" i="27" s="1"/>
  <c r="L61" i="27"/>
  <c r="AU61" i="27" s="1"/>
  <c r="L59" i="27"/>
  <c r="AU59" i="27" s="1"/>
  <c r="L58" i="27"/>
  <c r="AU58" i="27" s="1"/>
  <c r="L57" i="27"/>
  <c r="AU57" i="27" s="1"/>
  <c r="L56" i="27"/>
  <c r="AU56" i="27" s="1"/>
  <c r="L47" i="27"/>
  <c r="L98" i="27" s="1"/>
  <c r="AU98" i="27" s="1"/>
  <c r="L30" i="27"/>
  <c r="AU30" i="27" s="1"/>
  <c r="L75" i="27" l="1"/>
  <c r="AU75" i="27" s="1"/>
  <c r="L138" i="27"/>
  <c r="AU138" i="27" s="1"/>
  <c r="L137" i="27"/>
  <c r="AU137" i="27" s="1"/>
  <c r="L76" i="27"/>
  <c r="AU76" i="27" s="1"/>
  <c r="L77" i="27"/>
  <c r="AU77" i="27" s="1"/>
  <c r="L74" i="27"/>
  <c r="AU74" i="27" s="1"/>
  <c r="L78" i="27"/>
  <c r="AU78" i="27" s="1"/>
  <c r="L42" i="27"/>
  <c r="AU42" i="27" s="1"/>
  <c r="AU47" i="27"/>
  <c r="L136" i="27"/>
  <c r="AU136" i="27" s="1"/>
  <c r="L174" i="27"/>
  <c r="AU174" i="27" s="1"/>
  <c r="L8" i="27"/>
  <c r="L41" i="16"/>
  <c r="L25" i="12"/>
  <c r="L3" i="27" l="1"/>
  <c r="AU3" i="27" s="1"/>
  <c r="AU8" i="27"/>
  <c r="L169" i="27"/>
  <c r="AU169" i="27" s="1"/>
  <c r="L131" i="27"/>
  <c r="AU131" i="27" s="1"/>
  <c r="L93" i="27"/>
  <c r="AU93" i="27" s="1"/>
  <c r="L38" i="16"/>
  <c r="L36" i="16"/>
  <c r="L28" i="16"/>
  <c r="L21" i="16"/>
  <c r="L20" i="16"/>
  <c r="L17" i="16"/>
  <c r="L12" i="16"/>
  <c r="L7" i="16"/>
  <c r="L22" i="16" l="1"/>
  <c r="K25" i="12"/>
  <c r="J25" i="12"/>
  <c r="I25" i="12"/>
  <c r="H25" i="12"/>
  <c r="G25" i="12"/>
  <c r="F25" i="12"/>
  <c r="E25" i="12"/>
  <c r="D25" i="12"/>
  <c r="C25" i="12"/>
  <c r="D18" i="12"/>
  <c r="E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C18" i="12"/>
  <c r="AY27" i="12"/>
  <c r="AZ27" i="12"/>
  <c r="K22" i="16"/>
  <c r="J22" i="16"/>
  <c r="I22" i="16"/>
  <c r="H22" i="16"/>
  <c r="G22" i="16"/>
  <c r="F22" i="16"/>
  <c r="E22" i="16"/>
  <c r="D22" i="16"/>
  <c r="C22" i="16"/>
  <c r="C20" i="16"/>
  <c r="D20" i="16"/>
  <c r="E20" i="16"/>
  <c r="F20" i="16"/>
  <c r="G20" i="16"/>
  <c r="H20" i="16"/>
  <c r="I20" i="16"/>
  <c r="J20" i="16"/>
  <c r="K20" i="16"/>
  <c r="C21" i="16"/>
  <c r="D21" i="16"/>
  <c r="E21" i="16"/>
  <c r="F21" i="16"/>
  <c r="G21" i="16"/>
  <c r="H21" i="16"/>
  <c r="I21" i="16"/>
  <c r="J21" i="16"/>
  <c r="K21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C19" i="16"/>
  <c r="K17" i="16"/>
  <c r="J17" i="16"/>
  <c r="I17" i="16"/>
  <c r="H17" i="16"/>
  <c r="G17" i="16"/>
  <c r="F17" i="16"/>
  <c r="E17" i="16"/>
  <c r="D17" i="16"/>
  <c r="C17" i="16"/>
  <c r="K12" i="16"/>
  <c r="J12" i="16"/>
  <c r="I12" i="16"/>
  <c r="H12" i="16"/>
  <c r="G12" i="16"/>
  <c r="F12" i="16"/>
  <c r="E12" i="16"/>
  <c r="D12" i="16"/>
  <c r="C12" i="16"/>
  <c r="K175" i="27" l="1"/>
  <c r="K173" i="27"/>
  <c r="K172" i="27"/>
  <c r="K171" i="27"/>
  <c r="K170" i="27"/>
  <c r="K142" i="27"/>
  <c r="K141" i="27"/>
  <c r="K140" i="27"/>
  <c r="K139" i="27"/>
  <c r="K135" i="27"/>
  <c r="K134" i="27"/>
  <c r="K133" i="27"/>
  <c r="K132" i="27"/>
  <c r="K127" i="27"/>
  <c r="K125" i="27"/>
  <c r="K138" i="27" s="1"/>
  <c r="K124" i="27"/>
  <c r="K137" i="27" s="1"/>
  <c r="K116" i="27"/>
  <c r="K115" i="27"/>
  <c r="K114" i="27"/>
  <c r="K113" i="27"/>
  <c r="K112" i="27"/>
  <c r="K104" i="27"/>
  <c r="K97" i="27"/>
  <c r="K96" i="27"/>
  <c r="K95" i="27"/>
  <c r="K94" i="27"/>
  <c r="K78" i="27"/>
  <c r="K74" i="27"/>
  <c r="K68" i="27"/>
  <c r="K77" i="27" s="1"/>
  <c r="J68" i="27"/>
  <c r="K75" i="27" l="1"/>
  <c r="K76" i="27"/>
  <c r="K65" i="27"/>
  <c r="K64" i="27"/>
  <c r="K63" i="27"/>
  <c r="K62" i="27"/>
  <c r="K61" i="27"/>
  <c r="K59" i="27"/>
  <c r="K58" i="27"/>
  <c r="K57" i="27"/>
  <c r="K56" i="27"/>
  <c r="K47" i="27"/>
  <c r="K8" i="27"/>
  <c r="K3" i="27" s="1"/>
  <c r="K30" i="27"/>
  <c r="K41" i="16"/>
  <c r="J41" i="16"/>
  <c r="I41" i="16"/>
  <c r="H41" i="16"/>
  <c r="G41" i="16"/>
  <c r="F41" i="16"/>
  <c r="E41" i="16"/>
  <c r="D41" i="16"/>
  <c r="C41" i="16"/>
  <c r="K174" i="27" l="1"/>
  <c r="K136" i="27"/>
  <c r="K98" i="27"/>
  <c r="K42" i="27"/>
  <c r="K38" i="16"/>
  <c r="K36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K28" i="16"/>
  <c r="K169" i="27" l="1"/>
  <c r="K131" i="27"/>
  <c r="K93" i="27"/>
  <c r="K7" i="16"/>
  <c r="J38" i="16" l="1"/>
  <c r="J170" i="27" l="1"/>
  <c r="J171" i="27"/>
  <c r="J172" i="27"/>
  <c r="J173" i="27"/>
  <c r="J175" i="27"/>
  <c r="J132" i="27"/>
  <c r="J133" i="27"/>
  <c r="J134" i="27"/>
  <c r="J135" i="27"/>
  <c r="J139" i="27"/>
  <c r="J141" i="27"/>
  <c r="J142" i="27"/>
  <c r="J124" i="27"/>
  <c r="J137" i="27" s="1"/>
  <c r="J125" i="27"/>
  <c r="J138" i="27" s="1"/>
  <c r="J127" i="27"/>
  <c r="J140" i="27" s="1"/>
  <c r="J112" i="27"/>
  <c r="J113" i="27"/>
  <c r="J114" i="27"/>
  <c r="J115" i="27"/>
  <c r="J116" i="27"/>
  <c r="J94" i="27"/>
  <c r="J95" i="27"/>
  <c r="J96" i="27"/>
  <c r="J97" i="27"/>
  <c r="J104" i="27"/>
  <c r="J74" i="27"/>
  <c r="J75" i="27"/>
  <c r="J76" i="27"/>
  <c r="J77" i="27"/>
  <c r="J78" i="27"/>
  <c r="J56" i="27"/>
  <c r="J57" i="27"/>
  <c r="J58" i="27"/>
  <c r="J59" i="27"/>
  <c r="J61" i="27"/>
  <c r="J62" i="27"/>
  <c r="J63" i="27"/>
  <c r="J64" i="27"/>
  <c r="J65" i="27"/>
  <c r="J47" i="27"/>
  <c r="J174" i="27" s="1"/>
  <c r="J30" i="27"/>
  <c r="J21" i="27"/>
  <c r="J16" i="27" s="1"/>
  <c r="K21" i="27"/>
  <c r="L21" i="27"/>
  <c r="M21" i="27"/>
  <c r="N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J8" i="27"/>
  <c r="I8" i="27"/>
  <c r="I3" i="27" s="1"/>
  <c r="J3" i="27"/>
  <c r="J29" i="27" l="1"/>
  <c r="J42" i="27"/>
  <c r="J169" i="27" s="1"/>
  <c r="K16" i="27"/>
  <c r="K60" i="27"/>
  <c r="N16" i="27"/>
  <c r="AT21" i="27"/>
  <c r="N60" i="27"/>
  <c r="AT60" i="27" s="1"/>
  <c r="M16" i="27"/>
  <c r="M60" i="27"/>
  <c r="L16" i="27"/>
  <c r="AU21" i="27"/>
  <c r="L60" i="27"/>
  <c r="AU60" i="27" s="1"/>
  <c r="J136" i="27"/>
  <c r="J98" i="27"/>
  <c r="J60" i="27"/>
  <c r="J55" i="27"/>
  <c r="J131" i="27" l="1"/>
  <c r="N29" i="27"/>
  <c r="AT29" i="27" s="1"/>
  <c r="AT16" i="27"/>
  <c r="N55" i="27"/>
  <c r="AT55" i="27" s="1"/>
  <c r="AU16" i="27"/>
  <c r="L29" i="27"/>
  <c r="AU29" i="27" s="1"/>
  <c r="L55" i="27"/>
  <c r="AU55" i="27" s="1"/>
  <c r="M29" i="27"/>
  <c r="M55" i="27"/>
  <c r="K29" i="27"/>
  <c r="K55" i="27"/>
  <c r="J36" i="16"/>
  <c r="J30" i="16"/>
  <c r="J28" i="16"/>
  <c r="J7" i="16"/>
  <c r="I170" i="27" l="1"/>
  <c r="I171" i="27"/>
  <c r="I172" i="27"/>
  <c r="I173" i="27"/>
  <c r="I175" i="27"/>
  <c r="I150" i="27"/>
  <c r="J150" i="27"/>
  <c r="K150" i="27"/>
  <c r="L150" i="27"/>
  <c r="AU150" i="27" s="1"/>
  <c r="M150" i="27"/>
  <c r="N150" i="27"/>
  <c r="AT150" i="27" s="1"/>
  <c r="P150" i="27"/>
  <c r="Q150" i="27"/>
  <c r="R150" i="27"/>
  <c r="S150" i="27"/>
  <c r="T150" i="27"/>
  <c r="U150" i="27"/>
  <c r="V150" i="27"/>
  <c r="W150" i="27"/>
  <c r="X150" i="27"/>
  <c r="Y150" i="27"/>
  <c r="Z150" i="27"/>
  <c r="AA150" i="27"/>
  <c r="AB150" i="27"/>
  <c r="AC150" i="27"/>
  <c r="AD150" i="27"/>
  <c r="AE150" i="27"/>
  <c r="AF150" i="27"/>
  <c r="AG150" i="27"/>
  <c r="AH150" i="27"/>
  <c r="AI150" i="27"/>
  <c r="AJ150" i="27"/>
  <c r="AK150" i="27"/>
  <c r="AL150" i="27"/>
  <c r="AM150" i="27"/>
  <c r="AN150" i="27"/>
  <c r="AO150" i="27"/>
  <c r="AP150" i="27"/>
  <c r="AQ150" i="27"/>
  <c r="AR150" i="27"/>
  <c r="AS150" i="27"/>
  <c r="I151" i="27"/>
  <c r="J151" i="27"/>
  <c r="K151" i="27"/>
  <c r="L151" i="27"/>
  <c r="AU151" i="27" s="1"/>
  <c r="M151" i="27"/>
  <c r="N151" i="27"/>
  <c r="AT151" i="27" s="1"/>
  <c r="P151" i="27"/>
  <c r="Q151" i="27"/>
  <c r="R151" i="27"/>
  <c r="S151" i="27"/>
  <c r="T151" i="27"/>
  <c r="U151" i="27"/>
  <c r="V151" i="27"/>
  <c r="W151" i="27"/>
  <c r="X151" i="27"/>
  <c r="Y151" i="27"/>
  <c r="Z151" i="27"/>
  <c r="AA151" i="27"/>
  <c r="AB151" i="27"/>
  <c r="AC151" i="27"/>
  <c r="AD151" i="27"/>
  <c r="AE151" i="27"/>
  <c r="AF151" i="27"/>
  <c r="AG151" i="27"/>
  <c r="AH151" i="27"/>
  <c r="AI151" i="27"/>
  <c r="AJ151" i="27"/>
  <c r="AK151" i="27"/>
  <c r="AL151" i="27"/>
  <c r="AM151" i="27"/>
  <c r="AN151" i="27"/>
  <c r="AO151" i="27"/>
  <c r="AP151" i="27"/>
  <c r="AQ151" i="27"/>
  <c r="AR151" i="27"/>
  <c r="AS151" i="27"/>
  <c r="I152" i="27"/>
  <c r="J152" i="27"/>
  <c r="K152" i="27"/>
  <c r="L152" i="27"/>
  <c r="AU152" i="27" s="1"/>
  <c r="M152" i="27"/>
  <c r="N152" i="27"/>
  <c r="AT152" i="27" s="1"/>
  <c r="P152" i="27"/>
  <c r="Q152" i="27"/>
  <c r="R152" i="27"/>
  <c r="S152" i="27"/>
  <c r="T152" i="27"/>
  <c r="U152" i="27"/>
  <c r="V152" i="27"/>
  <c r="W152" i="27"/>
  <c r="X152" i="27"/>
  <c r="Y152" i="27"/>
  <c r="Z152" i="27"/>
  <c r="AA152" i="27"/>
  <c r="AB152" i="27"/>
  <c r="AC152" i="27"/>
  <c r="AD152" i="27"/>
  <c r="AE152" i="27"/>
  <c r="AF152" i="27"/>
  <c r="AG152" i="27"/>
  <c r="AH152" i="27"/>
  <c r="AI152" i="27"/>
  <c r="AJ152" i="27"/>
  <c r="AK152" i="27"/>
  <c r="AL152" i="27"/>
  <c r="AM152" i="27"/>
  <c r="AN152" i="27"/>
  <c r="AO152" i="27"/>
  <c r="AP152" i="27"/>
  <c r="AQ152" i="27"/>
  <c r="AR152" i="27"/>
  <c r="AS152" i="27"/>
  <c r="I153" i="27"/>
  <c r="J153" i="27"/>
  <c r="K153" i="27"/>
  <c r="L153" i="27"/>
  <c r="AU153" i="27" s="1"/>
  <c r="M153" i="27"/>
  <c r="N153" i="27"/>
  <c r="AT153" i="27" s="1"/>
  <c r="P153" i="27"/>
  <c r="Q153" i="27"/>
  <c r="R153" i="27"/>
  <c r="S153" i="27"/>
  <c r="T153" i="27"/>
  <c r="U153" i="27"/>
  <c r="V153" i="27"/>
  <c r="W153" i="27"/>
  <c r="X153" i="27"/>
  <c r="Y153" i="27"/>
  <c r="Z153" i="27"/>
  <c r="AA153" i="27"/>
  <c r="AB153" i="27"/>
  <c r="AC153" i="27"/>
  <c r="AD153" i="27"/>
  <c r="AE153" i="27"/>
  <c r="AF153" i="27"/>
  <c r="AG153" i="27"/>
  <c r="AH153" i="27"/>
  <c r="AI153" i="27"/>
  <c r="AJ153" i="27"/>
  <c r="AK153" i="27"/>
  <c r="AL153" i="27"/>
  <c r="AM153" i="27"/>
  <c r="AN153" i="27"/>
  <c r="AO153" i="27"/>
  <c r="AP153" i="27"/>
  <c r="AQ153" i="27"/>
  <c r="AR153" i="27"/>
  <c r="AS153" i="27"/>
  <c r="I154" i="27"/>
  <c r="J154" i="27"/>
  <c r="K154" i="27"/>
  <c r="L154" i="27"/>
  <c r="AU154" i="27" s="1"/>
  <c r="M154" i="27"/>
  <c r="N154" i="27"/>
  <c r="AT154" i="27" s="1"/>
  <c r="P154" i="27"/>
  <c r="Q154" i="27"/>
  <c r="R154" i="27"/>
  <c r="S154" i="27"/>
  <c r="T154" i="27"/>
  <c r="U154" i="27"/>
  <c r="V154" i="27"/>
  <c r="W154" i="27"/>
  <c r="X154" i="27"/>
  <c r="Y154" i="27"/>
  <c r="Z154" i="27"/>
  <c r="AA154" i="27"/>
  <c r="AB154" i="27"/>
  <c r="AC154" i="27"/>
  <c r="AD154" i="27"/>
  <c r="AE154" i="27"/>
  <c r="AF154" i="27"/>
  <c r="AG154" i="27"/>
  <c r="AH154" i="27"/>
  <c r="AI154" i="27"/>
  <c r="AJ154" i="27"/>
  <c r="AK154" i="27"/>
  <c r="AL154" i="27"/>
  <c r="AM154" i="27"/>
  <c r="AN154" i="27"/>
  <c r="AO154" i="27"/>
  <c r="AP154" i="27"/>
  <c r="AQ154" i="27"/>
  <c r="AR154" i="27"/>
  <c r="AS154" i="27"/>
  <c r="I132" i="27"/>
  <c r="I133" i="27"/>
  <c r="I134" i="27"/>
  <c r="I135" i="27"/>
  <c r="I139" i="27"/>
  <c r="I141" i="27"/>
  <c r="I142" i="27"/>
  <c r="I124" i="27"/>
  <c r="I137" i="27" s="1"/>
  <c r="I125" i="27"/>
  <c r="I138" i="27" s="1"/>
  <c r="I112" i="27"/>
  <c r="I113" i="27"/>
  <c r="I114" i="27"/>
  <c r="I115" i="27"/>
  <c r="I116" i="27"/>
  <c r="I97" i="27"/>
  <c r="I104" i="27"/>
  <c r="I96" i="27"/>
  <c r="I95" i="27"/>
  <c r="I94" i="27"/>
  <c r="J93" i="27"/>
  <c r="P93" i="27"/>
  <c r="Q93" i="27"/>
  <c r="R93" i="27"/>
  <c r="S93" i="27"/>
  <c r="T93" i="27"/>
  <c r="U93" i="27"/>
  <c r="V93" i="27"/>
  <c r="W93" i="27"/>
  <c r="X93" i="27"/>
  <c r="Y93" i="27"/>
  <c r="Z93" i="27"/>
  <c r="AA93" i="27"/>
  <c r="AB93" i="27"/>
  <c r="AC93" i="27"/>
  <c r="AD93" i="27"/>
  <c r="AE93" i="27"/>
  <c r="AF93" i="27"/>
  <c r="AG93" i="27"/>
  <c r="AH93" i="27"/>
  <c r="AI93" i="27"/>
  <c r="AJ93" i="27"/>
  <c r="AK93" i="27"/>
  <c r="AL93" i="27"/>
  <c r="AM93" i="27"/>
  <c r="AN93" i="27"/>
  <c r="AO93" i="27"/>
  <c r="AP93" i="27"/>
  <c r="AQ93" i="27"/>
  <c r="AR93" i="27"/>
  <c r="AS93" i="27"/>
  <c r="I76" i="27"/>
  <c r="I68" i="27"/>
  <c r="I78" i="27" s="1"/>
  <c r="I65" i="27"/>
  <c r="I64" i="27"/>
  <c r="I63" i="27"/>
  <c r="I61" i="27"/>
  <c r="I59" i="27"/>
  <c r="I58" i="27"/>
  <c r="I57" i="27"/>
  <c r="I56" i="27"/>
  <c r="I75" i="27" l="1"/>
  <c r="I77" i="27"/>
  <c r="I74" i="27"/>
  <c r="I47" i="27"/>
  <c r="I174" i="27" l="1"/>
  <c r="I136" i="27"/>
  <c r="I98" i="27"/>
  <c r="I42" i="27"/>
  <c r="I30" i="27"/>
  <c r="I21" i="27"/>
  <c r="I60" i="27" s="1"/>
  <c r="I16" i="27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I55" i="27" l="1"/>
  <c r="I169" i="27"/>
  <c r="I93" i="27"/>
  <c r="I131" i="27"/>
  <c r="I29" i="27"/>
  <c r="I38" i="16"/>
  <c r="I36" i="16" l="1"/>
  <c r="I30" i="16"/>
  <c r="I28" i="16"/>
  <c r="I7" i="16"/>
  <c r="G175" i="27" l="1"/>
  <c r="H175" i="27"/>
  <c r="H173" i="27"/>
  <c r="G173" i="27"/>
  <c r="F173" i="27"/>
  <c r="E173" i="27"/>
  <c r="D173" i="27"/>
  <c r="H172" i="27"/>
  <c r="G172" i="27"/>
  <c r="F172" i="27"/>
  <c r="E172" i="27"/>
  <c r="D172" i="27"/>
  <c r="H171" i="27"/>
  <c r="G171" i="27"/>
  <c r="F171" i="27"/>
  <c r="E171" i="27"/>
  <c r="D171" i="27"/>
  <c r="H170" i="27"/>
  <c r="G170" i="27"/>
  <c r="F170" i="27"/>
  <c r="AV170" i="27" s="1"/>
  <c r="E170" i="27"/>
  <c r="D170" i="27"/>
  <c r="C173" i="27"/>
  <c r="C170" i="27"/>
  <c r="AV175" i="27"/>
  <c r="AV173" i="27"/>
  <c r="AV172" i="27"/>
  <c r="AV171" i="27"/>
  <c r="G156" i="27"/>
  <c r="H156" i="27"/>
  <c r="F156" i="27"/>
  <c r="AV167" i="27"/>
  <c r="AV166" i="27"/>
  <c r="AV165" i="27"/>
  <c r="AV164" i="27"/>
  <c r="AV163" i="27"/>
  <c r="AV162" i="27"/>
  <c r="AV161" i="27"/>
  <c r="AV160" i="27"/>
  <c r="AV159" i="27"/>
  <c r="AV158" i="27"/>
  <c r="AV157" i="27"/>
  <c r="AV156" i="27"/>
  <c r="AV150" i="27"/>
  <c r="AV148" i="27"/>
  <c r="AV147" i="27"/>
  <c r="AV145" i="27"/>
  <c r="H144" i="27"/>
  <c r="H151" i="27" s="1"/>
  <c r="G144" i="27"/>
  <c r="G151" i="27" s="1"/>
  <c r="H142" i="27"/>
  <c r="H128" i="27"/>
  <c r="H141" i="27" s="1"/>
  <c r="H127" i="27"/>
  <c r="H140" i="27" s="1"/>
  <c r="I127" i="27"/>
  <c r="I140" i="27" s="1"/>
  <c r="M127" i="27"/>
  <c r="M140" i="27" s="1"/>
  <c r="N127" i="27"/>
  <c r="N140" i="27" s="1"/>
  <c r="P127" i="27"/>
  <c r="Q127" i="27"/>
  <c r="R127" i="27"/>
  <c r="S127" i="27"/>
  <c r="T127" i="27"/>
  <c r="U127" i="27"/>
  <c r="V127" i="27"/>
  <c r="W127" i="27"/>
  <c r="X127" i="27"/>
  <c r="Y127" i="27"/>
  <c r="Z127" i="27"/>
  <c r="AA127" i="27"/>
  <c r="AB127" i="27"/>
  <c r="AC127" i="27"/>
  <c r="AD127" i="27"/>
  <c r="AE127" i="27"/>
  <c r="AF127" i="27"/>
  <c r="AG127" i="27"/>
  <c r="AH127" i="27"/>
  <c r="AI127" i="27"/>
  <c r="AJ127" i="27"/>
  <c r="AK127" i="27"/>
  <c r="AL127" i="27"/>
  <c r="AM127" i="27"/>
  <c r="AN127" i="27"/>
  <c r="AO127" i="27"/>
  <c r="AP127" i="27"/>
  <c r="AQ127" i="27"/>
  <c r="AR127" i="27"/>
  <c r="AS127" i="27"/>
  <c r="H126" i="27"/>
  <c r="H139" i="27" s="1"/>
  <c r="H125" i="27"/>
  <c r="H138" i="27" s="1"/>
  <c r="H124" i="27"/>
  <c r="H137" i="27"/>
  <c r="H135" i="27"/>
  <c r="H134" i="27"/>
  <c r="H133" i="27"/>
  <c r="H132" i="27"/>
  <c r="H116" i="27"/>
  <c r="H115" i="27"/>
  <c r="H114" i="27"/>
  <c r="H113" i="27"/>
  <c r="H112" i="27"/>
  <c r="H104" i="27"/>
  <c r="H97" i="27"/>
  <c r="H96" i="27"/>
  <c r="H95" i="27"/>
  <c r="H94" i="27"/>
  <c r="H68" i="27"/>
  <c r="H75" i="27" s="1"/>
  <c r="H65" i="27"/>
  <c r="H64" i="27"/>
  <c r="H63" i="27"/>
  <c r="H62" i="27"/>
  <c r="I62" i="27"/>
  <c r="L62" i="27"/>
  <c r="AU62" i="27" s="1"/>
  <c r="P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J62" i="27"/>
  <c r="AK62" i="27"/>
  <c r="AL62" i="27"/>
  <c r="AM62" i="27"/>
  <c r="AN62" i="27"/>
  <c r="AO62" i="27"/>
  <c r="AP62" i="27"/>
  <c r="AQ62" i="27"/>
  <c r="AR62" i="27"/>
  <c r="AS62" i="27"/>
  <c r="H61" i="27"/>
  <c r="H59" i="27"/>
  <c r="H58" i="27"/>
  <c r="H57" i="27"/>
  <c r="H56" i="27"/>
  <c r="H47" i="27"/>
  <c r="H136" i="27" s="1"/>
  <c r="H30" i="27"/>
  <c r="H21" i="27"/>
  <c r="H16" i="27" s="1"/>
  <c r="H8" i="27"/>
  <c r="H3" i="27" s="1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H11" i="12"/>
  <c r="C158" i="27"/>
  <c r="C159" i="27"/>
  <c r="H42" i="27" l="1"/>
  <c r="H131" i="27" s="1"/>
  <c r="H174" i="27"/>
  <c r="AU127" i="27"/>
  <c r="AT127" i="27"/>
  <c r="O140" i="27"/>
  <c r="C171" i="27"/>
  <c r="H29" i="27"/>
  <c r="G150" i="27"/>
  <c r="G154" i="27"/>
  <c r="G152" i="27"/>
  <c r="H154" i="27"/>
  <c r="H152" i="27"/>
  <c r="H150" i="27"/>
  <c r="G153" i="27"/>
  <c r="H153" i="27"/>
  <c r="D164" i="27"/>
  <c r="D144" i="27"/>
  <c r="AV146" i="27"/>
  <c r="F144" i="27"/>
  <c r="C144" i="27"/>
  <c r="C164" i="27"/>
  <c r="E144" i="27"/>
  <c r="E164" i="27"/>
  <c r="E156" i="27" s="1"/>
  <c r="H55" i="27"/>
  <c r="H93" i="27"/>
  <c r="H78" i="27"/>
  <c r="H76" i="27"/>
  <c r="H74" i="27"/>
  <c r="H77" i="27"/>
  <c r="H60" i="27"/>
  <c r="H98" i="27"/>
  <c r="H169" i="27" l="1"/>
  <c r="AU140" i="27"/>
  <c r="AT140" i="27"/>
  <c r="F151" i="27"/>
  <c r="F153" i="27"/>
  <c r="F150" i="27"/>
  <c r="F152" i="27"/>
  <c r="AV152" i="27" s="1"/>
  <c r="F154" i="27"/>
  <c r="E151" i="27"/>
  <c r="E153" i="27"/>
  <c r="E152" i="27"/>
  <c r="E154" i="27"/>
  <c r="E150" i="27"/>
  <c r="C151" i="27"/>
  <c r="C153" i="27"/>
  <c r="C152" i="27"/>
  <c r="C154" i="27"/>
  <c r="C150" i="27"/>
  <c r="D151" i="27"/>
  <c r="D153" i="27"/>
  <c r="D150" i="27"/>
  <c r="D152" i="27"/>
  <c r="D154" i="27"/>
  <c r="AV144" i="27"/>
  <c r="AV153" i="27" l="1"/>
  <c r="AV154" i="27"/>
  <c r="AV151" i="27"/>
  <c r="H38" i="16" l="1"/>
  <c r="H36" i="16"/>
  <c r="H32" i="16" l="1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H30" i="16"/>
  <c r="H28" i="16"/>
  <c r="H7" i="16" l="1"/>
  <c r="G11" i="12" l="1"/>
  <c r="G142" i="27" l="1"/>
  <c r="G128" i="27"/>
  <c r="G141" i="27" s="1"/>
  <c r="G127" i="27"/>
  <c r="G140" i="27" s="1"/>
  <c r="G125" i="27"/>
  <c r="G138" i="27" s="1"/>
  <c r="G124" i="27"/>
  <c r="G137" i="27" l="1"/>
  <c r="G135" i="27"/>
  <c r="G134" i="27"/>
  <c r="G133" i="27"/>
  <c r="G132" i="27"/>
  <c r="G116" i="27"/>
  <c r="G115" i="27"/>
  <c r="G113" i="27"/>
  <c r="G112" i="27"/>
  <c r="G104" i="27"/>
  <c r="G97" i="27"/>
  <c r="G96" i="27"/>
  <c r="G95" i="27"/>
  <c r="G94" i="27"/>
  <c r="G108" i="27"/>
  <c r="G126" i="27" l="1"/>
  <c r="G114" i="27"/>
  <c r="G68" i="27"/>
  <c r="G38" i="16"/>
  <c r="G36" i="16"/>
  <c r="G65" i="27"/>
  <c r="G64" i="27"/>
  <c r="G63" i="27"/>
  <c r="G62" i="27"/>
  <c r="G61" i="27"/>
  <c r="G59" i="27"/>
  <c r="G58" i="27"/>
  <c r="G57" i="27"/>
  <c r="G56" i="27"/>
  <c r="G47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G30" i="27"/>
  <c r="G21" i="27"/>
  <c r="G16" i="27" s="1"/>
  <c r="G8" i="27"/>
  <c r="G3" i="27" s="1"/>
  <c r="G36" i="12"/>
  <c r="G42" i="27" l="1"/>
  <c r="G169" i="27" s="1"/>
  <c r="G174" i="27"/>
  <c r="AT31" i="27"/>
  <c r="AU31" i="27"/>
  <c r="AT32" i="27"/>
  <c r="AU32" i="27"/>
  <c r="AT37" i="27"/>
  <c r="AU37" i="27"/>
  <c r="AT36" i="27"/>
  <c r="AU36" i="27"/>
  <c r="AU35" i="27"/>
  <c r="AT35" i="27"/>
  <c r="AU33" i="27"/>
  <c r="AT33" i="27"/>
  <c r="AT38" i="27"/>
  <c r="AU38" i="27"/>
  <c r="AU39" i="27"/>
  <c r="AT39" i="27"/>
  <c r="AU34" i="27"/>
  <c r="AT34" i="27"/>
  <c r="G139" i="27"/>
  <c r="G34" i="27"/>
  <c r="G60" i="27"/>
  <c r="G77" i="27"/>
  <c r="G75" i="27"/>
  <c r="G78" i="27"/>
  <c r="G76" i="27"/>
  <c r="G74" i="27"/>
  <c r="G29" i="27"/>
  <c r="G136" i="27"/>
  <c r="G98" i="27"/>
  <c r="G131" i="27" l="1"/>
  <c r="G93" i="27"/>
  <c r="G55" i="27"/>
  <c r="G32" i="16"/>
  <c r="G30" i="16"/>
  <c r="G28" i="16"/>
  <c r="G7" i="16"/>
  <c r="F135" i="27" l="1"/>
  <c r="F134" i="27"/>
  <c r="F133" i="27"/>
  <c r="F132" i="27"/>
  <c r="F128" i="27"/>
  <c r="F141" i="27" s="1"/>
  <c r="F127" i="27"/>
  <c r="F140" i="27" s="1"/>
  <c r="F125" i="27"/>
  <c r="F138" i="27" s="1"/>
  <c r="F124" i="27"/>
  <c r="F137" i="27" s="1"/>
  <c r="F116" i="27"/>
  <c r="F115" i="27"/>
  <c r="F113" i="27"/>
  <c r="F112" i="27"/>
  <c r="D38" i="16" l="1"/>
  <c r="E38" i="16"/>
  <c r="F38" i="16"/>
  <c r="C38" i="16"/>
  <c r="F108" i="27"/>
  <c r="F126" i="27" l="1"/>
  <c r="F114" i="27"/>
  <c r="F36" i="16"/>
  <c r="E36" i="16"/>
  <c r="D36" i="16"/>
  <c r="C36" i="16"/>
  <c r="F103" i="27" l="1"/>
  <c r="F102" i="27"/>
  <c r="F100" i="27"/>
  <c r="F99" i="27"/>
  <c r="F97" i="27"/>
  <c r="F96" i="27"/>
  <c r="F95" i="27"/>
  <c r="F94" i="27"/>
  <c r="F65" i="27" l="1"/>
  <c r="F64" i="27"/>
  <c r="F62" i="27"/>
  <c r="F61" i="27"/>
  <c r="F59" i="27"/>
  <c r="F58" i="27"/>
  <c r="F57" i="27"/>
  <c r="F56" i="27"/>
  <c r="F53" i="27"/>
  <c r="F175" i="27" s="1"/>
  <c r="F36" i="27"/>
  <c r="F35" i="27"/>
  <c r="F33" i="27"/>
  <c r="F32" i="27"/>
  <c r="F31" i="27"/>
  <c r="F30" i="27"/>
  <c r="V27" i="27"/>
  <c r="AH27" i="27"/>
  <c r="F27" i="27"/>
  <c r="F11" i="27"/>
  <c r="Q27" i="27"/>
  <c r="G27" i="27"/>
  <c r="R27" i="27"/>
  <c r="X27" i="27"/>
  <c r="L27" i="27"/>
  <c r="S27" i="27"/>
  <c r="H27" i="27"/>
  <c r="AA27" i="27"/>
  <c r="N27" i="27"/>
  <c r="Y27" i="27"/>
  <c r="AI27" i="27"/>
  <c r="F50" i="27"/>
  <c r="P27" i="27"/>
  <c r="K27" i="27"/>
  <c r="T27" i="27"/>
  <c r="AD27" i="27"/>
  <c r="J27" i="27"/>
  <c r="O27" i="27"/>
  <c r="AO27" i="27"/>
  <c r="AQ27" i="27"/>
  <c r="AC27" i="27"/>
  <c r="AB27" i="27"/>
  <c r="AK27" i="27"/>
  <c r="M27" i="27"/>
  <c r="I27" i="27"/>
  <c r="F70" i="27"/>
  <c r="U27" i="27"/>
  <c r="AG27" i="27"/>
  <c r="AN27" i="27"/>
  <c r="AE27" i="27"/>
  <c r="AF27" i="27"/>
  <c r="AR27" i="27"/>
  <c r="AM27" i="27"/>
  <c r="W27" i="27"/>
  <c r="AJ27" i="27"/>
  <c r="Z27" i="27"/>
  <c r="AS27" i="27"/>
  <c r="F24" i="27"/>
  <c r="AP27" i="27"/>
  <c r="AL27" i="27"/>
  <c r="AU27" i="27" l="1"/>
  <c r="AT27" i="27"/>
  <c r="O66" i="27"/>
  <c r="N66" i="27"/>
  <c r="M66" i="27"/>
  <c r="J66" i="27"/>
  <c r="K66" i="27"/>
  <c r="F139" i="27"/>
  <c r="F101" i="27"/>
  <c r="F104" i="27"/>
  <c r="F142" i="27"/>
  <c r="AS66" i="27"/>
  <c r="AQ66" i="27"/>
  <c r="AO66" i="27"/>
  <c r="AM66" i="27"/>
  <c r="AK66" i="27"/>
  <c r="AI66" i="27"/>
  <c r="AG66" i="27"/>
  <c r="AE66" i="27"/>
  <c r="AC66" i="27"/>
  <c r="AA66" i="27"/>
  <c r="Y66" i="27"/>
  <c r="W66" i="27"/>
  <c r="U66" i="27"/>
  <c r="S66" i="27"/>
  <c r="Q66" i="27"/>
  <c r="I66" i="27"/>
  <c r="G66" i="27"/>
  <c r="AR66" i="27"/>
  <c r="AP66" i="27"/>
  <c r="AN66" i="27"/>
  <c r="AL66" i="27"/>
  <c r="AJ66" i="27"/>
  <c r="AH66" i="27"/>
  <c r="AF66" i="27"/>
  <c r="AD66" i="27"/>
  <c r="AB66" i="27"/>
  <c r="Z66" i="27"/>
  <c r="X66" i="27"/>
  <c r="V66" i="27"/>
  <c r="T66" i="27"/>
  <c r="R66" i="27"/>
  <c r="P66" i="27"/>
  <c r="L66" i="27"/>
  <c r="AU66" i="27" s="1"/>
  <c r="H66" i="27"/>
  <c r="F66" i="27"/>
  <c r="F63" i="27"/>
  <c r="F21" i="27"/>
  <c r="F38" i="27"/>
  <c r="F37" i="27"/>
  <c r="F8" i="27"/>
  <c r="F39" i="27"/>
  <c r="F68" i="27"/>
  <c r="F47" i="27"/>
  <c r="F174" i="27" s="1"/>
  <c r="AV174" i="27" s="1"/>
  <c r="D36" i="12"/>
  <c r="E36" i="12"/>
  <c r="F36" i="12"/>
  <c r="D11" i="12"/>
  <c r="E11" i="12"/>
  <c r="F11" i="12"/>
  <c r="C11" i="12"/>
  <c r="AT66" i="27" l="1"/>
  <c r="F42" i="27"/>
  <c r="F169" i="27" s="1"/>
  <c r="AV169" i="27" s="1"/>
  <c r="F136" i="27"/>
  <c r="F98" i="27"/>
  <c r="F16" i="27"/>
  <c r="F74" i="27"/>
  <c r="F34" i="27"/>
  <c r="F3" i="27"/>
  <c r="F60" i="27"/>
  <c r="F78" i="27"/>
  <c r="F77" i="27"/>
  <c r="F75" i="27"/>
  <c r="F76" i="27"/>
  <c r="F131" i="27" l="1"/>
  <c r="F93" i="27"/>
  <c r="F55" i="27"/>
  <c r="F29" i="27"/>
  <c r="D32" i="16"/>
  <c r="E32" i="16"/>
  <c r="F32" i="16"/>
  <c r="C32" i="16"/>
  <c r="D30" i="16"/>
  <c r="E30" i="16"/>
  <c r="F30" i="16"/>
  <c r="C30" i="16"/>
  <c r="F28" i="16"/>
  <c r="E28" i="16"/>
  <c r="D28" i="16"/>
  <c r="C28" i="16"/>
  <c r="D7" i="16" l="1"/>
  <c r="E7" i="16"/>
  <c r="F7" i="16"/>
  <c r="C7" i="16"/>
  <c r="AV143" i="27" l="1"/>
  <c r="AV130" i="27"/>
  <c r="AV112" i="27"/>
  <c r="AV111" i="27"/>
  <c r="AV105" i="27"/>
  <c r="AV92" i="27"/>
  <c r="AV74" i="27"/>
  <c r="AV67" i="27"/>
  <c r="AV54" i="27"/>
  <c r="AV41" i="27"/>
  <c r="AV40" i="27"/>
  <c r="AV28" i="27"/>
  <c r="AV15" i="27"/>
  <c r="AV14" i="27"/>
  <c r="E27" i="27"/>
  <c r="E50" i="27"/>
  <c r="C48" i="27"/>
  <c r="D52" i="27"/>
  <c r="D26" i="27"/>
  <c r="C129" i="27"/>
  <c r="C122" i="27"/>
  <c r="C27" i="27"/>
  <c r="D83" i="27"/>
  <c r="D23" i="27"/>
  <c r="C52" i="27"/>
  <c r="C84" i="27"/>
  <c r="D129" i="27"/>
  <c r="C91" i="27"/>
  <c r="D121" i="27"/>
  <c r="D109" i="27"/>
  <c r="C51" i="27"/>
  <c r="E70" i="27"/>
  <c r="C11" i="27"/>
  <c r="C82" i="27"/>
  <c r="D51" i="27"/>
  <c r="D72" i="27"/>
  <c r="D25" i="27"/>
  <c r="C45" i="27"/>
  <c r="D110" i="27"/>
  <c r="D49" i="27"/>
  <c r="D13" i="27"/>
  <c r="C50" i="27"/>
  <c r="D48" i="27"/>
  <c r="C109" i="27"/>
  <c r="C13" i="27"/>
  <c r="C110" i="27"/>
  <c r="D122" i="27"/>
  <c r="E24" i="27"/>
  <c r="D11" i="27"/>
  <c r="E11" i="27"/>
  <c r="C121" i="27"/>
  <c r="C83" i="27"/>
  <c r="D24" i="27"/>
  <c r="C12" i="27"/>
  <c r="C70" i="27"/>
  <c r="C26" i="27"/>
  <c r="D22" i="27"/>
  <c r="C108" i="27"/>
  <c r="D50" i="27"/>
  <c r="C71" i="27"/>
  <c r="C24" i="27"/>
  <c r="D70" i="27"/>
  <c r="C49" i="27"/>
  <c r="C81" i="27"/>
  <c r="D12" i="27"/>
  <c r="D71" i="27"/>
  <c r="E108" i="27"/>
  <c r="C72" i="27"/>
  <c r="D108" i="27"/>
  <c r="C25" i="27"/>
  <c r="D27" i="27"/>
  <c r="D10" i="27"/>
  <c r="E82" i="27"/>
  <c r="E80" i="27" l="1"/>
  <c r="C172" i="27"/>
  <c r="AV5" i="27"/>
  <c r="AV7" i="27"/>
  <c r="C8" i="27"/>
  <c r="C3" i="27" s="1"/>
  <c r="AV9" i="27"/>
  <c r="E8" i="27"/>
  <c r="E3" i="27" s="1"/>
  <c r="AV10" i="27"/>
  <c r="D30" i="27"/>
  <c r="C31" i="27"/>
  <c r="AV4" i="27"/>
  <c r="AV6" i="27"/>
  <c r="D8" i="27"/>
  <c r="D3" i="27" s="1"/>
  <c r="AV12" i="27"/>
  <c r="E31" i="27"/>
  <c r="AV18" i="27"/>
  <c r="D32" i="27"/>
  <c r="C33" i="27"/>
  <c r="E33" i="27"/>
  <c r="AV20" i="27"/>
  <c r="C35" i="27"/>
  <c r="C21" i="27"/>
  <c r="E35" i="27"/>
  <c r="AV22" i="27"/>
  <c r="E21" i="27"/>
  <c r="E16" i="27" s="1"/>
  <c r="D36" i="27"/>
  <c r="C37" i="27"/>
  <c r="E37" i="27"/>
  <c r="AV24" i="27"/>
  <c r="D38" i="27"/>
  <c r="C39" i="27"/>
  <c r="E39" i="27"/>
  <c r="AV26" i="27"/>
  <c r="D132" i="27"/>
  <c r="D94" i="27"/>
  <c r="D56" i="27"/>
  <c r="C133" i="27"/>
  <c r="C95" i="27"/>
  <c r="C57" i="27"/>
  <c r="E133" i="27"/>
  <c r="E95" i="27"/>
  <c r="E57" i="27"/>
  <c r="AV44" i="27"/>
  <c r="D134" i="27"/>
  <c r="D96" i="27"/>
  <c r="D58" i="27"/>
  <c r="C135" i="27"/>
  <c r="C97" i="27"/>
  <c r="C59" i="27"/>
  <c r="E135" i="27"/>
  <c r="E97" i="27"/>
  <c r="E59" i="27"/>
  <c r="AV46" i="27"/>
  <c r="C61" i="27"/>
  <c r="C47" i="27"/>
  <c r="E61" i="27"/>
  <c r="AV48" i="27"/>
  <c r="E47" i="27"/>
  <c r="E174" i="27" s="1"/>
  <c r="D62" i="27"/>
  <c r="C63" i="27"/>
  <c r="E63" i="27"/>
  <c r="AV50" i="27"/>
  <c r="D64" i="27"/>
  <c r="C65" i="27"/>
  <c r="E65" i="27"/>
  <c r="AV52" i="27"/>
  <c r="D68" i="27"/>
  <c r="D78" i="27" s="1"/>
  <c r="C101" i="27"/>
  <c r="E101" i="27"/>
  <c r="AV70" i="27"/>
  <c r="D99" i="27"/>
  <c r="D102" i="27"/>
  <c r="D77" i="27"/>
  <c r="C87" i="27"/>
  <c r="C103" i="27"/>
  <c r="AV72" i="27"/>
  <c r="AV11" i="27"/>
  <c r="AV13" i="27"/>
  <c r="C30" i="27"/>
  <c r="C16" i="27"/>
  <c r="E30" i="27"/>
  <c r="AV17" i="27"/>
  <c r="D31" i="27"/>
  <c r="C32" i="27"/>
  <c r="E32" i="27"/>
  <c r="AV19" i="27"/>
  <c r="D33" i="27"/>
  <c r="D35" i="27"/>
  <c r="D21" i="27"/>
  <c r="C36" i="27"/>
  <c r="E36" i="27"/>
  <c r="AV23" i="27"/>
  <c r="D37" i="27"/>
  <c r="C38" i="27"/>
  <c r="E38" i="27"/>
  <c r="AV25" i="27"/>
  <c r="D39" i="27"/>
  <c r="AV27" i="27"/>
  <c r="C132" i="27"/>
  <c r="C94" i="27"/>
  <c r="C56" i="27"/>
  <c r="E132" i="27"/>
  <c r="E94" i="27"/>
  <c r="E56" i="27"/>
  <c r="AV43" i="27"/>
  <c r="D133" i="27"/>
  <c r="D95" i="27"/>
  <c r="D57" i="27"/>
  <c r="C134" i="27"/>
  <c r="C96" i="27"/>
  <c r="C58" i="27"/>
  <c r="E134" i="27"/>
  <c r="E96" i="27"/>
  <c r="E58" i="27"/>
  <c r="AV45" i="27"/>
  <c r="D135" i="27"/>
  <c r="D97" i="27"/>
  <c r="D59" i="27"/>
  <c r="D61" i="27"/>
  <c r="D47" i="27"/>
  <c r="C100" i="27"/>
  <c r="C62" i="27"/>
  <c r="E100" i="27"/>
  <c r="E62" i="27"/>
  <c r="AV49" i="27"/>
  <c r="D63" i="27"/>
  <c r="C64" i="27"/>
  <c r="E64" i="27"/>
  <c r="AV51" i="27"/>
  <c r="D65" i="27"/>
  <c r="C68" i="27"/>
  <c r="AV69" i="27"/>
  <c r="E68" i="27"/>
  <c r="D101" i="27"/>
  <c r="C102" i="27"/>
  <c r="E99" i="27"/>
  <c r="AV71" i="27"/>
  <c r="D103" i="27"/>
  <c r="D87" i="27"/>
  <c r="D100" i="27" s="1"/>
  <c r="AV82" i="27"/>
  <c r="AV84" i="27"/>
  <c r="AV81" i="27"/>
  <c r="AV83" i="27"/>
  <c r="AV91" i="27"/>
  <c r="C112" i="27"/>
  <c r="AV107" i="27"/>
  <c r="E113" i="27"/>
  <c r="D126" i="27"/>
  <c r="D139" i="27" s="1"/>
  <c r="C124" i="27"/>
  <c r="C127" i="27"/>
  <c r="E124" i="27"/>
  <c r="AV109" i="27"/>
  <c r="E127" i="27"/>
  <c r="E115" i="27"/>
  <c r="D125" i="27"/>
  <c r="D128" i="27"/>
  <c r="AV119" i="27"/>
  <c r="AV121" i="27"/>
  <c r="D53" i="27"/>
  <c r="D112" i="27"/>
  <c r="C126" i="27"/>
  <c r="C139" i="27" s="1"/>
  <c r="E126" i="27"/>
  <c r="AV108" i="27"/>
  <c r="D127" i="27"/>
  <c r="D124" i="27"/>
  <c r="C128" i="27"/>
  <c r="C116" i="27"/>
  <c r="C125" i="27"/>
  <c r="E128" i="27"/>
  <c r="E141" i="27" s="1"/>
  <c r="E116" i="27"/>
  <c r="E125" i="27"/>
  <c r="AV110" i="27"/>
  <c r="AV120" i="27"/>
  <c r="AV122" i="27"/>
  <c r="C53" i="27"/>
  <c r="C175" i="27" s="1"/>
  <c r="AV129" i="27"/>
  <c r="E53" i="27"/>
  <c r="C34" i="27" l="1"/>
  <c r="C29" i="27"/>
  <c r="D76" i="27"/>
  <c r="E66" i="27"/>
  <c r="E175" i="27"/>
  <c r="D66" i="27"/>
  <c r="D175" i="27"/>
  <c r="D138" i="27"/>
  <c r="D163" i="27"/>
  <c r="C162" i="27"/>
  <c r="C138" i="27"/>
  <c r="C163" i="27"/>
  <c r="C141" i="27"/>
  <c r="C166" i="27"/>
  <c r="D140" i="27"/>
  <c r="D165" i="27"/>
  <c r="D141" i="27"/>
  <c r="D166" i="27"/>
  <c r="C140" i="27"/>
  <c r="C165" i="27"/>
  <c r="D34" i="27"/>
  <c r="E76" i="27"/>
  <c r="C74" i="27"/>
  <c r="D74" i="27"/>
  <c r="C42" i="27"/>
  <c r="C66" i="27"/>
  <c r="D115" i="27"/>
  <c r="E114" i="27"/>
  <c r="D113" i="27"/>
  <c r="C77" i="27"/>
  <c r="C114" i="27"/>
  <c r="C115" i="27"/>
  <c r="C113" i="27"/>
  <c r="C75" i="27"/>
  <c r="D116" i="27"/>
  <c r="D75" i="27"/>
  <c r="AV141" i="27"/>
  <c r="AV99" i="27"/>
  <c r="AV76" i="27"/>
  <c r="AV101" i="27"/>
  <c r="E142" i="27"/>
  <c r="E104" i="27"/>
  <c r="AV53" i="27"/>
  <c r="AV125" i="27"/>
  <c r="AV116" i="27"/>
  <c r="D123" i="27"/>
  <c r="D118" i="27" s="1"/>
  <c r="AV127" i="27"/>
  <c r="C123" i="27"/>
  <c r="C118" i="27" s="1"/>
  <c r="D114" i="27"/>
  <c r="AV114" i="27"/>
  <c r="E112" i="27"/>
  <c r="AV106" i="27"/>
  <c r="E77" i="27"/>
  <c r="AV89" i="27"/>
  <c r="C85" i="27"/>
  <c r="AV64" i="27"/>
  <c r="E102" i="27"/>
  <c r="E138" i="27"/>
  <c r="D137" i="27"/>
  <c r="AV58" i="27"/>
  <c r="AV59" i="27"/>
  <c r="AV96" i="27"/>
  <c r="AV56" i="27"/>
  <c r="AV94" i="27"/>
  <c r="AV38" i="27"/>
  <c r="AV32" i="27"/>
  <c r="AV30" i="27"/>
  <c r="AV90" i="27"/>
  <c r="C78" i="27"/>
  <c r="D85" i="27"/>
  <c r="C76" i="27"/>
  <c r="AV65" i="27"/>
  <c r="E60" i="27"/>
  <c r="AV47" i="27"/>
  <c r="C98" i="27"/>
  <c r="C60" i="27"/>
  <c r="C99" i="27"/>
  <c r="AV97" i="27"/>
  <c r="AV95" i="27"/>
  <c r="AV39" i="27"/>
  <c r="E34" i="27"/>
  <c r="AV21" i="27"/>
  <c r="AV31" i="27"/>
  <c r="AV3" i="27"/>
  <c r="C142" i="27"/>
  <c r="C104" i="27"/>
  <c r="AV128" i="27"/>
  <c r="AV126" i="27"/>
  <c r="D142" i="27"/>
  <c r="D104" i="27"/>
  <c r="AV115" i="27"/>
  <c r="AV124" i="27"/>
  <c r="AV86" i="27"/>
  <c r="E98" i="27"/>
  <c r="E74" i="27"/>
  <c r="AV68" i="27"/>
  <c r="E75" i="27"/>
  <c r="E140" i="27"/>
  <c r="AV62" i="27"/>
  <c r="AV100" i="27"/>
  <c r="D60" i="27"/>
  <c r="AV134" i="27"/>
  <c r="E42" i="27"/>
  <c r="AV132" i="27"/>
  <c r="AV36" i="27"/>
  <c r="E29" i="27"/>
  <c r="E78" i="27"/>
  <c r="AV87" i="27"/>
  <c r="AV88" i="27"/>
  <c r="AV66" i="27"/>
  <c r="E103" i="27"/>
  <c r="AV63" i="27"/>
  <c r="E139" i="27"/>
  <c r="AV61" i="27"/>
  <c r="E137" i="27"/>
  <c r="C137" i="27"/>
  <c r="AV60" i="27"/>
  <c r="AV135" i="27"/>
  <c r="AV57" i="27"/>
  <c r="AV133" i="27"/>
  <c r="D42" i="27"/>
  <c r="AV37" i="27"/>
  <c r="AV35" i="27"/>
  <c r="AV33" i="27"/>
  <c r="D16" i="27"/>
  <c r="AV8" i="27"/>
  <c r="D98" i="27" l="1"/>
  <c r="D80" i="27"/>
  <c r="C131" i="27"/>
  <c r="E169" i="27"/>
  <c r="D136" i="27"/>
  <c r="C55" i="27"/>
  <c r="C80" i="27"/>
  <c r="D161" i="27"/>
  <c r="C161" i="27"/>
  <c r="D29" i="27"/>
  <c r="C136" i="27"/>
  <c r="AV98" i="27"/>
  <c r="AV137" i="27"/>
  <c r="AV139" i="27"/>
  <c r="AV103" i="27"/>
  <c r="AV78" i="27"/>
  <c r="AV29" i="27"/>
  <c r="AV140" i="27"/>
  <c r="AV123" i="27"/>
  <c r="E118" i="27"/>
  <c r="AV102" i="27"/>
  <c r="AV104" i="27"/>
  <c r="D131" i="27"/>
  <c r="D93" i="27"/>
  <c r="D55" i="27"/>
  <c r="AV16" i="27"/>
  <c r="E55" i="27"/>
  <c r="AV42" i="27"/>
  <c r="AV75" i="27"/>
  <c r="AV85" i="27"/>
  <c r="E93" i="27"/>
  <c r="AV34" i="27"/>
  <c r="E136" i="27"/>
  <c r="AV138" i="27"/>
  <c r="AV77" i="27"/>
  <c r="AV113" i="27"/>
  <c r="AV142" i="27"/>
  <c r="E131" i="27" l="1"/>
  <c r="D156" i="27"/>
  <c r="D169" i="27" s="1"/>
  <c r="D174" i="27"/>
  <c r="C156" i="27"/>
  <c r="C169" i="27" s="1"/>
  <c r="C174" i="27"/>
  <c r="C93" i="27"/>
  <c r="AV93" i="27"/>
  <c r="AV118" i="27"/>
  <c r="AV136" i="27"/>
  <c r="AV80" i="27"/>
  <c r="AV55" i="27"/>
  <c r="AV131" i="27"/>
  <c r="AW39" i="16" l="1"/>
  <c r="AX39" i="16"/>
  <c r="AW33" i="16" l="1"/>
  <c r="AX24" i="16"/>
  <c r="AW24" i="16"/>
  <c r="BH27" i="13" l="1"/>
  <c r="BH26" i="13"/>
  <c r="BH25" i="13"/>
  <c r="BH24" i="13"/>
  <c r="BH23" i="13"/>
  <c r="BH22" i="13"/>
  <c r="BH21" i="13"/>
  <c r="BH19" i="13"/>
  <c r="BH17" i="13"/>
  <c r="BH16" i="13"/>
  <c r="BH15" i="13"/>
  <c r="BH14" i="13"/>
  <c r="BH13" i="13"/>
  <c r="BH12" i="13"/>
  <c r="BH9" i="13"/>
  <c r="BH8" i="13"/>
  <c r="BH7" i="13"/>
  <c r="BH6" i="13"/>
  <c r="BH5" i="13"/>
  <c r="BH4" i="13"/>
  <c r="BH3" i="13"/>
  <c r="J4" i="13"/>
  <c r="K4" i="13"/>
  <c r="J6" i="13"/>
  <c r="K6" i="13"/>
  <c r="J8" i="13"/>
  <c r="K8" i="13"/>
  <c r="J9" i="13"/>
  <c r="K9" i="13"/>
  <c r="J11" i="13"/>
  <c r="K11" i="13"/>
  <c r="J12" i="13"/>
  <c r="K12" i="13"/>
  <c r="J13" i="13"/>
  <c r="K13" i="13"/>
  <c r="J15" i="13"/>
  <c r="K15" i="13"/>
  <c r="J17" i="13"/>
  <c r="K17" i="13"/>
  <c r="J18" i="13"/>
  <c r="K18" i="13"/>
  <c r="J20" i="13"/>
  <c r="K20" i="13"/>
  <c r="J21" i="13"/>
  <c r="K21" i="13"/>
  <c r="J22" i="13"/>
  <c r="K22" i="13"/>
  <c r="J24" i="13"/>
  <c r="K24" i="13"/>
  <c r="J26" i="13"/>
  <c r="K26" i="13"/>
  <c r="K27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K3" i="13"/>
  <c r="J3" i="13"/>
  <c r="H28" i="13" l="1"/>
  <c r="BH28" i="13" s="1"/>
  <c r="H10" i="13"/>
  <c r="BH10" i="13" s="1"/>
  <c r="BF27" i="13"/>
  <c r="BE27" i="13"/>
  <c r="BD27" i="13"/>
  <c r="BC27" i="13"/>
  <c r="G27" i="13"/>
  <c r="J27" i="13" s="1"/>
  <c r="BG26" i="13"/>
  <c r="BF26" i="13"/>
  <c r="BE26" i="13"/>
  <c r="BD26" i="13"/>
  <c r="BC26" i="13"/>
  <c r="G25" i="13"/>
  <c r="F25" i="13"/>
  <c r="E25" i="13"/>
  <c r="D25" i="13"/>
  <c r="BD25" i="13" s="1"/>
  <c r="C25" i="13"/>
  <c r="BC25" i="13" s="1"/>
  <c r="BG24" i="13"/>
  <c r="BF24" i="13"/>
  <c r="BE24" i="13"/>
  <c r="BD24" i="13"/>
  <c r="BC24" i="13"/>
  <c r="G23" i="13"/>
  <c r="F23" i="13"/>
  <c r="BF23" i="13" s="1"/>
  <c r="E23" i="13"/>
  <c r="K23" i="13" s="1"/>
  <c r="D23" i="13"/>
  <c r="BD23" i="13" s="1"/>
  <c r="C23" i="13"/>
  <c r="BG22" i="13"/>
  <c r="BF22" i="13"/>
  <c r="BE22" i="13"/>
  <c r="BD22" i="13"/>
  <c r="BC22" i="13"/>
  <c r="BG21" i="13"/>
  <c r="BF21" i="13"/>
  <c r="BE21" i="13"/>
  <c r="BD21" i="13"/>
  <c r="BC21" i="13"/>
  <c r="BG17" i="13"/>
  <c r="BF17" i="13"/>
  <c r="BE17" i="13"/>
  <c r="BD17" i="13"/>
  <c r="BC17" i="13"/>
  <c r="G16" i="13"/>
  <c r="F16" i="13"/>
  <c r="BF16" i="13" s="1"/>
  <c r="E16" i="13"/>
  <c r="D16" i="13"/>
  <c r="BD16" i="13" s="1"/>
  <c r="C16" i="13"/>
  <c r="BC16" i="13" s="1"/>
  <c r="BG15" i="13"/>
  <c r="BF15" i="13"/>
  <c r="BE15" i="13"/>
  <c r="BD15" i="13"/>
  <c r="BC15" i="13"/>
  <c r="G14" i="13"/>
  <c r="J14" i="13" s="1"/>
  <c r="F14" i="13"/>
  <c r="BF14" i="13" s="1"/>
  <c r="E14" i="13"/>
  <c r="K14" i="13" s="1"/>
  <c r="D14" i="13"/>
  <c r="C14" i="13"/>
  <c r="BG13" i="13"/>
  <c r="BF13" i="13"/>
  <c r="BE13" i="13"/>
  <c r="BD13" i="13"/>
  <c r="BC13" i="13"/>
  <c r="BG12" i="13"/>
  <c r="BF12" i="13"/>
  <c r="BE12" i="13"/>
  <c r="BD12" i="13"/>
  <c r="BC12" i="13"/>
  <c r="BG9" i="13"/>
  <c r="BF9" i="13"/>
  <c r="BE9" i="13"/>
  <c r="BD9" i="13"/>
  <c r="BC9" i="13"/>
  <c r="BG8" i="13"/>
  <c r="BF8" i="13"/>
  <c r="BE8" i="13"/>
  <c r="BD8" i="13"/>
  <c r="BC8" i="13"/>
  <c r="G7" i="13"/>
  <c r="J7" i="13" s="1"/>
  <c r="F7" i="13"/>
  <c r="BF7" i="13" s="1"/>
  <c r="E7" i="13"/>
  <c r="D7" i="13"/>
  <c r="BD7" i="13" s="1"/>
  <c r="C7" i="13"/>
  <c r="BC7" i="13" s="1"/>
  <c r="BG6" i="13"/>
  <c r="BF6" i="13"/>
  <c r="BE6" i="13"/>
  <c r="BD6" i="13"/>
  <c r="BC6" i="13"/>
  <c r="G5" i="13"/>
  <c r="J5" i="13" s="1"/>
  <c r="F5" i="13"/>
  <c r="E5" i="13"/>
  <c r="D5" i="13"/>
  <c r="C5" i="13"/>
  <c r="BG4" i="13"/>
  <c r="BF4" i="13"/>
  <c r="BE4" i="13"/>
  <c r="BD4" i="13"/>
  <c r="BC4" i="13"/>
  <c r="BG3" i="13"/>
  <c r="BF3" i="13"/>
  <c r="BE3" i="13"/>
  <c r="BD3" i="13"/>
  <c r="BC3" i="13"/>
  <c r="BE16" i="13" l="1"/>
  <c r="K16" i="13"/>
  <c r="BG25" i="13"/>
  <c r="J25" i="13"/>
  <c r="BE7" i="13"/>
  <c r="K7" i="13"/>
  <c r="BG16" i="13"/>
  <c r="J16" i="13"/>
  <c r="BG23" i="13"/>
  <c r="J23" i="13"/>
  <c r="BE25" i="13"/>
  <c r="K25" i="13"/>
  <c r="BE5" i="13"/>
  <c r="K5" i="13"/>
  <c r="F10" i="13"/>
  <c r="BF10" i="13" s="1"/>
  <c r="C19" i="13"/>
  <c r="BC19" i="13" s="1"/>
  <c r="E28" i="13"/>
  <c r="BE28" i="13" s="1"/>
  <c r="D10" i="13"/>
  <c r="BD10" i="13" s="1"/>
  <c r="D19" i="13"/>
  <c r="BD19" i="13" s="1"/>
  <c r="E19" i="13"/>
  <c r="C28" i="13"/>
  <c r="BC28" i="13" s="1"/>
  <c r="BC14" i="13"/>
  <c r="F28" i="13"/>
  <c r="BF28" i="13" s="1"/>
  <c r="BG14" i="13"/>
  <c r="BF5" i="13"/>
  <c r="C10" i="13"/>
  <c r="BC10" i="13" s="1"/>
  <c r="G10" i="13"/>
  <c r="J10" i="13" s="1"/>
  <c r="BG5" i="13"/>
  <c r="BD14" i="13"/>
  <c r="BE23" i="13"/>
  <c r="F19" i="13"/>
  <c r="BF19" i="13" s="1"/>
  <c r="BC5" i="13"/>
  <c r="G19" i="13"/>
  <c r="J19" i="13" s="1"/>
  <c r="BG27" i="13"/>
  <c r="BG10" i="13"/>
  <c r="E10" i="13"/>
  <c r="BE10" i="13" s="1"/>
  <c r="G28" i="13"/>
  <c r="J28" i="13" s="1"/>
  <c r="BD5" i="13"/>
  <c r="BG7" i="13"/>
  <c r="BE14" i="13"/>
  <c r="BC23" i="13"/>
  <c r="BF25" i="13"/>
  <c r="D28" i="13"/>
  <c r="BD28" i="13" s="1"/>
  <c r="K10" i="13" l="1"/>
  <c r="K28" i="13"/>
  <c r="BE19" i="13"/>
  <c r="K19" i="13"/>
  <c r="BG19" i="13"/>
  <c r="BG28" i="13"/>
</calcChain>
</file>

<file path=xl/connections.xml><?xml version="1.0" encoding="utf-8"?>
<connections xmlns="http://schemas.openxmlformats.org/spreadsheetml/2006/main">
  <connection id="1" keepAlive="1" name="ThisWorkbookDataModel" description="This connection is used by Excel for communication between the workbook and embedded PowerPivot data, and should not be manually edited or deleted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<sst xmlns="http://schemas.openxmlformats.org/spreadsheetml/2006/main" count="422" uniqueCount="122">
  <si>
    <t>Facebook</t>
  </si>
  <si>
    <t>Google Adwords</t>
  </si>
  <si>
    <t>Google Display</t>
  </si>
  <si>
    <t>Google Remarketing</t>
  </si>
  <si>
    <t>Affiliate</t>
  </si>
  <si>
    <t>Facebook Mobile - Android</t>
  </si>
  <si>
    <t>Facebook Mobile - iOS</t>
  </si>
  <si>
    <t>Google Mobile - Android</t>
  </si>
  <si>
    <t>Google Mobile - iOS</t>
  </si>
  <si>
    <t>Orders</t>
  </si>
  <si>
    <t>IPHONE</t>
  </si>
  <si>
    <t>Microsite</t>
  </si>
  <si>
    <t>Website</t>
  </si>
  <si>
    <t>Registration</t>
  </si>
  <si>
    <t>iPhone</t>
  </si>
  <si>
    <t>Android</t>
  </si>
  <si>
    <t>-</t>
  </si>
  <si>
    <t>Mobile</t>
  </si>
  <si>
    <t>Google Mobile - Other</t>
  </si>
  <si>
    <t>Registration (Web)</t>
  </si>
  <si>
    <t>Registration (Microsite)</t>
  </si>
  <si>
    <t>Registration (iOS)</t>
  </si>
  <si>
    <t>Registration (Android)</t>
  </si>
  <si>
    <t>Order (Web)</t>
  </si>
  <si>
    <t>Order (Microsite)</t>
  </si>
  <si>
    <t>Order (iOS)</t>
  </si>
  <si>
    <t>Order (Android)</t>
  </si>
  <si>
    <t>CPO ($)</t>
  </si>
  <si>
    <t>AndroidAPP</t>
  </si>
  <si>
    <t>TOTAL</t>
  </si>
  <si>
    <t>Clicks (Thousand)</t>
  </si>
  <si>
    <t>CTR (%)</t>
  </si>
  <si>
    <t>Registration - Total (Unit)</t>
  </si>
  <si>
    <t>Registration - Web</t>
  </si>
  <si>
    <t>Registration - Microsite</t>
  </si>
  <si>
    <t>Registration - iOS</t>
  </si>
  <si>
    <t>Registration - Android</t>
  </si>
  <si>
    <t>Registration - Paid (Unit)</t>
  </si>
  <si>
    <t>Order - Total (Unit)</t>
  </si>
  <si>
    <t>Order - Web</t>
  </si>
  <si>
    <t>Order - Microsite</t>
  </si>
  <si>
    <t>Order - iOS</t>
  </si>
  <si>
    <t>Order - Android</t>
  </si>
  <si>
    <t>Order - Paid (Unit)</t>
  </si>
  <si>
    <t>Impressions (Thousand)</t>
  </si>
  <si>
    <t>Unique Visitor</t>
  </si>
  <si>
    <t>Visits</t>
  </si>
  <si>
    <t>Page View</t>
  </si>
  <si>
    <t>Pages / Visits</t>
  </si>
  <si>
    <t>Total Time Spent</t>
  </si>
  <si>
    <t>Avg Time per Visit (min)</t>
  </si>
  <si>
    <t>Visit-to-Order</t>
  </si>
  <si>
    <t>Organic</t>
  </si>
  <si>
    <t>Value</t>
  </si>
  <si>
    <t>Percentage (%)</t>
  </si>
  <si>
    <t>Total Visits</t>
  </si>
  <si>
    <t>Direct URL typing</t>
  </si>
  <si>
    <t>Organic Non-Brand</t>
  </si>
  <si>
    <t>Organic Brand</t>
  </si>
  <si>
    <t>Paid Search Non-brand</t>
  </si>
  <si>
    <t>Paid Search Brand</t>
  </si>
  <si>
    <t>Email</t>
  </si>
  <si>
    <t>Other Referrers</t>
  </si>
  <si>
    <t>Total Registration</t>
  </si>
  <si>
    <t>Total Order</t>
  </si>
  <si>
    <t>Total Visit-to-Order</t>
  </si>
  <si>
    <t>% Last-Month</t>
  </si>
  <si>
    <t>% Last-3-Month</t>
  </si>
  <si>
    <t>% Year-to-Date</t>
  </si>
  <si>
    <t>Color Code</t>
  </si>
  <si>
    <t>10% Higher than average</t>
  </si>
  <si>
    <t>10% less then average</t>
  </si>
  <si>
    <t>Order</t>
  </si>
  <si>
    <t>Radio</t>
  </si>
  <si>
    <t>Digital</t>
  </si>
  <si>
    <t>Digital Marketing</t>
  </si>
  <si>
    <t>Mailing</t>
  </si>
  <si>
    <t>% to total order</t>
  </si>
  <si>
    <t>Offline</t>
  </si>
  <si>
    <t>Cost</t>
  </si>
  <si>
    <t>Registration - Total (%)</t>
  </si>
  <si>
    <t>Order - Web (%)</t>
  </si>
  <si>
    <t>February 14</t>
  </si>
  <si>
    <t>January 14</t>
  </si>
  <si>
    <t>December 13</t>
  </si>
  <si>
    <t>CPR (EUR)</t>
  </si>
  <si>
    <t>CPO (EUR)</t>
  </si>
  <si>
    <t>Total Spent (EUR)</t>
  </si>
  <si>
    <t>Verification</t>
  </si>
  <si>
    <t>CPV (EUR)</t>
  </si>
  <si>
    <t>Cost (€)</t>
  </si>
  <si>
    <t>CPC (€)</t>
  </si>
  <si>
    <t>Unique Opens</t>
  </si>
  <si>
    <t>Open-to-Order</t>
  </si>
  <si>
    <t>April 14</t>
  </si>
  <si>
    <t>May 14</t>
  </si>
  <si>
    <t>TV</t>
  </si>
  <si>
    <t>BTL</t>
  </si>
  <si>
    <t>Branded flyers</t>
  </si>
  <si>
    <t>Verification - Total (Unit)</t>
  </si>
  <si>
    <t>Verification - Web</t>
  </si>
  <si>
    <t>Verification - iOS</t>
  </si>
  <si>
    <t>Verification - Android</t>
  </si>
  <si>
    <t>Verification - Total (%)</t>
  </si>
  <si>
    <t>Verification - Microsite</t>
  </si>
  <si>
    <t>Verification - Paid (Unit)</t>
  </si>
  <si>
    <t>CPV ($)</t>
  </si>
  <si>
    <t>June 14</t>
  </si>
  <si>
    <t>July 14</t>
  </si>
  <si>
    <t>Aug 14</t>
  </si>
  <si>
    <t>PR/Digital PR</t>
  </si>
  <si>
    <t>Visit-to-order</t>
  </si>
  <si>
    <t>IOS</t>
  </si>
  <si>
    <t>Total All</t>
  </si>
  <si>
    <t>Screens / Visits</t>
  </si>
  <si>
    <t>Sep 14</t>
  </si>
  <si>
    <t>Oct 14</t>
  </si>
  <si>
    <t>Registrations</t>
  </si>
  <si>
    <t>Direct</t>
  </si>
  <si>
    <t>Nov 14</t>
  </si>
  <si>
    <t>Dec14</t>
  </si>
  <si>
    <t>Dec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</si>
</sst>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&quot;$&quot;* #,##0.00_);_(&quot;$&quot;* \(#,##0.00\);_(&quot;$&quot;* &quot;-&quot;??_);_(@_)"/>
    <numFmt numFmtId="165" formatCode="_-* #,##0.00\ _₺_-;\-* #,##0.00\ _₺_-;_-* &quot;-&quot;??\ _₺_-;_-@_-"/>
    <numFmt numFmtId="166" formatCode="[$-409]d\-mmm\-yy;@"/>
    <numFmt numFmtId="167" formatCode="#,##0.0,"/>
    <numFmt numFmtId="168" formatCode="0.0%"/>
    <numFmt numFmtId="169" formatCode="m/d/yy;@"/>
    <numFmt numFmtId="170" formatCode="[$-41F]mmmm\ yy;@"/>
    <numFmt numFmtId="171" formatCode="_-[$€-2]\ * #,##0.0_-;\-[$€-2]\ * #,##0.0_-;_-[$€-2]\ * &quot;-&quot;?_-;_-@_-"/>
    <numFmt numFmtId="172" formatCode="[$€-2]\ #,##0.00"/>
    <numFmt numFmtId="173" formatCode="_ * #,##0_)\ [$€-1]_ ;_ * \(#,##0\)\ [$€-1]_ ;_ * &quot;-&quot;?_)\ [$€-1]_ ;_ @_ "/>
    <numFmt numFmtId="174" formatCode="_ * #,##0.00_)\ [$€-1]_ ;_ * \(#,##0.00\)\ [$€-1]_ ;_ * &quot;-&quot;??_)\ [$€-1]_ ;_ @_ "/>
    <numFmt numFmtId="175" formatCode="_ * #,##0.0_)\ [$€-1]_ ;_ * \(#,##0.0\)\ [$€-1]_ ;_ * &quot;-&quot;?_)\ [$€-1]_ ;_ @_ "/>
    <numFmt numFmtId="176" formatCode="#,##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6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0"/>
      <color theme="0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8"/>
      <color theme="0"/>
      <name val="Calibri"/>
      <family val="2"/>
      <charset val="162"/>
      <scheme val="minor"/>
    </font>
    <font>
      <sz val="10"/>
      <color rgb="FFC00000"/>
      <name val="Calibri"/>
      <family val="2"/>
      <charset val="162"/>
      <scheme val="minor"/>
    </font>
    <font>
      <sz val="8"/>
      <color theme="0"/>
      <name val="Calibri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1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9" fillId="6" borderId="0" applyNumberFormat="0" applyBorder="0" applyAlignment="0" applyProtection="0"/>
    <xf numFmtId="0" fontId="10" fillId="9" borderId="5" applyNumberFormat="0" applyAlignment="0" applyProtection="0"/>
    <xf numFmtId="0" fontId="6" fillId="10" borderId="8" applyNumberFormat="0" applyAlignment="0" applyProtection="0"/>
    <xf numFmtId="164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7" borderId="0" applyNumberFormat="0" applyBorder="0" applyAlignment="0" applyProtection="0"/>
    <xf numFmtId="0" fontId="19" fillId="0" borderId="0" applyProtection="0"/>
    <xf numFmtId="0" fontId="3" fillId="0" borderId="0"/>
    <xf numFmtId="0" fontId="19" fillId="0" borderId="0" applyProtection="0"/>
    <xf numFmtId="0" fontId="4" fillId="11" borderId="9" applyNumberFormat="0" applyFont="0" applyAlignment="0" applyProtection="0"/>
    <xf numFmtId="0" fontId="20" fillId="9" borderId="6" applyNumberFormat="0" applyAlignment="0" applyProtection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82">
    <xf numFmtId="0" fontId="0" fillId="0" borderId="0" xfId="0"/>
    <xf numFmtId="9" fontId="5" fillId="0" borderId="1" xfId="1" applyFont="1" applyBorder="1"/>
    <xf numFmtId="49" fontId="23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/>
    <xf numFmtId="0" fontId="24" fillId="36" borderId="1" xfId="0" applyFont="1" applyFill="1" applyBorder="1" applyAlignment="1">
      <alignment horizontal="left"/>
    </xf>
    <xf numFmtId="49" fontId="24" fillId="37" borderId="1" xfId="0" applyNumberFormat="1" applyFont="1" applyFill="1" applyBorder="1" applyAlignment="1">
      <alignment horizontal="left" vertical="center" wrapText="1"/>
    </xf>
    <xf numFmtId="0" fontId="26" fillId="3" borderId="1" xfId="0" applyFont="1" applyFill="1" applyBorder="1"/>
    <xf numFmtId="0" fontId="5" fillId="38" borderId="1" xfId="0" applyFont="1" applyFill="1" applyBorder="1" applyAlignment="1">
      <alignment horizontal="left"/>
    </xf>
    <xf numFmtId="0" fontId="5" fillId="38" borderId="1" xfId="0" applyFont="1" applyFill="1" applyBorder="1" applyAlignment="1">
      <alignment horizontal="left" indent="1"/>
    </xf>
    <xf numFmtId="0" fontId="5" fillId="0" borderId="1" xfId="0" applyFont="1" applyBorder="1"/>
    <xf numFmtId="0" fontId="26" fillId="3" borderId="1" xfId="0" applyFont="1" applyFill="1" applyBorder="1" applyAlignment="1">
      <alignment horizontal="left" indent="1"/>
    </xf>
    <xf numFmtId="0" fontId="2" fillId="0" borderId="0" xfId="0" applyFont="1"/>
    <xf numFmtId="0" fontId="27" fillId="0" borderId="1" xfId="0" applyFont="1" applyBorder="1" applyAlignment="1">
      <alignment horizontal="left" indent="1"/>
    </xf>
    <xf numFmtId="0" fontId="26" fillId="3" borderId="11" xfId="0" applyFont="1" applyFill="1" applyBorder="1" applyAlignment="1">
      <alignment horizontal="left" indent="1"/>
    </xf>
    <xf numFmtId="170" fontId="26" fillId="2" borderId="1" xfId="0" applyNumberFormat="1" applyFont="1" applyFill="1" applyBorder="1" applyAlignment="1">
      <alignment horizontal="center"/>
    </xf>
    <xf numFmtId="0" fontId="28" fillId="2" borderId="1" xfId="0" applyFont="1" applyFill="1" applyBorder="1"/>
    <xf numFmtId="3" fontId="25" fillId="4" borderId="1" xfId="0" applyNumberFormat="1" applyFont="1" applyFill="1" applyBorder="1"/>
    <xf numFmtId="3" fontId="5" fillId="0" borderId="1" xfId="0" applyNumberFormat="1" applyFont="1" applyFill="1" applyBorder="1"/>
    <xf numFmtId="3" fontId="25" fillId="0" borderId="1" xfId="0" applyNumberFormat="1" applyFont="1" applyBorder="1"/>
    <xf numFmtId="3" fontId="25" fillId="0" borderId="1" xfId="0" applyNumberFormat="1" applyFont="1" applyFill="1" applyBorder="1"/>
    <xf numFmtId="3" fontId="25" fillId="0" borderId="1" xfId="0" applyNumberFormat="1" applyFont="1" applyBorder="1" applyAlignment="1">
      <alignment horizontal="right"/>
    </xf>
    <xf numFmtId="168" fontId="25" fillId="0" borderId="1" xfId="1" applyNumberFormat="1" applyFont="1" applyBorder="1"/>
    <xf numFmtId="0" fontId="5" fillId="38" borderId="11" xfId="0" applyFont="1" applyFill="1" applyBorder="1" applyAlignment="1">
      <alignment horizontal="left" indent="1"/>
    </xf>
    <xf numFmtId="169" fontId="2" fillId="0" borderId="0" xfId="2" applyNumberFormat="1" applyFont="1"/>
    <xf numFmtId="166" fontId="26" fillId="2" borderId="1" xfId="0" applyNumberFormat="1" applyFont="1" applyFill="1" applyBorder="1" applyAlignment="1">
      <alignment horizontal="center"/>
    </xf>
    <xf numFmtId="9" fontId="5" fillId="0" borderId="11" xfId="1" applyFont="1" applyFill="1" applyBorder="1"/>
    <xf numFmtId="9" fontId="25" fillId="4" borderId="1" xfId="1" applyFont="1" applyFill="1" applyBorder="1"/>
    <xf numFmtId="3" fontId="5" fillId="0" borderId="11" xfId="0" applyNumberFormat="1" applyFont="1" applyFill="1" applyBorder="1"/>
    <xf numFmtId="9" fontId="25" fillId="0" borderId="1" xfId="1" applyFont="1" applyBorder="1"/>
    <xf numFmtId="9" fontId="25" fillId="0" borderId="1" xfId="1" applyFont="1" applyFill="1" applyBorder="1"/>
    <xf numFmtId="2" fontId="25" fillId="0" borderId="1" xfId="0" applyNumberFormat="1" applyFont="1" applyBorder="1" applyAlignment="1">
      <alignment horizontal="right"/>
    </xf>
    <xf numFmtId="2" fontId="25" fillId="0" borderId="1" xfId="0" applyNumberFormat="1" applyFont="1" applyFill="1" applyBorder="1" applyAlignment="1">
      <alignment horizontal="right"/>
    </xf>
    <xf numFmtId="168" fontId="25" fillId="4" borderId="1" xfId="1" applyNumberFormat="1" applyFont="1" applyFill="1" applyBorder="1"/>
    <xf numFmtId="0" fontId="26" fillId="0" borderId="11" xfId="0" applyFont="1" applyFill="1" applyBorder="1" applyAlignment="1">
      <alignment horizontal="left" indent="1"/>
    </xf>
    <xf numFmtId="168" fontId="25" fillId="0" borderId="1" xfId="1" applyNumberFormat="1" applyFont="1" applyFill="1" applyBorder="1"/>
    <xf numFmtId="0" fontId="5" fillId="0" borderId="1" xfId="0" applyFont="1" applyFill="1" applyBorder="1"/>
    <xf numFmtId="167" fontId="5" fillId="4" borderId="1" xfId="0" applyNumberFormat="1" applyFont="1" applyFill="1" applyBorder="1"/>
    <xf numFmtId="167" fontId="5" fillId="0" borderId="1" xfId="0" applyNumberFormat="1" applyFont="1" applyBorder="1"/>
    <xf numFmtId="167" fontId="5" fillId="0" borderId="1" xfId="0" applyNumberFormat="1" applyFont="1" applyBorder="1" applyAlignment="1">
      <alignment horizontal="right"/>
    </xf>
    <xf numFmtId="10" fontId="5" fillId="4" borderId="1" xfId="1" applyNumberFormat="1" applyFont="1" applyFill="1" applyBorder="1"/>
    <xf numFmtId="10" fontId="5" fillId="0" borderId="1" xfId="1" applyNumberFormat="1" applyFont="1" applyBorder="1"/>
    <xf numFmtId="3" fontId="5" fillId="0" borderId="1" xfId="0" applyNumberFormat="1" applyFont="1" applyBorder="1" applyAlignment="1">
      <alignment horizontal="right"/>
    </xf>
    <xf numFmtId="3" fontId="5" fillId="4" borderId="1" xfId="0" applyNumberFormat="1" applyFont="1" applyFill="1" applyBorder="1"/>
    <xf numFmtId="3" fontId="5" fillId="0" borderId="1" xfId="0" applyNumberFormat="1" applyFont="1" applyBorder="1"/>
    <xf numFmtId="168" fontId="25" fillId="0" borderId="1" xfId="1" applyNumberFormat="1" applyFont="1" applyBorder="1" applyAlignment="1">
      <alignment horizontal="right"/>
    </xf>
    <xf numFmtId="0" fontId="5" fillId="38" borderId="11" xfId="0" applyFont="1" applyFill="1" applyBorder="1" applyAlignment="1">
      <alignment horizontal="left" indent="2"/>
    </xf>
    <xf numFmtId="9" fontId="5" fillId="4" borderId="1" xfId="1" applyFont="1" applyFill="1" applyBorder="1"/>
    <xf numFmtId="0" fontId="26" fillId="3" borderId="1" xfId="0" applyFont="1" applyFill="1" applyBorder="1" applyAlignment="1">
      <alignment horizontal="left"/>
    </xf>
    <xf numFmtId="0" fontId="26" fillId="3" borderId="1" xfId="0" applyFont="1" applyFill="1" applyBorder="1" applyAlignment="1"/>
    <xf numFmtId="0" fontId="1" fillId="0" borderId="0" xfId="0" applyFont="1"/>
    <xf numFmtId="171" fontId="5" fillId="0" borderId="1" xfId="0" applyNumberFormat="1" applyFont="1" applyBorder="1" applyAlignment="1">
      <alignment horizontal="left"/>
    </xf>
    <xf numFmtId="172" fontId="5" fillId="4" borderId="1" xfId="0" applyNumberFormat="1" applyFont="1" applyFill="1" applyBorder="1"/>
    <xf numFmtId="172" fontId="5" fillId="0" borderId="1" xfId="0" applyNumberFormat="1" applyFont="1" applyBorder="1"/>
    <xf numFmtId="171" fontId="5" fillId="4" borderId="1" xfId="0" applyNumberFormat="1" applyFont="1" applyFill="1" applyBorder="1" applyAlignment="1">
      <alignment horizontal="left"/>
    </xf>
    <xf numFmtId="173" fontId="25" fillId="0" borderId="1" xfId="0" applyNumberFormat="1" applyFont="1" applyBorder="1"/>
    <xf numFmtId="37" fontId="25" fillId="0" borderId="1" xfId="0" applyNumberFormat="1" applyFont="1" applyBorder="1"/>
    <xf numFmtId="37" fontId="25" fillId="0" borderId="0" xfId="0" applyNumberFormat="1" applyFont="1" applyBorder="1"/>
    <xf numFmtId="174" fontId="25" fillId="0" borderId="1" xfId="0" applyNumberFormat="1" applyFont="1" applyBorder="1"/>
    <xf numFmtId="4" fontId="5" fillId="0" borderId="1" xfId="0" applyNumberFormat="1" applyFont="1" applyFill="1" applyBorder="1"/>
    <xf numFmtId="4" fontId="25" fillId="0" borderId="1" xfId="0" applyNumberFormat="1" applyFont="1" applyBorder="1"/>
    <xf numFmtId="175" fontId="5" fillId="4" borderId="1" xfId="0" applyNumberFormat="1" applyFont="1" applyFill="1" applyBorder="1" applyAlignment="1">
      <alignment horizontal="left"/>
    </xf>
    <xf numFmtId="3" fontId="25" fillId="0" borderId="1" xfId="1" applyNumberFormat="1" applyFont="1" applyBorder="1" applyAlignment="1">
      <alignment horizontal="right"/>
    </xf>
    <xf numFmtId="170" fontId="26" fillId="2" borderId="1" xfId="0" quotePrefix="1" applyNumberFormat="1" applyFont="1" applyFill="1" applyBorder="1" applyAlignment="1">
      <alignment horizontal="center"/>
    </xf>
    <xf numFmtId="172" fontId="5" fillId="0" borderId="1" xfId="0" applyNumberFormat="1" applyFont="1" applyFill="1" applyBorder="1"/>
    <xf numFmtId="167" fontId="5" fillId="0" borderId="1" xfId="0" quotePrefix="1" applyNumberFormat="1" applyFont="1" applyBorder="1" applyAlignment="1">
      <alignment horizontal="right"/>
    </xf>
    <xf numFmtId="3" fontId="5" fillId="0" borderId="1" xfId="0" applyNumberFormat="1" applyFont="1" applyFill="1" applyBorder="1" applyAlignment="1">
      <alignment horizontal="right"/>
    </xf>
    <xf numFmtId="167" fontId="5" fillId="0" borderId="1" xfId="0" applyNumberFormat="1" applyFont="1" applyFill="1" applyBorder="1"/>
    <xf numFmtId="3" fontId="1" fillId="0" borderId="0" xfId="0" applyNumberFormat="1" applyFont="1"/>
    <xf numFmtId="0" fontId="1" fillId="0" borderId="0" xfId="0" quotePrefix="1" applyFont="1"/>
    <xf numFmtId="0" fontId="1" fillId="0" borderId="0" xfId="0" quotePrefix="1" applyFont="1" applyAlignment="1">
      <alignment horizontal="right"/>
    </xf>
    <xf numFmtId="176" fontId="5" fillId="0" borderId="1" xfId="0" applyNumberFormat="1" applyFont="1" applyFill="1" applyBorder="1"/>
    <xf numFmtId="0" fontId="25" fillId="0" borderId="1" xfId="0" applyFont="1" applyBorder="1"/>
    <xf numFmtId="45" fontId="5" fillId="0" borderId="1" xfId="0" applyNumberFormat="1" applyFont="1" applyFill="1" applyBorder="1"/>
    <xf numFmtId="3" fontId="25" fillId="0" borderId="1" xfId="0" applyNumberFormat="1" applyFont="1" applyFill="1" applyBorder="1" applyAlignment="1">
      <alignment horizontal="right"/>
    </xf>
    <xf numFmtId="172" fontId="5" fillId="39" borderId="1" xfId="0" applyNumberFormat="1" applyFont="1" applyFill="1" applyBorder="1"/>
    <xf numFmtId="3" fontId="25" fillId="4" borderId="12" xfId="0" applyNumberFormat="1" applyFont="1" applyFill="1" applyBorder="1" applyAlignment="1"/>
    <xf numFmtId="3" fontId="25" fillId="4" borderId="13" xfId="0" applyNumberFormat="1" applyFont="1" applyFill="1" applyBorder="1" applyAlignment="1"/>
    <xf numFmtId="3" fontId="5" fillId="39" borderId="1" xfId="0" applyNumberFormat="1" applyFont="1" applyFill="1" applyBorder="1"/>
    <xf numFmtId="173" fontId="25" fillId="39" borderId="1" xfId="0" applyNumberFormat="1" applyFont="1" applyFill="1" applyBorder="1"/>
    <xf numFmtId="173" fontId="5" fillId="0" borderId="1" xfId="0" applyNumberFormat="1" applyFont="1" applyBorder="1"/>
    <xf numFmtId="173" fontId="5" fillId="0" borderId="1" xfId="0" applyNumberFormat="1" applyFont="1" applyFill="1" applyBorder="1"/>
    <xf numFmtId="3" fontId="5" fillId="39" borderId="1" xfId="0" applyNumberFormat="1" applyFont="1" applyFill="1" applyBorder="1" applyAlignment="1">
      <alignment horizontal="right"/>
    </xf>
  </cellXfs>
  <cellStyles count="51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2" builtinId="3"/>
    <cellStyle name="Currency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0"/>
    <cellStyle name="Normal 3" xfId="41"/>
    <cellStyle name="Normal 3 2" xfId="42"/>
    <cellStyle name="Normal 4" xfId="49"/>
    <cellStyle name="Note 2" xfId="43"/>
    <cellStyle name="Output 2" xfId="44"/>
    <cellStyle name="Percent" xfId="1" builtinId="5"/>
    <cellStyle name="Percent 2" xfId="45"/>
    <cellStyle name="Percent 3" xfId="50"/>
    <cellStyle name="Title 2" xfId="46"/>
    <cellStyle name="Total 2" xfId="47"/>
    <cellStyle name="Warning Text 2" xfId="48"/>
  </cellStyles>
  <dxfs count="397"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42" Type="http://schemas.openxmlformats.org/officeDocument/2006/relationships/customXml" Target="../customXml/item3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41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ristos\Desktop\Report%20Set\Monthly_Marketing_Repor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Key Metrics and SEO"/>
      <sheetName val="Traffic Analysis"/>
      <sheetName val="Digital-Total"/>
      <sheetName val="Digital-UAE"/>
      <sheetName val="Digital-Qatar"/>
      <sheetName val="Digital-Lebanon"/>
      <sheetName val="Offline"/>
      <sheetName val="Mailing"/>
      <sheetName val="Banner"/>
      <sheetName val="Raw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A3" t="str">
            <v>Row Labels</v>
          </cell>
          <cell r="H3" t="str">
            <v>Row Labels</v>
          </cell>
          <cell r="P3" t="str">
            <v>Row Labels</v>
          </cell>
          <cell r="S3" t="str">
            <v>Row Labels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2:BA47"/>
  <sheetViews>
    <sheetView showGridLines="0" tabSelected="1" zoomScaleNormal="100" workbookViewId="0">
      <selection activeCell="O45" sqref="C45:O45"/>
    </sheetView>
  </sheetViews>
  <sheetFormatPr defaultColWidth="9.109375" defaultRowHeight="11.25" customHeight="1" x14ac:dyDescent="0.3"/>
  <cols>
    <col min="1" max="1" width="2.88671875" style="11" customWidth="1"/>
    <col min="2" max="2" width="18" style="9" bestFit="1" customWidth="1"/>
    <col min="3" max="4" width="9.109375" style="19" customWidth="1"/>
    <col min="5" max="5" width="10" style="19" bestFit="1" customWidth="1"/>
    <col min="6" max="6" width="10" style="11" bestFit="1" customWidth="1"/>
    <col min="7" max="7" width="9.109375" style="11" customWidth="1"/>
    <col min="8" max="15" width="9.109375" style="17" customWidth="1"/>
    <col min="16" max="48" width="9.109375" style="17" hidden="1" customWidth="1"/>
    <col min="49" max="49" width="10.109375" style="17" bestFit="1" customWidth="1"/>
    <col min="50" max="50" width="11.44140625" style="17" bestFit="1" customWidth="1"/>
    <col min="51" max="51" width="9.109375" style="19"/>
    <col min="52" max="16384" width="9.109375" style="17"/>
  </cols>
  <sheetData>
    <row r="2" spans="2:50" ht="11.25" customHeight="1" x14ac:dyDescent="0.3">
      <c r="B2" s="12"/>
      <c r="C2" s="14" t="s">
        <v>84</v>
      </c>
      <c r="D2" s="14" t="s">
        <v>83</v>
      </c>
      <c r="E2" s="14" t="s">
        <v>82</v>
      </c>
      <c r="F2" s="14">
        <v>41712</v>
      </c>
      <c r="G2" s="62" t="s">
        <v>94</v>
      </c>
      <c r="H2" s="62" t="s">
        <v>95</v>
      </c>
      <c r="I2" s="62" t="s">
        <v>107</v>
      </c>
      <c r="J2" s="62" t="s">
        <v>108</v>
      </c>
      <c r="K2" s="62" t="s">
        <v>109</v>
      </c>
      <c r="L2" s="62" t="s">
        <v>115</v>
      </c>
      <c r="M2" s="62" t="s">
        <v>116</v>
      </c>
      <c r="N2" s="62" t="s">
        <v>119</v>
      </c>
      <c r="O2" s="62" t="s">
        <v>120</v>
      </c>
      <c r="AW2" s="15" t="s">
        <v>66</v>
      </c>
      <c r="AX2" s="15" t="s">
        <v>67</v>
      </c>
    </row>
    <row r="3" spans="2:50" ht="11.25" customHeight="1" x14ac:dyDescent="0.3">
      <c r="B3" s="13" t="s">
        <v>12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6"/>
    </row>
    <row r="4" spans="2:50" ht="11.25" customHeight="1" x14ac:dyDescent="0.3">
      <c r="B4" s="22" t="s">
        <v>45</v>
      </c>
      <c r="C4" s="18">
        <v>48690</v>
      </c>
      <c r="D4" s="18">
        <v>53535</v>
      </c>
      <c r="E4" s="18">
        <v>83023</v>
      </c>
      <c r="F4" s="18">
        <v>117850</v>
      </c>
      <c r="G4" s="18">
        <v>101605</v>
      </c>
      <c r="H4" s="17">
        <v>91707</v>
      </c>
      <c r="I4" s="17">
        <v>113783</v>
      </c>
      <c r="J4" s="17">
        <v>93478</v>
      </c>
      <c r="K4" s="17">
        <v>95160</v>
      </c>
      <c r="L4" s="17">
        <v>119719</v>
      </c>
      <c r="M4" s="17">
        <v>131859</v>
      </c>
      <c r="N4" s="17">
        <v>141474</v>
      </c>
      <c r="O4" s="17">
        <v>151170</v>
      </c>
      <c r="AW4" s="1">
        <f>(O4-N4)/N4</f>
        <v>6.8535561304550657E-2</v>
      </c>
      <c r="AX4" s="1">
        <f>O4/L4-1</f>
        <v>0.26270683851351917</v>
      </c>
    </row>
    <row r="5" spans="2:50" ht="11.25" customHeight="1" x14ac:dyDescent="0.3">
      <c r="B5" s="22" t="s">
        <v>46</v>
      </c>
      <c r="C5" s="18">
        <v>81326</v>
      </c>
      <c r="D5" s="18">
        <v>92446</v>
      </c>
      <c r="E5" s="18">
        <v>134198</v>
      </c>
      <c r="F5" s="18">
        <v>185113</v>
      </c>
      <c r="G5" s="18">
        <v>157004</v>
      </c>
      <c r="H5" s="17">
        <v>155426</v>
      </c>
      <c r="I5" s="17">
        <v>196674</v>
      </c>
      <c r="J5" s="17">
        <v>146857</v>
      </c>
      <c r="K5" s="17">
        <v>145421</v>
      </c>
      <c r="L5" s="17">
        <v>205994</v>
      </c>
      <c r="M5" s="17">
        <v>229189</v>
      </c>
      <c r="N5" s="17">
        <v>259425</v>
      </c>
      <c r="O5" s="17">
        <v>270023</v>
      </c>
      <c r="AW5" s="1">
        <f t="shared" ref="AW5:AW7" si="0">(O5-N5)/N5</f>
        <v>4.085188397417365E-2</v>
      </c>
      <c r="AX5" s="1">
        <f t="shared" ref="AX5:AX7" si="1">O5/L5-1</f>
        <v>0.31082944163422233</v>
      </c>
    </row>
    <row r="6" spans="2:50" ht="11.25" customHeight="1" x14ac:dyDescent="0.3">
      <c r="B6" s="22" t="s">
        <v>9</v>
      </c>
      <c r="C6" s="20">
        <v>19957</v>
      </c>
      <c r="D6" s="20">
        <v>24452</v>
      </c>
      <c r="E6" s="20">
        <v>27857</v>
      </c>
      <c r="F6" s="18">
        <v>32255</v>
      </c>
      <c r="G6" s="18">
        <v>27641</v>
      </c>
      <c r="H6" s="17">
        <v>37410</v>
      </c>
      <c r="I6" s="17">
        <v>44697</v>
      </c>
      <c r="J6" s="17">
        <v>32394</v>
      </c>
      <c r="K6" s="17">
        <v>28054</v>
      </c>
      <c r="L6" s="17">
        <v>53089</v>
      </c>
      <c r="M6" s="17">
        <v>55625</v>
      </c>
      <c r="N6" s="17">
        <v>67290</v>
      </c>
      <c r="O6" s="17">
        <v>67553</v>
      </c>
      <c r="AW6" s="1">
        <f t="shared" si="0"/>
        <v>3.9084559369891511E-3</v>
      </c>
      <c r="AX6" s="1">
        <f t="shared" si="1"/>
        <v>0.27244815310139581</v>
      </c>
    </row>
    <row r="7" spans="2:50" ht="11.25" customHeight="1" x14ac:dyDescent="0.3">
      <c r="B7" s="22" t="s">
        <v>51</v>
      </c>
      <c r="C7" s="34">
        <f t="shared" ref="C7:AV7" si="2">C6/C5</f>
        <v>0.24539507660526769</v>
      </c>
      <c r="D7" s="34">
        <f t="shared" si="2"/>
        <v>0.26450035696514723</v>
      </c>
      <c r="E7" s="34">
        <f t="shared" si="2"/>
        <v>0.20758133504225101</v>
      </c>
      <c r="F7" s="34">
        <f t="shared" si="2"/>
        <v>0.17424492067007719</v>
      </c>
      <c r="G7" s="34">
        <f t="shared" si="2"/>
        <v>0.17605283941810398</v>
      </c>
      <c r="H7" s="34">
        <f t="shared" si="2"/>
        <v>0.24069332029390192</v>
      </c>
      <c r="I7" s="34">
        <f t="shared" si="2"/>
        <v>0.22726440708990511</v>
      </c>
      <c r="J7" s="34">
        <f t="shared" si="2"/>
        <v>0.22058192663611539</v>
      </c>
      <c r="K7" s="34">
        <f t="shared" si="2"/>
        <v>0.1929157411928126</v>
      </c>
      <c r="L7" s="34">
        <f t="shared" si="2"/>
        <v>0.25772109867277687</v>
      </c>
      <c r="M7" s="34">
        <f t="shared" si="2"/>
        <v>0.24270362015629021</v>
      </c>
      <c r="N7" s="34">
        <f t="shared" si="2"/>
        <v>0.25938132408210468</v>
      </c>
      <c r="O7" s="34">
        <f t="shared" si="2"/>
        <v>0.25017498509386238</v>
      </c>
      <c r="P7" s="34" t="e">
        <f t="shared" si="2"/>
        <v>#DIV/0!</v>
      </c>
      <c r="Q7" s="34" t="e">
        <f t="shared" si="2"/>
        <v>#DIV/0!</v>
      </c>
      <c r="R7" s="34" t="e">
        <f t="shared" si="2"/>
        <v>#DIV/0!</v>
      </c>
      <c r="S7" s="34" t="e">
        <f t="shared" si="2"/>
        <v>#DIV/0!</v>
      </c>
      <c r="T7" s="34" t="e">
        <f t="shared" si="2"/>
        <v>#DIV/0!</v>
      </c>
      <c r="U7" s="34" t="e">
        <f t="shared" si="2"/>
        <v>#DIV/0!</v>
      </c>
      <c r="V7" s="34" t="e">
        <f t="shared" si="2"/>
        <v>#DIV/0!</v>
      </c>
      <c r="W7" s="34" t="e">
        <f t="shared" si="2"/>
        <v>#DIV/0!</v>
      </c>
      <c r="X7" s="34" t="e">
        <f t="shared" si="2"/>
        <v>#DIV/0!</v>
      </c>
      <c r="Y7" s="34" t="e">
        <f t="shared" si="2"/>
        <v>#DIV/0!</v>
      </c>
      <c r="Z7" s="34" t="e">
        <f t="shared" si="2"/>
        <v>#DIV/0!</v>
      </c>
      <c r="AA7" s="34" t="e">
        <f t="shared" si="2"/>
        <v>#DIV/0!</v>
      </c>
      <c r="AB7" s="34" t="e">
        <f t="shared" si="2"/>
        <v>#DIV/0!</v>
      </c>
      <c r="AC7" s="34" t="e">
        <f t="shared" si="2"/>
        <v>#DIV/0!</v>
      </c>
      <c r="AD7" s="34" t="e">
        <f t="shared" si="2"/>
        <v>#DIV/0!</v>
      </c>
      <c r="AE7" s="34" t="e">
        <f t="shared" si="2"/>
        <v>#DIV/0!</v>
      </c>
      <c r="AF7" s="34" t="e">
        <f t="shared" si="2"/>
        <v>#DIV/0!</v>
      </c>
      <c r="AG7" s="34" t="e">
        <f t="shared" si="2"/>
        <v>#DIV/0!</v>
      </c>
      <c r="AH7" s="34" t="e">
        <f t="shared" si="2"/>
        <v>#DIV/0!</v>
      </c>
      <c r="AI7" s="34" t="e">
        <f t="shared" si="2"/>
        <v>#DIV/0!</v>
      </c>
      <c r="AJ7" s="34" t="e">
        <f t="shared" si="2"/>
        <v>#DIV/0!</v>
      </c>
      <c r="AK7" s="34" t="e">
        <f t="shared" si="2"/>
        <v>#DIV/0!</v>
      </c>
      <c r="AL7" s="34" t="e">
        <f t="shared" si="2"/>
        <v>#DIV/0!</v>
      </c>
      <c r="AM7" s="34" t="e">
        <f t="shared" si="2"/>
        <v>#DIV/0!</v>
      </c>
      <c r="AN7" s="34" t="e">
        <f t="shared" si="2"/>
        <v>#DIV/0!</v>
      </c>
      <c r="AO7" s="34" t="e">
        <f t="shared" si="2"/>
        <v>#DIV/0!</v>
      </c>
      <c r="AP7" s="34" t="e">
        <f t="shared" si="2"/>
        <v>#DIV/0!</v>
      </c>
      <c r="AQ7" s="34" t="e">
        <f t="shared" si="2"/>
        <v>#DIV/0!</v>
      </c>
      <c r="AR7" s="34" t="e">
        <f t="shared" si="2"/>
        <v>#DIV/0!</v>
      </c>
      <c r="AS7" s="34" t="e">
        <f t="shared" si="2"/>
        <v>#DIV/0!</v>
      </c>
      <c r="AT7" s="34" t="e">
        <f t="shared" si="2"/>
        <v>#DIV/0!</v>
      </c>
      <c r="AU7" s="34" t="e">
        <f t="shared" si="2"/>
        <v>#DIV/0!</v>
      </c>
      <c r="AV7" s="34" t="e">
        <f t="shared" si="2"/>
        <v>#DIV/0!</v>
      </c>
      <c r="AW7" s="1">
        <f t="shared" si="0"/>
        <v>-3.5493453589311323E-2</v>
      </c>
      <c r="AX7" s="1">
        <f t="shared" si="1"/>
        <v>-2.9280154468438124E-2</v>
      </c>
    </row>
    <row r="8" spans="2:50" ht="11.25" customHeight="1" x14ac:dyDescent="0.3">
      <c r="B8" s="13" t="s">
        <v>15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6"/>
    </row>
    <row r="9" spans="2:50" ht="11.25" customHeight="1" x14ac:dyDescent="0.3">
      <c r="B9" s="22" t="s">
        <v>45</v>
      </c>
      <c r="C9" s="17">
        <v>0</v>
      </c>
      <c r="D9" s="20">
        <v>23</v>
      </c>
      <c r="E9" s="20">
        <v>2721</v>
      </c>
      <c r="F9" s="20">
        <v>5984</v>
      </c>
      <c r="G9" s="18">
        <v>4922</v>
      </c>
      <c r="H9" s="18">
        <v>3666</v>
      </c>
      <c r="I9" s="17">
        <v>4730</v>
      </c>
      <c r="J9" s="17">
        <v>4071</v>
      </c>
      <c r="K9" s="17">
        <v>4015</v>
      </c>
      <c r="L9" s="17">
        <v>9049</v>
      </c>
      <c r="M9" s="17">
        <v>9150</v>
      </c>
      <c r="N9" s="17">
        <v>9192</v>
      </c>
      <c r="O9" s="17">
        <v>9666</v>
      </c>
      <c r="AW9" s="1">
        <f>(O9-N9)/N9</f>
        <v>5.1566579634464753E-2</v>
      </c>
      <c r="AX9" s="1">
        <f>O9/L9-1</f>
        <v>6.8184329760194506E-2</v>
      </c>
    </row>
    <row r="10" spans="2:50" ht="11.25" customHeight="1" x14ac:dyDescent="0.3">
      <c r="B10" s="22" t="s">
        <v>46</v>
      </c>
      <c r="C10" s="17">
        <v>0</v>
      </c>
      <c r="D10" s="17">
        <v>64.57692307692308</v>
      </c>
      <c r="E10" s="20">
        <v>4341.0690789473683</v>
      </c>
      <c r="F10" s="20">
        <v>10685.104196403083</v>
      </c>
      <c r="G10" s="20">
        <v>10354.429629629631</v>
      </c>
      <c r="H10" s="18">
        <v>8997.7817546922743</v>
      </c>
      <c r="I10" s="18">
        <v>11789.513171057019</v>
      </c>
      <c r="J10" s="17">
        <v>10873.27090909091</v>
      </c>
      <c r="K10" s="17">
        <v>10087.957809694793</v>
      </c>
      <c r="L10" s="17">
        <v>21598</v>
      </c>
      <c r="M10" s="17">
        <v>30362</v>
      </c>
      <c r="N10" s="17">
        <v>34888</v>
      </c>
      <c r="O10" s="17">
        <v>39480</v>
      </c>
      <c r="AW10" s="1">
        <f t="shared" ref="AW10:AW12" si="3">(O10-N10)/N10</f>
        <v>0.13162118780096307</v>
      </c>
      <c r="AX10" s="1">
        <f>O10/L10-1</f>
        <v>0.82794703213260479</v>
      </c>
    </row>
    <row r="11" spans="2:50" ht="11.25" customHeight="1" x14ac:dyDescent="0.3">
      <c r="B11" s="22" t="s">
        <v>9</v>
      </c>
      <c r="C11" s="20">
        <v>0</v>
      </c>
      <c r="D11" s="20">
        <v>0</v>
      </c>
      <c r="E11" s="20">
        <v>300</v>
      </c>
      <c r="F11" s="18">
        <v>1209</v>
      </c>
      <c r="G11" s="18">
        <v>1568</v>
      </c>
      <c r="H11" s="17">
        <v>2478</v>
      </c>
      <c r="I11" s="17">
        <v>3186</v>
      </c>
      <c r="J11" s="17">
        <v>3185</v>
      </c>
      <c r="K11" s="17">
        <v>3196</v>
      </c>
      <c r="L11" s="17">
        <v>6400</v>
      </c>
      <c r="M11" s="17">
        <v>7208</v>
      </c>
      <c r="N11" s="17">
        <v>9742</v>
      </c>
      <c r="O11" s="17">
        <v>11202</v>
      </c>
      <c r="AW11" s="1">
        <f t="shared" si="3"/>
        <v>0.14986655717511804</v>
      </c>
      <c r="AX11" s="1">
        <f t="shared" ref="AX11:AX12" si="4">O11/L11-1</f>
        <v>0.75031249999999994</v>
      </c>
    </row>
    <row r="12" spans="2:50" ht="11.25" customHeight="1" x14ac:dyDescent="0.3">
      <c r="B12" s="22" t="s">
        <v>111</v>
      </c>
      <c r="C12" s="34" t="e">
        <f t="shared" ref="C12:O12" si="5">C11/C10</f>
        <v>#DIV/0!</v>
      </c>
      <c r="D12" s="34">
        <f t="shared" si="5"/>
        <v>0</v>
      </c>
      <c r="E12" s="34">
        <f t="shared" si="5"/>
        <v>6.9107400629695726E-2</v>
      </c>
      <c r="F12" s="34">
        <f t="shared" si="5"/>
        <v>0.11314817130253017</v>
      </c>
      <c r="G12" s="34">
        <f t="shared" si="5"/>
        <v>0.15143277380659412</v>
      </c>
      <c r="H12" s="34">
        <f t="shared" si="5"/>
        <v>0.27540121193845829</v>
      </c>
      <c r="I12" s="34">
        <f t="shared" si="5"/>
        <v>0.27024016630487813</v>
      </c>
      <c r="J12" s="34">
        <f t="shared" si="5"/>
        <v>0.29292013660186556</v>
      </c>
      <c r="K12" s="34">
        <f t="shared" si="5"/>
        <v>0.31681337891089906</v>
      </c>
      <c r="L12" s="34">
        <f t="shared" si="5"/>
        <v>0.29632373367904435</v>
      </c>
      <c r="M12" s="34">
        <f t="shared" si="5"/>
        <v>0.23740201567749161</v>
      </c>
      <c r="N12" s="34">
        <f t="shared" si="5"/>
        <v>0.27923641366659024</v>
      </c>
      <c r="O12" s="34">
        <f t="shared" si="5"/>
        <v>0.28373860182370819</v>
      </c>
      <c r="AW12" s="1">
        <f t="shared" si="3"/>
        <v>1.6123212936309892E-2</v>
      </c>
      <c r="AX12" s="1">
        <f t="shared" si="4"/>
        <v>-4.2470887158054804E-2</v>
      </c>
    </row>
    <row r="13" spans="2:50" ht="11.25" customHeight="1" x14ac:dyDescent="0.3">
      <c r="B13" s="13" t="s">
        <v>112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6"/>
    </row>
    <row r="14" spans="2:50" ht="11.25" customHeight="1" x14ac:dyDescent="0.3">
      <c r="B14" s="22" t="s">
        <v>45</v>
      </c>
      <c r="C14" s="20"/>
      <c r="D14" s="20">
        <v>26</v>
      </c>
      <c r="E14" s="20">
        <v>608</v>
      </c>
      <c r="F14" s="18">
        <v>3503</v>
      </c>
      <c r="G14" s="18">
        <v>2970</v>
      </c>
      <c r="H14" s="17">
        <v>2291</v>
      </c>
      <c r="I14" s="17">
        <v>2999</v>
      </c>
      <c r="J14" s="17">
        <v>2200</v>
      </c>
      <c r="K14" s="17">
        <v>2228</v>
      </c>
      <c r="L14" s="17">
        <v>6244</v>
      </c>
      <c r="M14" s="17">
        <v>5927</v>
      </c>
      <c r="N14" s="17">
        <v>5648</v>
      </c>
      <c r="O14" s="17">
        <v>6061</v>
      </c>
      <c r="AW14" s="1">
        <f>(O14-N14)/N14</f>
        <v>7.3123229461756367E-2</v>
      </c>
      <c r="AX14" s="1">
        <f>O14/L14-1</f>
        <v>-2.9308135810377944E-2</v>
      </c>
    </row>
    <row r="15" spans="2:50" ht="11.25" customHeight="1" x14ac:dyDescent="0.3">
      <c r="B15" s="22" t="s">
        <v>46</v>
      </c>
      <c r="C15" s="20"/>
      <c r="D15" s="20">
        <v>73</v>
      </c>
      <c r="E15" s="20">
        <v>970</v>
      </c>
      <c r="F15" s="18">
        <v>6255</v>
      </c>
      <c r="G15" s="18">
        <v>6248</v>
      </c>
      <c r="H15" s="17">
        <v>5623</v>
      </c>
      <c r="I15" s="17">
        <v>7475</v>
      </c>
      <c r="J15" s="17">
        <v>5876</v>
      </c>
      <c r="K15" s="17">
        <v>5598</v>
      </c>
      <c r="L15" s="17">
        <v>14901</v>
      </c>
      <c r="M15" s="17">
        <v>14900</v>
      </c>
      <c r="N15" s="17">
        <v>16640</v>
      </c>
      <c r="O15" s="17">
        <v>18886</v>
      </c>
      <c r="AW15" s="1">
        <f t="shared" ref="AW15:AW17" si="6">(O15-N15)/N15</f>
        <v>0.13497596153846153</v>
      </c>
      <c r="AX15" s="1">
        <f t="shared" ref="AX15:AX17" si="7">O15/L15-1</f>
        <v>0.26743171599221527</v>
      </c>
    </row>
    <row r="16" spans="2:50" ht="11.25" customHeight="1" x14ac:dyDescent="0.3">
      <c r="B16" s="22" t="s">
        <v>9</v>
      </c>
      <c r="C16" s="20"/>
      <c r="D16" s="20">
        <v>0</v>
      </c>
      <c r="E16" s="20">
        <v>95</v>
      </c>
      <c r="F16" s="18">
        <v>727</v>
      </c>
      <c r="G16" s="18">
        <v>1099</v>
      </c>
      <c r="H16" s="17">
        <v>1445</v>
      </c>
      <c r="I16" s="17">
        <v>2007</v>
      </c>
      <c r="J16" s="17">
        <v>1980</v>
      </c>
      <c r="K16" s="17">
        <v>1868</v>
      </c>
      <c r="L16" s="17">
        <v>3638</v>
      </c>
      <c r="M16" s="17">
        <v>4459</v>
      </c>
      <c r="N16" s="17">
        <v>5804</v>
      </c>
      <c r="O16" s="17">
        <v>6918</v>
      </c>
      <c r="AW16" s="1">
        <f t="shared" si="6"/>
        <v>0.19193659545141281</v>
      </c>
      <c r="AX16" s="1">
        <f t="shared" si="7"/>
        <v>0.90159428257284224</v>
      </c>
    </row>
    <row r="17" spans="2:50" ht="11.25" customHeight="1" x14ac:dyDescent="0.3">
      <c r="B17" s="22" t="s">
        <v>111</v>
      </c>
      <c r="C17" s="34" t="e">
        <f t="shared" ref="C17:O17" si="8">C16/C15</f>
        <v>#DIV/0!</v>
      </c>
      <c r="D17" s="34">
        <f t="shared" si="8"/>
        <v>0</v>
      </c>
      <c r="E17" s="34">
        <f t="shared" si="8"/>
        <v>9.7938144329896906E-2</v>
      </c>
      <c r="F17" s="34">
        <f t="shared" si="8"/>
        <v>0.11622701838529177</v>
      </c>
      <c r="G17" s="34">
        <f t="shared" si="8"/>
        <v>0.17589628681177977</v>
      </c>
      <c r="H17" s="34">
        <f t="shared" si="8"/>
        <v>0.2569802596478748</v>
      </c>
      <c r="I17" s="34">
        <f t="shared" si="8"/>
        <v>0.26849498327759197</v>
      </c>
      <c r="J17" s="34">
        <f t="shared" si="8"/>
        <v>0.33696392103471751</v>
      </c>
      <c r="K17" s="34">
        <f t="shared" si="8"/>
        <v>0.33369060378706683</v>
      </c>
      <c r="L17" s="34">
        <f t="shared" si="8"/>
        <v>0.24414468827595465</v>
      </c>
      <c r="M17" s="34">
        <f t="shared" si="8"/>
        <v>0.29926174496644298</v>
      </c>
      <c r="N17" s="34">
        <f t="shared" si="8"/>
        <v>0.34879807692307691</v>
      </c>
      <c r="O17" s="34">
        <f t="shared" si="8"/>
        <v>0.36630308164778141</v>
      </c>
      <c r="AW17" s="1">
        <f t="shared" si="6"/>
        <v>5.0186643456079094E-2</v>
      </c>
      <c r="AX17" s="1">
        <f t="shared" si="7"/>
        <v>0.50035245179592924</v>
      </c>
    </row>
    <row r="18" spans="2:50" ht="11.25" customHeight="1" x14ac:dyDescent="0.3">
      <c r="B18" s="13" t="s">
        <v>113</v>
      </c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6"/>
    </row>
    <row r="19" spans="2:50" ht="11.25" customHeight="1" x14ac:dyDescent="0.3">
      <c r="B19" s="22" t="s">
        <v>45</v>
      </c>
      <c r="C19" s="20">
        <f>C4+C9+C14</f>
        <v>48690</v>
      </c>
      <c r="D19" s="20">
        <f t="shared" ref="D19:AV19" si="9">D4+D9+D14</f>
        <v>53584</v>
      </c>
      <c r="E19" s="20">
        <f t="shared" si="9"/>
        <v>86352</v>
      </c>
      <c r="F19" s="20">
        <f t="shared" si="9"/>
        <v>127337</v>
      </c>
      <c r="G19" s="20">
        <f t="shared" si="9"/>
        <v>109497</v>
      </c>
      <c r="H19" s="20">
        <f t="shared" si="9"/>
        <v>97664</v>
      </c>
      <c r="I19" s="20">
        <f t="shared" si="9"/>
        <v>121512</v>
      </c>
      <c r="J19" s="20">
        <f t="shared" si="9"/>
        <v>99749</v>
      </c>
      <c r="K19" s="20">
        <f t="shared" si="9"/>
        <v>101403</v>
      </c>
      <c r="L19" s="20">
        <f t="shared" si="9"/>
        <v>135012</v>
      </c>
      <c r="M19" s="20">
        <f t="shared" si="9"/>
        <v>146936</v>
      </c>
      <c r="N19" s="20">
        <f t="shared" si="9"/>
        <v>156314</v>
      </c>
      <c r="O19" s="20">
        <f t="shared" si="9"/>
        <v>166897</v>
      </c>
      <c r="P19" s="20">
        <f t="shared" si="9"/>
        <v>0</v>
      </c>
      <c r="Q19" s="20">
        <f t="shared" si="9"/>
        <v>0</v>
      </c>
      <c r="R19" s="20">
        <f t="shared" si="9"/>
        <v>0</v>
      </c>
      <c r="S19" s="20">
        <f t="shared" si="9"/>
        <v>0</v>
      </c>
      <c r="T19" s="20">
        <f t="shared" si="9"/>
        <v>0</v>
      </c>
      <c r="U19" s="20">
        <f t="shared" si="9"/>
        <v>0</v>
      </c>
      <c r="V19" s="20">
        <f t="shared" si="9"/>
        <v>0</v>
      </c>
      <c r="W19" s="20">
        <f t="shared" si="9"/>
        <v>0</v>
      </c>
      <c r="X19" s="20">
        <f t="shared" si="9"/>
        <v>0</v>
      </c>
      <c r="Y19" s="20">
        <f t="shared" si="9"/>
        <v>0</v>
      </c>
      <c r="Z19" s="20">
        <f t="shared" si="9"/>
        <v>0</v>
      </c>
      <c r="AA19" s="20">
        <f t="shared" si="9"/>
        <v>0</v>
      </c>
      <c r="AB19" s="20">
        <f t="shared" si="9"/>
        <v>0</v>
      </c>
      <c r="AC19" s="20">
        <f t="shared" si="9"/>
        <v>0</v>
      </c>
      <c r="AD19" s="20">
        <f t="shared" si="9"/>
        <v>0</v>
      </c>
      <c r="AE19" s="20">
        <f t="shared" si="9"/>
        <v>0</v>
      </c>
      <c r="AF19" s="20">
        <f t="shared" si="9"/>
        <v>0</v>
      </c>
      <c r="AG19" s="20">
        <f t="shared" si="9"/>
        <v>0</v>
      </c>
      <c r="AH19" s="20">
        <f t="shared" si="9"/>
        <v>0</v>
      </c>
      <c r="AI19" s="20">
        <f t="shared" si="9"/>
        <v>0</v>
      </c>
      <c r="AJ19" s="20">
        <f t="shared" si="9"/>
        <v>0</v>
      </c>
      <c r="AK19" s="20">
        <f t="shared" si="9"/>
        <v>0</v>
      </c>
      <c r="AL19" s="20">
        <f t="shared" si="9"/>
        <v>0</v>
      </c>
      <c r="AM19" s="20">
        <f t="shared" si="9"/>
        <v>0</v>
      </c>
      <c r="AN19" s="20">
        <f t="shared" si="9"/>
        <v>0</v>
      </c>
      <c r="AO19" s="20">
        <f t="shared" si="9"/>
        <v>0</v>
      </c>
      <c r="AP19" s="20">
        <f t="shared" si="9"/>
        <v>0</v>
      </c>
      <c r="AQ19" s="20">
        <f t="shared" si="9"/>
        <v>0</v>
      </c>
      <c r="AR19" s="20">
        <f t="shared" si="9"/>
        <v>0</v>
      </c>
      <c r="AS19" s="20">
        <f t="shared" si="9"/>
        <v>0</v>
      </c>
      <c r="AT19" s="20">
        <f t="shared" si="9"/>
        <v>0</v>
      </c>
      <c r="AU19" s="20">
        <f t="shared" si="9"/>
        <v>0</v>
      </c>
      <c r="AV19" s="20">
        <f t="shared" si="9"/>
        <v>0</v>
      </c>
      <c r="AW19" s="1">
        <f>(O19-N19)/N19</f>
        <v>6.7703468659237181E-2</v>
      </c>
      <c r="AX19" s="1">
        <f>O19/L19-1</f>
        <v>0.23616419281249068</v>
      </c>
    </row>
    <row r="20" spans="2:50" ht="11.25" customHeight="1" x14ac:dyDescent="0.3">
      <c r="B20" s="22" t="s">
        <v>46</v>
      </c>
      <c r="C20" s="20">
        <f t="shared" ref="C20:O20" si="10">C5+C10+C15</f>
        <v>81326</v>
      </c>
      <c r="D20" s="20">
        <f t="shared" si="10"/>
        <v>92583.576923076922</v>
      </c>
      <c r="E20" s="20">
        <f t="shared" si="10"/>
        <v>139509.06907894736</v>
      </c>
      <c r="F20" s="20">
        <f t="shared" si="10"/>
        <v>202053.10419640309</v>
      </c>
      <c r="G20" s="20">
        <f t="shared" si="10"/>
        <v>173606.42962962962</v>
      </c>
      <c r="H20" s="20">
        <f t="shared" si="10"/>
        <v>170046.78175469226</v>
      </c>
      <c r="I20" s="20">
        <f t="shared" si="10"/>
        <v>215938.51317105701</v>
      </c>
      <c r="J20" s="20">
        <f t="shared" si="10"/>
        <v>163606.2709090909</v>
      </c>
      <c r="K20" s="20">
        <f t="shared" si="10"/>
        <v>161106.95780969478</v>
      </c>
      <c r="L20" s="20">
        <f t="shared" si="10"/>
        <v>242493</v>
      </c>
      <c r="M20" s="20">
        <f t="shared" si="10"/>
        <v>274451</v>
      </c>
      <c r="N20" s="20">
        <f t="shared" si="10"/>
        <v>310953</v>
      </c>
      <c r="O20" s="20">
        <f t="shared" si="10"/>
        <v>328389</v>
      </c>
      <c r="AW20" s="1">
        <f t="shared" ref="AW20:AW22" si="11">(O20-N20)/N20</f>
        <v>5.6072782703495382E-2</v>
      </c>
      <c r="AX20" s="1">
        <f t="shared" ref="AX20:AX22" si="12">O20/L20-1</f>
        <v>0.3542205342009872</v>
      </c>
    </row>
    <row r="21" spans="2:50" ht="11.25" customHeight="1" x14ac:dyDescent="0.3">
      <c r="B21" s="22" t="s">
        <v>9</v>
      </c>
      <c r="C21" s="20">
        <f t="shared" ref="C21:O21" si="13">C6+C11+C16</f>
        <v>19957</v>
      </c>
      <c r="D21" s="20">
        <f t="shared" si="13"/>
        <v>24452</v>
      </c>
      <c r="E21" s="20">
        <f t="shared" si="13"/>
        <v>28252</v>
      </c>
      <c r="F21" s="20">
        <f t="shared" si="13"/>
        <v>34191</v>
      </c>
      <c r="G21" s="20">
        <f t="shared" si="13"/>
        <v>30308</v>
      </c>
      <c r="H21" s="20">
        <f t="shared" si="13"/>
        <v>41333</v>
      </c>
      <c r="I21" s="20">
        <f t="shared" si="13"/>
        <v>49890</v>
      </c>
      <c r="J21" s="20">
        <f t="shared" si="13"/>
        <v>37559</v>
      </c>
      <c r="K21" s="20">
        <f t="shared" si="13"/>
        <v>33118</v>
      </c>
      <c r="L21" s="20">
        <f t="shared" si="13"/>
        <v>63127</v>
      </c>
      <c r="M21" s="20">
        <f t="shared" si="13"/>
        <v>67292</v>
      </c>
      <c r="N21" s="20">
        <f t="shared" si="13"/>
        <v>82836</v>
      </c>
      <c r="O21" s="20">
        <f t="shared" si="13"/>
        <v>85673</v>
      </c>
      <c r="AW21" s="1">
        <f t="shared" si="11"/>
        <v>3.4248394417885943E-2</v>
      </c>
      <c r="AX21" s="1">
        <f t="shared" si="12"/>
        <v>0.35715304069574039</v>
      </c>
    </row>
    <row r="22" spans="2:50" ht="11.25" customHeight="1" x14ac:dyDescent="0.3">
      <c r="B22" s="22" t="s">
        <v>111</v>
      </c>
      <c r="C22" s="34">
        <f t="shared" ref="C22:O22" si="14">C21/C20</f>
        <v>0.24539507660526769</v>
      </c>
      <c r="D22" s="34">
        <f t="shared" si="14"/>
        <v>0.26410731592619224</v>
      </c>
      <c r="E22" s="34">
        <f t="shared" si="14"/>
        <v>0.20251013204032176</v>
      </c>
      <c r="F22" s="34">
        <f t="shared" si="14"/>
        <v>0.16921789019764372</v>
      </c>
      <c r="G22" s="34">
        <f t="shared" si="14"/>
        <v>0.1745787875751999</v>
      </c>
      <c r="H22" s="34">
        <f t="shared" si="14"/>
        <v>0.24306840490299053</v>
      </c>
      <c r="I22" s="34">
        <f t="shared" si="14"/>
        <v>0.23103798978406104</v>
      </c>
      <c r="J22" s="34">
        <f t="shared" si="14"/>
        <v>0.229569440042246</v>
      </c>
      <c r="K22" s="34">
        <f t="shared" si="14"/>
        <v>0.20556529929092293</v>
      </c>
      <c r="L22" s="34">
        <f t="shared" si="14"/>
        <v>0.26032504031044196</v>
      </c>
      <c r="M22" s="34">
        <f t="shared" si="14"/>
        <v>0.24518766555778626</v>
      </c>
      <c r="N22" s="34">
        <f t="shared" si="14"/>
        <v>0.26639395664296533</v>
      </c>
      <c r="O22" s="34">
        <f t="shared" si="14"/>
        <v>0.26088876302190389</v>
      </c>
      <c r="AW22" s="1">
        <f t="shared" si="11"/>
        <v>-2.0665610025229601E-2</v>
      </c>
      <c r="AX22" s="1">
        <f t="shared" si="12"/>
        <v>2.1654571177236459E-3</v>
      </c>
    </row>
    <row r="23" spans="2:50" ht="11.25" customHeight="1" x14ac:dyDescent="0.3">
      <c r="B23" s="17"/>
      <c r="C23" s="17"/>
      <c r="D23" s="17"/>
      <c r="E23" s="17"/>
      <c r="F23" s="17"/>
      <c r="G23" s="17"/>
    </row>
    <row r="24" spans="2:50" ht="6" customHeight="1" x14ac:dyDescent="0.3">
      <c r="AW24" s="1" t="str">
        <f>IFERROR(HLOOKUP(LARGE($2:$2,1),$C$2:$XFD$228,ROW(AG7),FALSE)/HLOOKUP(LARGE($2:$2,2),$C$2:$XFD$228,ROW(AG7),FALSE)-1,"")</f>
        <v/>
      </c>
      <c r="AX24" s="1" t="str">
        <f>IFERROR(HLOOKUP(LARGE($2:$2,1),$C$2:$XFD$228,ROW(AH7),FALSE)/HLOOKUP(LARGE($2:$2,4),$C$2:$XFD$228,ROW(AH7),FALSE)-1,"")</f>
        <v/>
      </c>
    </row>
    <row r="25" spans="2:50" ht="11.25" customHeight="1" x14ac:dyDescent="0.3">
      <c r="B25" s="13" t="s">
        <v>75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6"/>
    </row>
    <row r="26" spans="2:50" ht="11.25" customHeight="1" x14ac:dyDescent="0.3">
      <c r="B26" s="22" t="s">
        <v>79</v>
      </c>
      <c r="C26" s="54">
        <v>8986.86</v>
      </c>
      <c r="D26" s="54">
        <v>8989</v>
      </c>
      <c r="E26" s="54">
        <v>23710</v>
      </c>
      <c r="F26" s="54">
        <v>46585</v>
      </c>
      <c r="G26" s="54">
        <v>34128</v>
      </c>
      <c r="H26" s="54">
        <v>24178.79</v>
      </c>
      <c r="I26" s="54">
        <v>36783.35</v>
      </c>
      <c r="J26" s="54">
        <v>32420</v>
      </c>
      <c r="K26" s="54">
        <v>29577.06</v>
      </c>
      <c r="L26" s="54">
        <v>44320</v>
      </c>
      <c r="M26" s="54">
        <v>52046.55</v>
      </c>
      <c r="N26" s="54">
        <v>44125</v>
      </c>
      <c r="O26" s="54">
        <f>48148.42+1603.45</f>
        <v>49751.869999999995</v>
      </c>
      <c r="AW26" s="1">
        <f>(O26-N26)/N26</f>
        <v>0.12752113314447583</v>
      </c>
      <c r="AX26" s="1">
        <f>O26/L26-1</f>
        <v>0.12256024368231033</v>
      </c>
    </row>
    <row r="27" spans="2:50" ht="11.25" customHeight="1" x14ac:dyDescent="0.3">
      <c r="B27" s="22" t="s">
        <v>88</v>
      </c>
      <c r="C27" s="55">
        <v>1620</v>
      </c>
      <c r="D27" s="55">
        <v>1810</v>
      </c>
      <c r="E27" s="55">
        <v>2813</v>
      </c>
      <c r="F27" s="56">
        <v>3704</v>
      </c>
      <c r="G27" s="56">
        <v>3538</v>
      </c>
      <c r="H27" s="17">
        <v>3592</v>
      </c>
      <c r="I27" s="17">
        <v>4659</v>
      </c>
      <c r="J27" s="17">
        <v>4064</v>
      </c>
      <c r="K27" s="17">
        <v>3943</v>
      </c>
      <c r="L27" s="17">
        <v>7640</v>
      </c>
      <c r="M27" s="17">
        <v>6675</v>
      </c>
      <c r="N27" s="17">
        <v>9130</v>
      </c>
      <c r="O27" s="17">
        <v>8568</v>
      </c>
      <c r="AW27" s="1">
        <f>(O27-N27)/N27</f>
        <v>-6.1555312157721795E-2</v>
      </c>
      <c r="AX27" s="1">
        <f t="shared" ref="AX27:AX28" si="15">O27/L27-1</f>
        <v>0.12146596858638747</v>
      </c>
    </row>
    <row r="28" spans="2:50" ht="11.25" customHeight="1" x14ac:dyDescent="0.3">
      <c r="B28" s="22" t="s">
        <v>89</v>
      </c>
      <c r="C28" s="57">
        <f t="shared" ref="C28:O28" si="16">C26/C27</f>
        <v>5.5474444444444444</v>
      </c>
      <c r="D28" s="57">
        <f t="shared" si="16"/>
        <v>4.9662983425414362</v>
      </c>
      <c r="E28" s="57">
        <f t="shared" si="16"/>
        <v>8.4287237824386771</v>
      </c>
      <c r="F28" s="57">
        <f t="shared" si="16"/>
        <v>12.57694384449244</v>
      </c>
      <c r="G28" s="57">
        <f t="shared" si="16"/>
        <v>9.6461277557942342</v>
      </c>
      <c r="H28" s="57">
        <f t="shared" si="16"/>
        <v>6.7312889755011138</v>
      </c>
      <c r="I28" s="57">
        <f t="shared" si="16"/>
        <v>7.8951169778922514</v>
      </c>
      <c r="J28" s="57">
        <f t="shared" si="16"/>
        <v>7.9773622047244093</v>
      </c>
      <c r="K28" s="57">
        <f t="shared" si="16"/>
        <v>7.5011564798376877</v>
      </c>
      <c r="L28" s="57">
        <f t="shared" si="16"/>
        <v>5.8010471204188478</v>
      </c>
      <c r="M28" s="57">
        <f t="shared" si="16"/>
        <v>7.7972359550561805</v>
      </c>
      <c r="N28" s="57">
        <f t="shared" si="16"/>
        <v>4.832968236582694</v>
      </c>
      <c r="O28" s="57">
        <f t="shared" si="16"/>
        <v>5.8067075163398689</v>
      </c>
      <c r="AW28" s="1">
        <f t="shared" ref="AW28" si="17">(O28-N28)/N28</f>
        <v>0.20147851839508232</v>
      </c>
      <c r="AX28" s="1">
        <f t="shared" si="15"/>
        <v>9.7575417050088653E-4</v>
      </c>
    </row>
    <row r="29" spans="2:50" ht="11.25" customHeight="1" x14ac:dyDescent="0.3">
      <c r="B29" s="22" t="s">
        <v>13</v>
      </c>
      <c r="C29" s="18">
        <v>1949</v>
      </c>
      <c r="D29" s="18">
        <v>2090</v>
      </c>
      <c r="E29" s="18">
        <v>3882</v>
      </c>
      <c r="F29" s="18">
        <v>5782</v>
      </c>
      <c r="G29" s="18">
        <v>4775</v>
      </c>
      <c r="H29" s="17">
        <v>4452</v>
      </c>
      <c r="I29" s="17">
        <v>6194</v>
      </c>
      <c r="J29" s="17">
        <v>4841</v>
      </c>
      <c r="K29" s="17">
        <v>4702</v>
      </c>
      <c r="L29" s="17">
        <v>10531</v>
      </c>
      <c r="M29" s="17">
        <v>9186</v>
      </c>
      <c r="N29" s="17">
        <v>10983</v>
      </c>
      <c r="O29" s="17">
        <v>10393</v>
      </c>
      <c r="AW29" s="1">
        <f>(O29-N29)/N29</f>
        <v>-5.3719384503323316E-2</v>
      </c>
      <c r="AX29" s="1">
        <f>O29/L29-1</f>
        <v>-1.3104168644953007E-2</v>
      </c>
    </row>
    <row r="30" spans="2:50" ht="11.25" customHeight="1" x14ac:dyDescent="0.3">
      <c r="B30" s="22" t="s">
        <v>85</v>
      </c>
      <c r="C30" s="57">
        <f>C26/C29</f>
        <v>4.6110107747562852</v>
      </c>
      <c r="D30" s="57">
        <f t="shared" ref="D30:AV30" si="18">D26/D29</f>
        <v>4.3009569377990431</v>
      </c>
      <c r="E30" s="57">
        <f t="shared" si="18"/>
        <v>6.1076764554353424</v>
      </c>
      <c r="F30" s="57">
        <f t="shared" si="18"/>
        <v>8.0569007263922519</v>
      </c>
      <c r="G30" s="57">
        <f t="shared" si="18"/>
        <v>7.1472251308900523</v>
      </c>
      <c r="H30" s="57">
        <f t="shared" si="18"/>
        <v>5.4309950584007192</v>
      </c>
      <c r="I30" s="57">
        <f t="shared" si="18"/>
        <v>5.9385453664836936</v>
      </c>
      <c r="J30" s="57">
        <f t="shared" si="18"/>
        <v>6.6969634373063416</v>
      </c>
      <c r="K30" s="57">
        <f t="shared" si="18"/>
        <v>6.2903147596767335</v>
      </c>
      <c r="L30" s="57">
        <f t="shared" si="18"/>
        <v>4.2085272053936</v>
      </c>
      <c r="M30" s="57">
        <f t="shared" si="18"/>
        <v>5.6658556499020252</v>
      </c>
      <c r="N30" s="57">
        <f t="shared" si="18"/>
        <v>4.017572612218884</v>
      </c>
      <c r="O30" s="57">
        <f t="shared" si="18"/>
        <v>4.7870557105744247</v>
      </c>
      <c r="P30" s="57" t="e">
        <f t="shared" si="18"/>
        <v>#DIV/0!</v>
      </c>
      <c r="Q30" s="57" t="e">
        <f t="shared" si="18"/>
        <v>#DIV/0!</v>
      </c>
      <c r="R30" s="57" t="e">
        <f t="shared" si="18"/>
        <v>#DIV/0!</v>
      </c>
      <c r="S30" s="57" t="e">
        <f t="shared" si="18"/>
        <v>#DIV/0!</v>
      </c>
      <c r="T30" s="57" t="e">
        <f t="shared" si="18"/>
        <v>#DIV/0!</v>
      </c>
      <c r="U30" s="57" t="e">
        <f t="shared" si="18"/>
        <v>#DIV/0!</v>
      </c>
      <c r="V30" s="57" t="e">
        <f t="shared" si="18"/>
        <v>#DIV/0!</v>
      </c>
      <c r="W30" s="57" t="e">
        <f t="shared" si="18"/>
        <v>#DIV/0!</v>
      </c>
      <c r="X30" s="57" t="e">
        <f t="shared" si="18"/>
        <v>#DIV/0!</v>
      </c>
      <c r="Y30" s="57" t="e">
        <f t="shared" si="18"/>
        <v>#DIV/0!</v>
      </c>
      <c r="Z30" s="57" t="e">
        <f t="shared" si="18"/>
        <v>#DIV/0!</v>
      </c>
      <c r="AA30" s="57" t="e">
        <f t="shared" si="18"/>
        <v>#DIV/0!</v>
      </c>
      <c r="AB30" s="57" t="e">
        <f t="shared" si="18"/>
        <v>#DIV/0!</v>
      </c>
      <c r="AC30" s="57" t="e">
        <f t="shared" si="18"/>
        <v>#DIV/0!</v>
      </c>
      <c r="AD30" s="57" t="e">
        <f t="shared" si="18"/>
        <v>#DIV/0!</v>
      </c>
      <c r="AE30" s="57" t="e">
        <f t="shared" si="18"/>
        <v>#DIV/0!</v>
      </c>
      <c r="AF30" s="57" t="e">
        <f t="shared" si="18"/>
        <v>#DIV/0!</v>
      </c>
      <c r="AG30" s="57" t="e">
        <f t="shared" si="18"/>
        <v>#DIV/0!</v>
      </c>
      <c r="AH30" s="57" t="e">
        <f t="shared" si="18"/>
        <v>#DIV/0!</v>
      </c>
      <c r="AI30" s="57" t="e">
        <f t="shared" si="18"/>
        <v>#DIV/0!</v>
      </c>
      <c r="AJ30" s="57" t="e">
        <f t="shared" si="18"/>
        <v>#DIV/0!</v>
      </c>
      <c r="AK30" s="57" t="e">
        <f t="shared" si="18"/>
        <v>#DIV/0!</v>
      </c>
      <c r="AL30" s="57" t="e">
        <f t="shared" si="18"/>
        <v>#DIV/0!</v>
      </c>
      <c r="AM30" s="57" t="e">
        <f t="shared" si="18"/>
        <v>#DIV/0!</v>
      </c>
      <c r="AN30" s="57" t="e">
        <f t="shared" si="18"/>
        <v>#DIV/0!</v>
      </c>
      <c r="AO30" s="57" t="e">
        <f t="shared" si="18"/>
        <v>#DIV/0!</v>
      </c>
      <c r="AP30" s="57" t="e">
        <f t="shared" si="18"/>
        <v>#DIV/0!</v>
      </c>
      <c r="AQ30" s="57" t="e">
        <f t="shared" si="18"/>
        <v>#DIV/0!</v>
      </c>
      <c r="AR30" s="57" t="e">
        <f t="shared" si="18"/>
        <v>#DIV/0!</v>
      </c>
      <c r="AS30" s="57" t="e">
        <f t="shared" si="18"/>
        <v>#DIV/0!</v>
      </c>
      <c r="AT30" s="57" t="e">
        <f t="shared" si="18"/>
        <v>#DIV/0!</v>
      </c>
      <c r="AU30" s="57" t="e">
        <f t="shared" si="18"/>
        <v>#DIV/0!</v>
      </c>
      <c r="AV30" s="57" t="e">
        <f t="shared" si="18"/>
        <v>#DIV/0!</v>
      </c>
      <c r="AW30" s="1">
        <f t="shared" ref="AW30:AW32" si="19">(O30-N30)/N30</f>
        <v>0.19152935680994682</v>
      </c>
      <c r="AX30" s="1">
        <f t="shared" ref="AX30:AX32" si="20">O30/L30-1</f>
        <v>0.13746578718545277</v>
      </c>
    </row>
    <row r="31" spans="2:50" ht="11.25" customHeight="1" x14ac:dyDescent="0.3">
      <c r="B31" s="22" t="s">
        <v>72</v>
      </c>
      <c r="C31" s="20">
        <v>19957</v>
      </c>
      <c r="D31" s="20">
        <v>24452</v>
      </c>
      <c r="E31" s="20">
        <v>28252</v>
      </c>
      <c r="F31" s="18">
        <v>34191</v>
      </c>
      <c r="G31" s="18">
        <v>30308</v>
      </c>
      <c r="H31" s="17">
        <v>41333</v>
      </c>
      <c r="I31" s="17">
        <v>49890</v>
      </c>
      <c r="J31" s="17">
        <v>37559</v>
      </c>
      <c r="K31" s="17">
        <v>33118</v>
      </c>
      <c r="L31" s="17">
        <v>63127</v>
      </c>
      <c r="M31" s="17">
        <v>67292</v>
      </c>
      <c r="N31" s="17">
        <v>82836</v>
      </c>
      <c r="O31" s="17">
        <v>85679</v>
      </c>
      <c r="AW31" s="1">
        <f t="shared" si="19"/>
        <v>3.4320826693708048E-2</v>
      </c>
      <c r="AX31" s="1">
        <f t="shared" si="20"/>
        <v>0.35724808718931667</v>
      </c>
    </row>
    <row r="32" spans="2:50" ht="11.25" customHeight="1" x14ac:dyDescent="0.3">
      <c r="B32" s="22" t="s">
        <v>86</v>
      </c>
      <c r="C32" s="57">
        <f>C26/C31</f>
        <v>0.45031116901337881</v>
      </c>
      <c r="D32" s="57">
        <f t="shared" ref="D32:AV32" si="21">D26/D31</f>
        <v>0.36761819074104368</v>
      </c>
      <c r="E32" s="57">
        <f t="shared" si="21"/>
        <v>0.83923262069941951</v>
      </c>
      <c r="F32" s="57">
        <f t="shared" si="21"/>
        <v>1.3624930537275892</v>
      </c>
      <c r="G32" s="57">
        <f t="shared" si="21"/>
        <v>1.1260393295499538</v>
      </c>
      <c r="H32" s="57">
        <f t="shared" si="21"/>
        <v>0.58497544335034957</v>
      </c>
      <c r="I32" s="57">
        <f t="shared" si="21"/>
        <v>0.73728903587893357</v>
      </c>
      <c r="J32" s="57">
        <f t="shared" si="21"/>
        <v>0.86317527090710611</v>
      </c>
      <c r="K32" s="57">
        <f t="shared" si="21"/>
        <v>0.89308110393139684</v>
      </c>
      <c r="L32" s="57">
        <f t="shared" si="21"/>
        <v>0.70207676588464529</v>
      </c>
      <c r="M32" s="57">
        <f t="shared" si="21"/>
        <v>0.77344335136420383</v>
      </c>
      <c r="N32" s="57">
        <f t="shared" si="21"/>
        <v>0.53267902844174031</v>
      </c>
      <c r="O32" s="57">
        <f t="shared" si="21"/>
        <v>0.58067752891607038</v>
      </c>
      <c r="P32" s="57" t="e">
        <f t="shared" si="21"/>
        <v>#DIV/0!</v>
      </c>
      <c r="Q32" s="57" t="e">
        <f t="shared" si="21"/>
        <v>#DIV/0!</v>
      </c>
      <c r="R32" s="57" t="e">
        <f t="shared" si="21"/>
        <v>#DIV/0!</v>
      </c>
      <c r="S32" s="57" t="e">
        <f t="shared" si="21"/>
        <v>#DIV/0!</v>
      </c>
      <c r="T32" s="57" t="e">
        <f t="shared" si="21"/>
        <v>#DIV/0!</v>
      </c>
      <c r="U32" s="57" t="e">
        <f t="shared" si="21"/>
        <v>#DIV/0!</v>
      </c>
      <c r="V32" s="57" t="e">
        <f t="shared" si="21"/>
        <v>#DIV/0!</v>
      </c>
      <c r="W32" s="57" t="e">
        <f t="shared" si="21"/>
        <v>#DIV/0!</v>
      </c>
      <c r="X32" s="57" t="e">
        <f t="shared" si="21"/>
        <v>#DIV/0!</v>
      </c>
      <c r="Y32" s="57" t="e">
        <f t="shared" si="21"/>
        <v>#DIV/0!</v>
      </c>
      <c r="Z32" s="57" t="e">
        <f t="shared" si="21"/>
        <v>#DIV/0!</v>
      </c>
      <c r="AA32" s="57" t="e">
        <f t="shared" si="21"/>
        <v>#DIV/0!</v>
      </c>
      <c r="AB32" s="57" t="e">
        <f t="shared" si="21"/>
        <v>#DIV/0!</v>
      </c>
      <c r="AC32" s="57" t="e">
        <f t="shared" si="21"/>
        <v>#DIV/0!</v>
      </c>
      <c r="AD32" s="57" t="e">
        <f t="shared" si="21"/>
        <v>#DIV/0!</v>
      </c>
      <c r="AE32" s="57" t="e">
        <f t="shared" si="21"/>
        <v>#DIV/0!</v>
      </c>
      <c r="AF32" s="57" t="e">
        <f t="shared" si="21"/>
        <v>#DIV/0!</v>
      </c>
      <c r="AG32" s="57" t="e">
        <f t="shared" si="21"/>
        <v>#DIV/0!</v>
      </c>
      <c r="AH32" s="57" t="e">
        <f t="shared" si="21"/>
        <v>#DIV/0!</v>
      </c>
      <c r="AI32" s="57" t="e">
        <f t="shared" si="21"/>
        <v>#DIV/0!</v>
      </c>
      <c r="AJ32" s="57" t="e">
        <f t="shared" si="21"/>
        <v>#DIV/0!</v>
      </c>
      <c r="AK32" s="57" t="e">
        <f t="shared" si="21"/>
        <v>#DIV/0!</v>
      </c>
      <c r="AL32" s="57" t="e">
        <f t="shared" si="21"/>
        <v>#DIV/0!</v>
      </c>
      <c r="AM32" s="57" t="e">
        <f t="shared" si="21"/>
        <v>#DIV/0!</v>
      </c>
      <c r="AN32" s="57" t="e">
        <f t="shared" si="21"/>
        <v>#DIV/0!</v>
      </c>
      <c r="AO32" s="57" t="e">
        <f t="shared" si="21"/>
        <v>#DIV/0!</v>
      </c>
      <c r="AP32" s="57" t="e">
        <f t="shared" si="21"/>
        <v>#DIV/0!</v>
      </c>
      <c r="AQ32" s="57" t="e">
        <f t="shared" si="21"/>
        <v>#DIV/0!</v>
      </c>
      <c r="AR32" s="57" t="e">
        <f t="shared" si="21"/>
        <v>#DIV/0!</v>
      </c>
      <c r="AS32" s="57" t="e">
        <f t="shared" si="21"/>
        <v>#DIV/0!</v>
      </c>
      <c r="AT32" s="57" t="e">
        <f t="shared" si="21"/>
        <v>#DIV/0!</v>
      </c>
      <c r="AU32" s="57" t="e">
        <f t="shared" si="21"/>
        <v>#DIV/0!</v>
      </c>
      <c r="AV32" s="57" t="e">
        <f t="shared" si="21"/>
        <v>#DIV/0!</v>
      </c>
      <c r="AW32" s="1">
        <f t="shared" si="19"/>
        <v>9.0107734510857934E-2</v>
      </c>
      <c r="AX32" s="1">
        <f t="shared" si="20"/>
        <v>-0.17291447725891762</v>
      </c>
    </row>
    <row r="33" spans="2:53" ht="6" customHeight="1" x14ac:dyDescent="0.3">
      <c r="AW33" s="1" t="str">
        <f>IFERROR(HLOOKUP(LARGE($2:$2,1),$C$2:$XFD$228,ROW(AG32),FALSE)/HLOOKUP(LARGE($2:$2,2),$C$2:$XFD$228,ROW(AG32),FALSE)-1,"")</f>
        <v/>
      </c>
      <c r="AX33" s="1"/>
    </row>
    <row r="34" spans="2:53" ht="11.25" customHeight="1" x14ac:dyDescent="0.3">
      <c r="B34" s="13" t="s">
        <v>76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6"/>
    </row>
    <row r="35" spans="2:53" ht="11.25" customHeight="1" x14ac:dyDescent="0.3">
      <c r="B35" s="22" t="s">
        <v>72</v>
      </c>
      <c r="C35" s="18">
        <v>8</v>
      </c>
      <c r="D35" s="18">
        <v>66</v>
      </c>
      <c r="E35" s="18">
        <v>133</v>
      </c>
      <c r="F35" s="18">
        <v>135</v>
      </c>
      <c r="G35" s="18">
        <v>72</v>
      </c>
      <c r="H35" s="17">
        <v>101</v>
      </c>
      <c r="I35" s="17">
        <v>167</v>
      </c>
      <c r="J35" s="17">
        <v>49</v>
      </c>
      <c r="K35" s="17">
        <v>26</v>
      </c>
      <c r="L35" s="17">
        <v>226</v>
      </c>
      <c r="M35" s="17">
        <v>276</v>
      </c>
      <c r="N35" s="17">
        <v>388</v>
      </c>
      <c r="O35" s="77">
        <v>406</v>
      </c>
      <c r="AW35" s="1">
        <f>(O35-N35)/N35</f>
        <v>4.6391752577319589E-2</v>
      </c>
      <c r="AX35" s="1">
        <f>O35/L35-1</f>
        <v>0.79646017699115035</v>
      </c>
    </row>
    <row r="36" spans="2:53" ht="11.25" customHeight="1" x14ac:dyDescent="0.3">
      <c r="B36" s="22" t="s">
        <v>77</v>
      </c>
      <c r="C36" s="21">
        <f t="shared" ref="C36:O36" si="22">C35/C31</f>
        <v>4.008618529839154E-4</v>
      </c>
      <c r="D36" s="21">
        <f t="shared" si="22"/>
        <v>2.6991657124161624E-3</v>
      </c>
      <c r="E36" s="21">
        <f t="shared" si="22"/>
        <v>4.707631318136769E-3</v>
      </c>
      <c r="F36" s="21">
        <f t="shared" si="22"/>
        <v>3.9484074756514871E-3</v>
      </c>
      <c r="G36" s="21">
        <f t="shared" si="22"/>
        <v>2.3756103998944173E-3</v>
      </c>
      <c r="H36" s="21">
        <f t="shared" si="22"/>
        <v>2.4435680932910751E-3</v>
      </c>
      <c r="I36" s="21">
        <f t="shared" si="22"/>
        <v>3.3473642012427341E-3</v>
      </c>
      <c r="J36" s="21">
        <f t="shared" si="22"/>
        <v>1.3046140738571315E-3</v>
      </c>
      <c r="K36" s="21">
        <f t="shared" si="22"/>
        <v>7.8507156229240896E-4</v>
      </c>
      <c r="L36" s="21">
        <f t="shared" si="22"/>
        <v>3.5800845913792831E-3</v>
      </c>
      <c r="M36" s="21">
        <f t="shared" si="22"/>
        <v>4.1015276704511683E-3</v>
      </c>
      <c r="N36" s="21">
        <f t="shared" si="22"/>
        <v>4.6839538364962094E-3</v>
      </c>
      <c r="O36" s="21">
        <f t="shared" si="22"/>
        <v>4.738617397495302E-3</v>
      </c>
      <c r="AW36" s="1">
        <f t="shared" ref="AW36:AW38" si="23">(O36-N36)/N36</f>
        <v>1.1670388502373286E-2</v>
      </c>
      <c r="AX36" s="1">
        <f t="shared" ref="AX36:AX38" si="24">O36/L36-1</f>
        <v>0.32360486925524734</v>
      </c>
    </row>
    <row r="37" spans="2:53" ht="11.25" customHeight="1" x14ac:dyDescent="0.3">
      <c r="B37" s="22" t="s">
        <v>92</v>
      </c>
      <c r="C37" s="61">
        <v>113</v>
      </c>
      <c r="D37" s="61">
        <v>6766</v>
      </c>
      <c r="E37" s="61">
        <v>14008</v>
      </c>
      <c r="F37" s="61">
        <v>12232</v>
      </c>
      <c r="G37" s="61">
        <v>7348</v>
      </c>
      <c r="H37" s="17">
        <v>17368</v>
      </c>
      <c r="I37" s="17">
        <v>22034</v>
      </c>
      <c r="J37" s="17">
        <v>38622</v>
      </c>
      <c r="K37" s="19">
        <v>5337</v>
      </c>
      <c r="L37" s="17">
        <v>32079</v>
      </c>
      <c r="M37" s="17">
        <v>81977</v>
      </c>
      <c r="N37" s="17">
        <f>29368+44167+52388+60335</f>
        <v>186258</v>
      </c>
      <c r="O37" s="17">
        <f>65583+51977+46535+58516</f>
        <v>222611</v>
      </c>
      <c r="AW37" s="1">
        <f t="shared" si="23"/>
        <v>0.19517550923987156</v>
      </c>
      <c r="AX37" s="1">
        <f t="shared" si="24"/>
        <v>5.9394619533027839</v>
      </c>
    </row>
    <row r="38" spans="2:53" ht="11.25" customHeight="1" x14ac:dyDescent="0.3">
      <c r="B38" s="22" t="s">
        <v>93</v>
      </c>
      <c r="C38" s="44">
        <f>C35/C37</f>
        <v>7.0796460176991149E-2</v>
      </c>
      <c r="D38" s="44">
        <f t="shared" ref="D38:O38" si="25">D35/D37</f>
        <v>9.7546556310966603E-3</v>
      </c>
      <c r="E38" s="44">
        <f t="shared" si="25"/>
        <v>9.4945745288406626E-3</v>
      </c>
      <c r="F38" s="44">
        <f t="shared" si="25"/>
        <v>1.1036625245258339E-2</v>
      </c>
      <c r="G38" s="44">
        <f t="shared" si="25"/>
        <v>9.7985846488840497E-3</v>
      </c>
      <c r="H38" s="44">
        <f t="shared" si="25"/>
        <v>5.8152924919391983E-3</v>
      </c>
      <c r="I38" s="44">
        <f t="shared" si="25"/>
        <v>7.5791957883271305E-3</v>
      </c>
      <c r="J38" s="44">
        <f t="shared" si="25"/>
        <v>1.2687069545854694E-3</v>
      </c>
      <c r="K38" s="44">
        <f t="shared" si="25"/>
        <v>4.8716507401161705E-3</v>
      </c>
      <c r="L38" s="44">
        <f t="shared" si="25"/>
        <v>7.0451073911281525E-3</v>
      </c>
      <c r="M38" s="44">
        <f t="shared" si="25"/>
        <v>3.3667980043182843E-3</v>
      </c>
      <c r="N38" s="44">
        <f t="shared" si="25"/>
        <v>2.0831319996993418E-3</v>
      </c>
      <c r="O38" s="44">
        <f t="shared" si="25"/>
        <v>1.8238092457246047E-3</v>
      </c>
      <c r="AW38" s="1">
        <f t="shared" si="23"/>
        <v>-0.12448695234491383</v>
      </c>
      <c r="AX38" s="1">
        <f t="shared" si="24"/>
        <v>-0.74112399648849736</v>
      </c>
    </row>
    <row r="39" spans="2:53" ht="6" customHeight="1" x14ac:dyDescent="0.3">
      <c r="AW39" s="1" t="str">
        <f>IFERROR(HLOOKUP(LARGE($2:$2,1),$C$2:$XFD$228,ROW(AG38),FALSE)/HLOOKUP(LARGE($2:$2,2),$C$2:$XFD$228,ROW(AG38),FALSE)-1,"")</f>
        <v/>
      </c>
      <c r="AX39" s="1" t="str">
        <f>IFERROR(HLOOKUP(LARGE($2:$2,1),$C$2:$XFD$228,ROW(AH38),FALSE)/HLOOKUP(LARGE($2:$2,4),$C$2:$XFD$228,ROW(AH38),FALSE)-1,"")</f>
        <v/>
      </c>
    </row>
    <row r="40" spans="2:53" ht="11.25" customHeight="1" x14ac:dyDescent="0.3">
      <c r="B40" s="13" t="s">
        <v>78</v>
      </c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6"/>
    </row>
    <row r="41" spans="2:53" ht="11.25" customHeight="1" x14ac:dyDescent="0.3">
      <c r="B41" s="22" t="s">
        <v>87</v>
      </c>
      <c r="C41" s="54">
        <f t="shared" ref="C41:O41" si="26">SUM(C42:C47)</f>
        <v>21095.42</v>
      </c>
      <c r="D41" s="54">
        <f t="shared" si="26"/>
        <v>8988.56</v>
      </c>
      <c r="E41" s="54">
        <f t="shared" si="26"/>
        <v>26568.16</v>
      </c>
      <c r="F41" s="54">
        <f t="shared" si="26"/>
        <v>46584.99</v>
      </c>
      <c r="G41" s="54">
        <f t="shared" si="26"/>
        <v>34128</v>
      </c>
      <c r="H41" s="54">
        <f t="shared" si="26"/>
        <v>44255.5</v>
      </c>
      <c r="I41" s="54">
        <f t="shared" si="26"/>
        <v>180727.64</v>
      </c>
      <c r="J41" s="54">
        <f t="shared" si="26"/>
        <v>42451</v>
      </c>
      <c r="K41" s="54">
        <f t="shared" si="26"/>
        <v>52784.69</v>
      </c>
      <c r="L41" s="54">
        <f t="shared" si="26"/>
        <v>109159.92</v>
      </c>
      <c r="M41" s="54">
        <f t="shared" si="26"/>
        <v>103033.36</v>
      </c>
      <c r="N41" s="54">
        <f t="shared" si="26"/>
        <v>70681.8</v>
      </c>
      <c r="O41" s="54">
        <f t="shared" si="26"/>
        <v>144336.59</v>
      </c>
      <c r="AW41" s="1">
        <f>(O41-N41)/N41</f>
        <v>1.0420616056750109</v>
      </c>
      <c r="AX41" s="1">
        <f>(N41-K41)/K41</f>
        <v>0.33905873085548099</v>
      </c>
    </row>
    <row r="42" spans="2:53" ht="11.25" customHeight="1" x14ac:dyDescent="0.3">
      <c r="B42" s="22" t="s">
        <v>98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943</v>
      </c>
      <c r="I42" s="54">
        <v>1112.5999999999999</v>
      </c>
      <c r="J42" s="54">
        <v>603</v>
      </c>
      <c r="K42" s="54">
        <v>0</v>
      </c>
      <c r="L42" s="54">
        <v>900</v>
      </c>
      <c r="M42" s="54">
        <v>1409</v>
      </c>
      <c r="N42" s="79">
        <v>1391.8</v>
      </c>
      <c r="O42" s="78">
        <v>2372.61</v>
      </c>
      <c r="AW42" s="1">
        <f t="shared" ref="AW42" si="27">(O42-N42)/N42</f>
        <v>0.70470613593907183</v>
      </c>
      <c r="AX42" s="1">
        <f>O42/L42-1</f>
        <v>1.6362333333333337</v>
      </c>
      <c r="AZ42" s="70"/>
    </row>
    <row r="43" spans="2:53" ht="11.25" customHeight="1" x14ac:dyDescent="0.3">
      <c r="B43" s="45" t="s">
        <v>97</v>
      </c>
      <c r="C43" s="54">
        <v>0</v>
      </c>
      <c r="D43" s="54">
        <v>0</v>
      </c>
      <c r="E43" s="54">
        <v>0</v>
      </c>
      <c r="F43" s="54">
        <v>0</v>
      </c>
      <c r="G43" s="54">
        <v>0</v>
      </c>
      <c r="H43" s="54">
        <v>2458.7399999999998</v>
      </c>
      <c r="I43" s="54">
        <v>1870</v>
      </c>
      <c r="J43" s="54">
        <v>0</v>
      </c>
      <c r="K43" s="54">
        <v>0</v>
      </c>
      <c r="L43" s="54">
        <v>778.33</v>
      </c>
      <c r="M43" s="54">
        <v>2017</v>
      </c>
      <c r="N43" s="80">
        <v>4400</v>
      </c>
      <c r="O43" s="78">
        <v>25941</v>
      </c>
      <c r="AW43" s="1">
        <f>(O43-N43)/N43</f>
        <v>4.895681818181818</v>
      </c>
      <c r="AX43" s="1">
        <f t="shared" ref="AX43" si="28">O43/L43-1</f>
        <v>32.329050659745867</v>
      </c>
    </row>
    <row r="44" spans="2:53" ht="11.25" customHeight="1" x14ac:dyDescent="0.3">
      <c r="B44" s="45" t="s">
        <v>73</v>
      </c>
      <c r="C44" s="54">
        <v>12108.56</v>
      </c>
      <c r="D44" s="54">
        <v>0</v>
      </c>
      <c r="E44" s="54">
        <v>2858.62</v>
      </c>
      <c r="F44" s="54">
        <v>0</v>
      </c>
      <c r="G44" s="54">
        <v>0</v>
      </c>
      <c r="H44" s="54">
        <v>0</v>
      </c>
      <c r="I44" s="54">
        <v>1575.04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f>8799.45</f>
        <v>8799.4500000000007</v>
      </c>
      <c r="AW44" s="1">
        <v>0</v>
      </c>
      <c r="AX44" s="1">
        <v>0</v>
      </c>
      <c r="BA44" s="58"/>
    </row>
    <row r="45" spans="2:53" ht="11.25" customHeight="1" x14ac:dyDescent="0.3">
      <c r="B45" s="45" t="s">
        <v>96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16674.759999999998</v>
      </c>
      <c r="I45" s="54">
        <v>139387</v>
      </c>
      <c r="J45" s="54">
        <v>9428</v>
      </c>
      <c r="K45" s="54">
        <v>21757.69</v>
      </c>
      <c r="L45" s="54">
        <v>62161.59</v>
      </c>
      <c r="M45" s="54">
        <v>46609</v>
      </c>
      <c r="N45" s="54">
        <v>19765</v>
      </c>
      <c r="O45" s="54">
        <f>54116.66+2355</f>
        <v>56471.66</v>
      </c>
      <c r="AW45" s="1">
        <f t="shared" ref="AW45:AW47" si="29">(O45-N45)/N45</f>
        <v>1.8571545661522897</v>
      </c>
      <c r="AX45" s="1">
        <f t="shared" ref="AX45:AX47" si="30">O45/L45-1</f>
        <v>-9.1534499037106198E-2</v>
      </c>
    </row>
    <row r="46" spans="2:53" ht="11.25" customHeight="1" x14ac:dyDescent="0.3">
      <c r="B46" s="45" t="s">
        <v>110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1450</v>
      </c>
      <c r="L46" s="54">
        <v>1000</v>
      </c>
      <c r="M46" s="54">
        <v>1000</v>
      </c>
      <c r="N46" s="54">
        <v>1000</v>
      </c>
      <c r="O46" s="54">
        <v>1000</v>
      </c>
      <c r="AW46" s="1">
        <f t="shared" si="29"/>
        <v>0</v>
      </c>
      <c r="AX46" s="1">
        <f t="shared" si="30"/>
        <v>0</v>
      </c>
    </row>
    <row r="47" spans="2:53" ht="11.25" customHeight="1" x14ac:dyDescent="0.3">
      <c r="B47" s="45" t="s">
        <v>74</v>
      </c>
      <c r="C47" s="54">
        <v>8986.86</v>
      </c>
      <c r="D47" s="54">
        <v>8988.56</v>
      </c>
      <c r="E47" s="54">
        <v>23709.54</v>
      </c>
      <c r="F47" s="54">
        <v>46584.99</v>
      </c>
      <c r="G47" s="54">
        <v>34128</v>
      </c>
      <c r="H47" s="54">
        <v>24179</v>
      </c>
      <c r="I47" s="54">
        <v>36783</v>
      </c>
      <c r="J47" s="54">
        <v>32420</v>
      </c>
      <c r="K47" s="54">
        <v>29577</v>
      </c>
      <c r="L47" s="54">
        <v>44320</v>
      </c>
      <c r="M47" s="54">
        <v>51998.36</v>
      </c>
      <c r="N47" s="54">
        <v>44125</v>
      </c>
      <c r="O47" s="54">
        <f>O26</f>
        <v>49751.869999999995</v>
      </c>
      <c r="AW47" s="1">
        <f t="shared" si="29"/>
        <v>0.12752113314447583</v>
      </c>
      <c r="AX47" s="1">
        <f t="shared" si="30"/>
        <v>0.12256024368231033</v>
      </c>
    </row>
  </sheetData>
  <conditionalFormatting sqref="AW39:AX39 AW33 AW24:AX24">
    <cfRule type="containsBlanks" dxfId="396" priority="2592">
      <formula>LEN(TRIM(AW24))=0</formula>
    </cfRule>
    <cfRule type="cellIs" dxfId="395" priority="2593" operator="lessThanOrEqual">
      <formula>-10%</formula>
    </cfRule>
    <cfRule type="cellIs" dxfId="394" priority="2594" operator="greaterThanOrEqual">
      <formula>0.1</formula>
    </cfRule>
  </conditionalFormatting>
  <conditionalFormatting sqref="AW4:AX6 AX4:AX7">
    <cfRule type="containsBlanks" dxfId="393" priority="2589">
      <formula>LEN(TRIM(AW4))=0</formula>
    </cfRule>
    <cfRule type="cellIs" dxfId="392" priority="2590" operator="lessThanOrEqual">
      <formula>-10%</formula>
    </cfRule>
    <cfRule type="cellIs" dxfId="391" priority="2591" operator="greaterThanOrEqual">
      <formula>0.1</formula>
    </cfRule>
  </conditionalFormatting>
  <conditionalFormatting sqref="AW4:AX6 AX4:AX7">
    <cfRule type="containsBlanks" dxfId="390" priority="2577">
      <formula>LEN(TRIM(AW4))=0</formula>
    </cfRule>
    <cfRule type="cellIs" dxfId="389" priority="2578" operator="lessThanOrEqual">
      <formula>-10%</formula>
    </cfRule>
    <cfRule type="cellIs" dxfId="388" priority="2579" operator="greaterThanOrEqual">
      <formula>0.1</formula>
    </cfRule>
  </conditionalFormatting>
  <conditionalFormatting sqref="AX33">
    <cfRule type="containsBlanks" dxfId="387" priority="2413">
      <formula>LEN(TRIM(AX33))=0</formula>
    </cfRule>
    <cfRule type="cellIs" dxfId="386" priority="2414" operator="lessThanOrEqual">
      <formula>-10%</formula>
    </cfRule>
    <cfRule type="cellIs" dxfId="385" priority="2415" operator="greaterThanOrEqual">
      <formula>0.1</formula>
    </cfRule>
  </conditionalFormatting>
  <conditionalFormatting sqref="AX33">
    <cfRule type="containsBlanks" dxfId="384" priority="2410">
      <formula>LEN(TRIM(AX33))=0</formula>
    </cfRule>
    <cfRule type="cellIs" dxfId="383" priority="2411" operator="lessThanOrEqual">
      <formula>-10%</formula>
    </cfRule>
    <cfRule type="cellIs" dxfId="382" priority="2412" operator="greaterThanOrEqual">
      <formula>0.1</formula>
    </cfRule>
  </conditionalFormatting>
  <conditionalFormatting sqref="AW7">
    <cfRule type="containsBlanks" dxfId="381" priority="856">
      <formula>LEN(TRIM(AW7))=0</formula>
    </cfRule>
    <cfRule type="cellIs" dxfId="380" priority="857" operator="lessThanOrEqual">
      <formula>-10%</formula>
    </cfRule>
    <cfRule type="cellIs" dxfId="379" priority="858" operator="greaterThanOrEqual">
      <formula>0.1</formula>
    </cfRule>
  </conditionalFormatting>
  <conditionalFormatting sqref="AW7">
    <cfRule type="containsBlanks" dxfId="378" priority="853">
      <formula>LEN(TRIM(AW7))=0</formula>
    </cfRule>
    <cfRule type="cellIs" dxfId="377" priority="854" operator="lessThanOrEqual">
      <formula>-10%</formula>
    </cfRule>
    <cfRule type="cellIs" dxfId="376" priority="855" operator="greaterThanOrEqual">
      <formula>0.1</formula>
    </cfRule>
  </conditionalFormatting>
  <conditionalFormatting sqref="AX7">
    <cfRule type="containsBlanks" dxfId="375" priority="664">
      <formula>LEN(TRIM(AX7))=0</formula>
    </cfRule>
    <cfRule type="cellIs" dxfId="374" priority="665" operator="lessThanOrEqual">
      <formula>-10%</formula>
    </cfRule>
    <cfRule type="cellIs" dxfId="373" priority="666" operator="greaterThanOrEqual">
      <formula>0.1</formula>
    </cfRule>
  </conditionalFormatting>
  <conditionalFormatting sqref="AX7">
    <cfRule type="containsBlanks" dxfId="372" priority="661">
      <formula>LEN(TRIM(AX7))=0</formula>
    </cfRule>
    <cfRule type="cellIs" dxfId="371" priority="662" operator="lessThanOrEqual">
      <formula>-10%</formula>
    </cfRule>
    <cfRule type="cellIs" dxfId="370" priority="663" operator="greaterThanOrEqual">
      <formula>0.1</formula>
    </cfRule>
  </conditionalFormatting>
  <conditionalFormatting sqref="AW9:AW11">
    <cfRule type="containsBlanks" dxfId="369" priority="436">
      <formula>LEN(TRIM(AW9))=0</formula>
    </cfRule>
    <cfRule type="cellIs" dxfId="368" priority="437" operator="lessThanOrEqual">
      <formula>-10%</formula>
    </cfRule>
    <cfRule type="cellIs" dxfId="367" priority="438" operator="greaterThanOrEqual">
      <formula>0.1</formula>
    </cfRule>
  </conditionalFormatting>
  <conditionalFormatting sqref="AW9:AW11">
    <cfRule type="containsBlanks" dxfId="366" priority="433">
      <formula>LEN(TRIM(AW9))=0</formula>
    </cfRule>
    <cfRule type="cellIs" dxfId="365" priority="434" operator="lessThanOrEqual">
      <formula>-10%</formula>
    </cfRule>
    <cfRule type="cellIs" dxfId="364" priority="435" operator="greaterThanOrEqual">
      <formula>0.1</formula>
    </cfRule>
  </conditionalFormatting>
  <conditionalFormatting sqref="AW12">
    <cfRule type="containsBlanks" dxfId="363" priority="430">
      <formula>LEN(TRIM(AW12))=0</formula>
    </cfRule>
    <cfRule type="cellIs" dxfId="362" priority="431" operator="lessThanOrEqual">
      <formula>-10%</formula>
    </cfRule>
    <cfRule type="cellIs" dxfId="361" priority="432" operator="greaterThanOrEqual">
      <formula>0.1</formula>
    </cfRule>
  </conditionalFormatting>
  <conditionalFormatting sqref="AW12">
    <cfRule type="containsBlanks" dxfId="360" priority="427">
      <formula>LEN(TRIM(AW12))=0</formula>
    </cfRule>
    <cfRule type="cellIs" dxfId="359" priority="428" operator="lessThanOrEqual">
      <formula>-10%</formula>
    </cfRule>
    <cfRule type="cellIs" dxfId="358" priority="429" operator="greaterThanOrEqual">
      <formula>0.1</formula>
    </cfRule>
  </conditionalFormatting>
  <conditionalFormatting sqref="AW14:AW16">
    <cfRule type="containsBlanks" dxfId="357" priority="424">
      <formula>LEN(TRIM(AW14))=0</formula>
    </cfRule>
    <cfRule type="cellIs" dxfId="356" priority="425" operator="lessThanOrEqual">
      <formula>-10%</formula>
    </cfRule>
    <cfRule type="cellIs" dxfId="355" priority="426" operator="greaterThanOrEqual">
      <formula>0.1</formula>
    </cfRule>
  </conditionalFormatting>
  <conditionalFormatting sqref="AW14:AW16">
    <cfRule type="containsBlanks" dxfId="354" priority="421">
      <formula>LEN(TRIM(AW14))=0</formula>
    </cfRule>
    <cfRule type="cellIs" dxfId="353" priority="422" operator="lessThanOrEqual">
      <formula>-10%</formula>
    </cfRule>
    <cfRule type="cellIs" dxfId="352" priority="423" operator="greaterThanOrEqual">
      <formula>0.1</formula>
    </cfRule>
  </conditionalFormatting>
  <conditionalFormatting sqref="AW17">
    <cfRule type="containsBlanks" dxfId="351" priority="418">
      <formula>LEN(TRIM(AW17))=0</formula>
    </cfRule>
    <cfRule type="cellIs" dxfId="350" priority="419" operator="lessThanOrEqual">
      <formula>-10%</formula>
    </cfRule>
    <cfRule type="cellIs" dxfId="349" priority="420" operator="greaterThanOrEqual">
      <formula>0.1</formula>
    </cfRule>
  </conditionalFormatting>
  <conditionalFormatting sqref="AW17">
    <cfRule type="containsBlanks" dxfId="348" priority="415">
      <formula>LEN(TRIM(AW17))=0</formula>
    </cfRule>
    <cfRule type="cellIs" dxfId="347" priority="416" operator="lessThanOrEqual">
      <formula>-10%</formula>
    </cfRule>
    <cfRule type="cellIs" dxfId="346" priority="417" operator="greaterThanOrEqual">
      <formula>0.1</formula>
    </cfRule>
  </conditionalFormatting>
  <conditionalFormatting sqref="AW19:AW21">
    <cfRule type="containsBlanks" dxfId="345" priority="412">
      <formula>LEN(TRIM(AW19))=0</formula>
    </cfRule>
    <cfRule type="cellIs" dxfId="344" priority="413" operator="lessThanOrEqual">
      <formula>-10%</formula>
    </cfRule>
    <cfRule type="cellIs" dxfId="343" priority="414" operator="greaterThanOrEqual">
      <formula>0.1</formula>
    </cfRule>
  </conditionalFormatting>
  <conditionalFormatting sqref="AW19:AW21">
    <cfRule type="containsBlanks" dxfId="342" priority="409">
      <formula>LEN(TRIM(AW19))=0</formula>
    </cfRule>
    <cfRule type="cellIs" dxfId="341" priority="410" operator="lessThanOrEqual">
      <formula>-10%</formula>
    </cfRule>
    <cfRule type="cellIs" dxfId="340" priority="411" operator="greaterThanOrEqual">
      <formula>0.1</formula>
    </cfRule>
  </conditionalFormatting>
  <conditionalFormatting sqref="AW22">
    <cfRule type="containsBlanks" dxfId="339" priority="406">
      <formula>LEN(TRIM(AW22))=0</formula>
    </cfRule>
    <cfRule type="cellIs" dxfId="338" priority="407" operator="lessThanOrEqual">
      <formula>-10%</formula>
    </cfRule>
    <cfRule type="cellIs" dxfId="337" priority="408" operator="greaterThanOrEqual">
      <formula>0.1</formula>
    </cfRule>
  </conditionalFormatting>
  <conditionalFormatting sqref="AW22">
    <cfRule type="containsBlanks" dxfId="336" priority="403">
      <formula>LEN(TRIM(AW22))=0</formula>
    </cfRule>
    <cfRule type="cellIs" dxfId="335" priority="404" operator="lessThanOrEqual">
      <formula>-10%</formula>
    </cfRule>
    <cfRule type="cellIs" dxfId="334" priority="405" operator="greaterThanOrEqual">
      <formula>0.1</formula>
    </cfRule>
  </conditionalFormatting>
  <conditionalFormatting sqref="AX9:AX12">
    <cfRule type="containsBlanks" dxfId="333" priority="316">
      <formula>LEN(TRIM(AX9))=0</formula>
    </cfRule>
    <cfRule type="cellIs" dxfId="332" priority="317" operator="lessThanOrEqual">
      <formula>-10%</formula>
    </cfRule>
    <cfRule type="cellIs" dxfId="331" priority="318" operator="greaterThanOrEqual">
      <formula>0.1</formula>
    </cfRule>
  </conditionalFormatting>
  <conditionalFormatting sqref="AX9:AX12">
    <cfRule type="containsBlanks" dxfId="330" priority="313">
      <formula>LEN(TRIM(AX9))=0</formula>
    </cfRule>
    <cfRule type="cellIs" dxfId="329" priority="314" operator="lessThanOrEqual">
      <formula>-10%</formula>
    </cfRule>
    <cfRule type="cellIs" dxfId="328" priority="315" operator="greaterThanOrEqual">
      <formula>0.1</formula>
    </cfRule>
  </conditionalFormatting>
  <conditionalFormatting sqref="AX12">
    <cfRule type="containsBlanks" dxfId="327" priority="310">
      <formula>LEN(TRIM(AX12))=0</formula>
    </cfRule>
    <cfRule type="cellIs" dxfId="326" priority="311" operator="lessThanOrEqual">
      <formula>-10%</formula>
    </cfRule>
    <cfRule type="cellIs" dxfId="325" priority="312" operator="greaterThanOrEqual">
      <formula>0.1</formula>
    </cfRule>
  </conditionalFormatting>
  <conditionalFormatting sqref="AX12">
    <cfRule type="containsBlanks" dxfId="324" priority="307">
      <formula>LEN(TRIM(AX12))=0</formula>
    </cfRule>
    <cfRule type="cellIs" dxfId="323" priority="308" operator="lessThanOrEqual">
      <formula>-10%</formula>
    </cfRule>
    <cfRule type="cellIs" dxfId="322" priority="309" operator="greaterThanOrEqual">
      <formula>0.1</formula>
    </cfRule>
  </conditionalFormatting>
  <conditionalFormatting sqref="AX14:AX17">
    <cfRule type="containsBlanks" dxfId="321" priority="304">
      <formula>LEN(TRIM(AX14))=0</formula>
    </cfRule>
    <cfRule type="cellIs" dxfId="320" priority="305" operator="lessThanOrEqual">
      <formula>-10%</formula>
    </cfRule>
    <cfRule type="cellIs" dxfId="319" priority="306" operator="greaterThanOrEqual">
      <formula>0.1</formula>
    </cfRule>
  </conditionalFormatting>
  <conditionalFormatting sqref="AX14:AX17">
    <cfRule type="containsBlanks" dxfId="318" priority="301">
      <formula>LEN(TRIM(AX14))=0</formula>
    </cfRule>
    <cfRule type="cellIs" dxfId="317" priority="302" operator="lessThanOrEqual">
      <formula>-10%</formula>
    </cfRule>
    <cfRule type="cellIs" dxfId="316" priority="303" operator="greaterThanOrEqual">
      <formula>0.1</formula>
    </cfRule>
  </conditionalFormatting>
  <conditionalFormatting sqref="AX17">
    <cfRule type="containsBlanks" dxfId="315" priority="298">
      <formula>LEN(TRIM(AX17))=0</formula>
    </cfRule>
    <cfRule type="cellIs" dxfId="314" priority="299" operator="lessThanOrEqual">
      <formula>-10%</formula>
    </cfRule>
    <cfRule type="cellIs" dxfId="313" priority="300" operator="greaterThanOrEqual">
      <formula>0.1</formula>
    </cfRule>
  </conditionalFormatting>
  <conditionalFormatting sqref="AX17">
    <cfRule type="containsBlanks" dxfId="312" priority="295">
      <formula>LEN(TRIM(AX17))=0</formula>
    </cfRule>
    <cfRule type="cellIs" dxfId="311" priority="296" operator="lessThanOrEqual">
      <formula>-10%</formula>
    </cfRule>
    <cfRule type="cellIs" dxfId="310" priority="297" operator="greaterThanOrEqual">
      <formula>0.1</formula>
    </cfRule>
  </conditionalFormatting>
  <conditionalFormatting sqref="AX19:AX22">
    <cfRule type="containsBlanks" dxfId="309" priority="292">
      <formula>LEN(TRIM(AX19))=0</formula>
    </cfRule>
    <cfRule type="cellIs" dxfId="308" priority="293" operator="lessThanOrEqual">
      <formula>-10%</formula>
    </cfRule>
    <cfRule type="cellIs" dxfId="307" priority="294" operator="greaterThanOrEqual">
      <formula>0.1</formula>
    </cfRule>
  </conditionalFormatting>
  <conditionalFormatting sqref="AX19:AX22">
    <cfRule type="containsBlanks" dxfId="306" priority="289">
      <formula>LEN(TRIM(AX19))=0</formula>
    </cfRule>
    <cfRule type="cellIs" dxfId="305" priority="290" operator="lessThanOrEqual">
      <formula>-10%</formula>
    </cfRule>
    <cfRule type="cellIs" dxfId="304" priority="291" operator="greaterThanOrEqual">
      <formula>0.1</formula>
    </cfRule>
  </conditionalFormatting>
  <conditionalFormatting sqref="AX22">
    <cfRule type="containsBlanks" dxfId="303" priority="286">
      <formula>LEN(TRIM(AX22))=0</formula>
    </cfRule>
    <cfRule type="cellIs" dxfId="302" priority="287" operator="lessThanOrEqual">
      <formula>-10%</formula>
    </cfRule>
    <cfRule type="cellIs" dxfId="301" priority="288" operator="greaterThanOrEqual">
      <formula>0.1</formula>
    </cfRule>
  </conditionalFormatting>
  <conditionalFormatting sqref="AX22">
    <cfRule type="containsBlanks" dxfId="300" priority="283">
      <formula>LEN(TRIM(AX22))=0</formula>
    </cfRule>
    <cfRule type="cellIs" dxfId="299" priority="284" operator="lessThanOrEqual">
      <formula>-10%</formula>
    </cfRule>
    <cfRule type="cellIs" dxfId="298" priority="285" operator="greaterThanOrEqual">
      <formula>0.1</formula>
    </cfRule>
  </conditionalFormatting>
  <conditionalFormatting sqref="AW26">
    <cfRule type="containsBlanks" dxfId="297" priority="136">
      <formula>LEN(TRIM(AW26))=0</formula>
    </cfRule>
    <cfRule type="cellIs" dxfId="296" priority="137" operator="lessThanOrEqual">
      <formula>-10%</formula>
    </cfRule>
    <cfRule type="cellIs" dxfId="295" priority="138" operator="greaterThanOrEqual">
      <formula>0.1</formula>
    </cfRule>
  </conditionalFormatting>
  <conditionalFormatting sqref="AW26">
    <cfRule type="containsBlanks" dxfId="294" priority="133">
      <formula>LEN(TRIM(AW26))=0</formula>
    </cfRule>
    <cfRule type="cellIs" dxfId="293" priority="134" operator="lessThanOrEqual">
      <formula>-10%</formula>
    </cfRule>
    <cfRule type="cellIs" dxfId="292" priority="135" operator="greaterThanOrEqual">
      <formula>0.1</formula>
    </cfRule>
  </conditionalFormatting>
  <conditionalFormatting sqref="AW27">
    <cfRule type="containsBlanks" dxfId="291" priority="130">
      <formula>LEN(TRIM(AW27))=0</formula>
    </cfRule>
    <cfRule type="cellIs" dxfId="290" priority="131" operator="lessThanOrEqual">
      <formula>-10%</formula>
    </cfRule>
    <cfRule type="cellIs" dxfId="289" priority="132" operator="greaterThanOrEqual">
      <formula>0.1</formula>
    </cfRule>
  </conditionalFormatting>
  <conditionalFormatting sqref="AW27">
    <cfRule type="containsBlanks" dxfId="288" priority="127">
      <formula>LEN(TRIM(AW27))=0</formula>
    </cfRule>
    <cfRule type="cellIs" dxfId="287" priority="128" operator="lessThanOrEqual">
      <formula>-10%</formula>
    </cfRule>
    <cfRule type="cellIs" dxfId="286" priority="129" operator="greaterThanOrEqual">
      <formula>0.1</formula>
    </cfRule>
  </conditionalFormatting>
  <conditionalFormatting sqref="AW28">
    <cfRule type="containsBlanks" dxfId="285" priority="124">
      <formula>LEN(TRIM(AW28))=0</formula>
    </cfRule>
    <cfRule type="cellIs" dxfId="284" priority="125" operator="lessThanOrEqual">
      <formula>-10%</formula>
    </cfRule>
    <cfRule type="cellIs" dxfId="283" priority="126" operator="greaterThanOrEqual">
      <formula>0.1</formula>
    </cfRule>
  </conditionalFormatting>
  <conditionalFormatting sqref="AW28">
    <cfRule type="containsBlanks" dxfId="282" priority="121">
      <formula>LEN(TRIM(AW28))=0</formula>
    </cfRule>
    <cfRule type="cellIs" dxfId="281" priority="122" operator="lessThanOrEqual">
      <formula>-10%</formula>
    </cfRule>
    <cfRule type="cellIs" dxfId="280" priority="123" operator="greaterThanOrEqual">
      <formula>0.1</formula>
    </cfRule>
  </conditionalFormatting>
  <conditionalFormatting sqref="AW29">
    <cfRule type="containsBlanks" dxfId="279" priority="118">
      <formula>LEN(TRIM(AW29))=0</formula>
    </cfRule>
    <cfRule type="cellIs" dxfId="278" priority="119" operator="lessThanOrEqual">
      <formula>-10%</formula>
    </cfRule>
    <cfRule type="cellIs" dxfId="277" priority="120" operator="greaterThanOrEqual">
      <formula>0.1</formula>
    </cfRule>
  </conditionalFormatting>
  <conditionalFormatting sqref="AW29">
    <cfRule type="containsBlanks" dxfId="276" priority="115">
      <formula>LEN(TRIM(AW29))=0</formula>
    </cfRule>
    <cfRule type="cellIs" dxfId="275" priority="116" operator="lessThanOrEqual">
      <formula>-10%</formula>
    </cfRule>
    <cfRule type="cellIs" dxfId="274" priority="117" operator="greaterThanOrEqual">
      <formula>0.1</formula>
    </cfRule>
  </conditionalFormatting>
  <conditionalFormatting sqref="AW30">
    <cfRule type="containsBlanks" dxfId="273" priority="112">
      <formula>LEN(TRIM(AW30))=0</formula>
    </cfRule>
    <cfRule type="cellIs" dxfId="272" priority="113" operator="lessThanOrEqual">
      <formula>-10%</formula>
    </cfRule>
    <cfRule type="cellIs" dxfId="271" priority="114" operator="greaterThanOrEqual">
      <formula>0.1</formula>
    </cfRule>
  </conditionalFormatting>
  <conditionalFormatting sqref="AW30">
    <cfRule type="containsBlanks" dxfId="270" priority="109">
      <formula>LEN(TRIM(AW30))=0</formula>
    </cfRule>
    <cfRule type="cellIs" dxfId="269" priority="110" operator="lessThanOrEqual">
      <formula>-10%</formula>
    </cfRule>
    <cfRule type="cellIs" dxfId="268" priority="111" operator="greaterThanOrEqual">
      <formula>0.1</formula>
    </cfRule>
  </conditionalFormatting>
  <conditionalFormatting sqref="AW31">
    <cfRule type="containsBlanks" dxfId="267" priority="106">
      <formula>LEN(TRIM(AW31))=0</formula>
    </cfRule>
    <cfRule type="cellIs" dxfId="266" priority="107" operator="lessThanOrEqual">
      <formula>-10%</formula>
    </cfRule>
    <cfRule type="cellIs" dxfId="265" priority="108" operator="greaterThanOrEqual">
      <formula>0.1</formula>
    </cfRule>
  </conditionalFormatting>
  <conditionalFormatting sqref="AW31">
    <cfRule type="containsBlanks" dxfId="264" priority="103">
      <formula>LEN(TRIM(AW31))=0</formula>
    </cfRule>
    <cfRule type="cellIs" dxfId="263" priority="104" operator="lessThanOrEqual">
      <formula>-10%</formula>
    </cfRule>
    <cfRule type="cellIs" dxfId="262" priority="105" operator="greaterThanOrEqual">
      <formula>0.1</formula>
    </cfRule>
  </conditionalFormatting>
  <conditionalFormatting sqref="AX27">
    <cfRule type="containsBlanks" dxfId="261" priority="100">
      <formula>LEN(TRIM(AX27))=0</formula>
    </cfRule>
    <cfRule type="cellIs" dxfId="260" priority="101" operator="lessThanOrEqual">
      <formula>-10%</formula>
    </cfRule>
    <cfRule type="cellIs" dxfId="259" priority="102" operator="greaterThanOrEqual">
      <formula>0.1</formula>
    </cfRule>
  </conditionalFormatting>
  <conditionalFormatting sqref="AX27">
    <cfRule type="containsBlanks" dxfId="258" priority="97">
      <formula>LEN(TRIM(AX27))=0</formula>
    </cfRule>
    <cfRule type="cellIs" dxfId="257" priority="98" operator="lessThanOrEqual">
      <formula>-10%</formula>
    </cfRule>
    <cfRule type="cellIs" dxfId="256" priority="99" operator="greaterThanOrEqual">
      <formula>0.1</formula>
    </cfRule>
  </conditionalFormatting>
  <conditionalFormatting sqref="AX29">
    <cfRule type="containsBlanks" dxfId="255" priority="94">
      <formula>LEN(TRIM(AX29))=0</formula>
    </cfRule>
    <cfRule type="cellIs" dxfId="254" priority="95" operator="lessThanOrEqual">
      <formula>-10%</formula>
    </cfRule>
    <cfRule type="cellIs" dxfId="253" priority="96" operator="greaterThanOrEqual">
      <formula>0.1</formula>
    </cfRule>
  </conditionalFormatting>
  <conditionalFormatting sqref="AX29">
    <cfRule type="containsBlanks" dxfId="252" priority="91">
      <formula>LEN(TRIM(AX29))=0</formula>
    </cfRule>
    <cfRule type="cellIs" dxfId="251" priority="92" operator="lessThanOrEqual">
      <formula>-10%</formula>
    </cfRule>
    <cfRule type="cellIs" dxfId="250" priority="93" operator="greaterThanOrEqual">
      <formula>0.1</formula>
    </cfRule>
  </conditionalFormatting>
  <conditionalFormatting sqref="AX31">
    <cfRule type="containsBlanks" dxfId="249" priority="88">
      <formula>LEN(TRIM(AX31))=0</formula>
    </cfRule>
    <cfRule type="cellIs" dxfId="248" priority="89" operator="lessThanOrEqual">
      <formula>-10%</formula>
    </cfRule>
    <cfRule type="cellIs" dxfId="247" priority="90" operator="greaterThanOrEqual">
      <formula>0.1</formula>
    </cfRule>
  </conditionalFormatting>
  <conditionalFormatting sqref="AX31">
    <cfRule type="containsBlanks" dxfId="246" priority="85">
      <formula>LEN(TRIM(AX31))=0</formula>
    </cfRule>
    <cfRule type="cellIs" dxfId="245" priority="86" operator="lessThanOrEqual">
      <formula>-10%</formula>
    </cfRule>
    <cfRule type="cellIs" dxfId="244" priority="87" operator="greaterThanOrEqual">
      <formula>0.1</formula>
    </cfRule>
  </conditionalFormatting>
  <conditionalFormatting sqref="AX26">
    <cfRule type="containsBlanks" dxfId="243" priority="82">
      <formula>LEN(TRIM(AX26))=0</formula>
    </cfRule>
    <cfRule type="cellIs" dxfId="242" priority="83" operator="lessThanOrEqual">
      <formula>-10%</formula>
    </cfRule>
    <cfRule type="cellIs" dxfId="241" priority="84" operator="greaterThanOrEqual">
      <formula>0.1</formula>
    </cfRule>
  </conditionalFormatting>
  <conditionalFormatting sqref="AX26">
    <cfRule type="containsBlanks" dxfId="240" priority="79">
      <formula>LEN(TRIM(AX26))=0</formula>
    </cfRule>
    <cfRule type="cellIs" dxfId="239" priority="80" operator="lessThanOrEqual">
      <formula>-10%</formula>
    </cfRule>
    <cfRule type="cellIs" dxfId="238" priority="81" operator="greaterThanOrEqual">
      <formula>0.1</formula>
    </cfRule>
  </conditionalFormatting>
  <conditionalFormatting sqref="AX28">
    <cfRule type="containsBlanks" dxfId="237" priority="76">
      <formula>LEN(TRIM(AX28))=0</formula>
    </cfRule>
    <cfRule type="cellIs" dxfId="236" priority="77" operator="lessThanOrEqual">
      <formula>-10%</formula>
    </cfRule>
    <cfRule type="cellIs" dxfId="235" priority="78" operator="greaterThanOrEqual">
      <formula>0.1</formula>
    </cfRule>
  </conditionalFormatting>
  <conditionalFormatting sqref="AX28">
    <cfRule type="containsBlanks" dxfId="234" priority="73">
      <formula>LEN(TRIM(AX28))=0</formula>
    </cfRule>
    <cfRule type="cellIs" dxfId="233" priority="74" operator="lessThanOrEqual">
      <formula>-10%</formula>
    </cfRule>
    <cfRule type="cellIs" dxfId="232" priority="75" operator="greaterThanOrEqual">
      <formula>0.1</formula>
    </cfRule>
  </conditionalFormatting>
  <conditionalFormatting sqref="AX30">
    <cfRule type="containsBlanks" dxfId="231" priority="70">
      <formula>LEN(TRIM(AX30))=0</formula>
    </cfRule>
    <cfRule type="cellIs" dxfId="230" priority="71" operator="lessThanOrEqual">
      <formula>-10%</formula>
    </cfRule>
    <cfRule type="cellIs" dxfId="229" priority="72" operator="greaterThanOrEqual">
      <formula>0.1</formula>
    </cfRule>
  </conditionalFormatting>
  <conditionalFormatting sqref="AX30">
    <cfRule type="containsBlanks" dxfId="228" priority="67">
      <formula>LEN(TRIM(AX30))=0</formula>
    </cfRule>
    <cfRule type="cellIs" dxfId="227" priority="68" operator="lessThanOrEqual">
      <formula>-10%</formula>
    </cfRule>
    <cfRule type="cellIs" dxfId="226" priority="69" operator="greaterThanOrEqual">
      <formula>0.1</formula>
    </cfRule>
  </conditionalFormatting>
  <conditionalFormatting sqref="AW32">
    <cfRule type="containsBlanks" dxfId="225" priority="64">
      <formula>LEN(TRIM(AW32))=0</formula>
    </cfRule>
    <cfRule type="cellIs" dxfId="224" priority="65" operator="lessThanOrEqual">
      <formula>-10%</formula>
    </cfRule>
    <cfRule type="cellIs" dxfId="223" priority="66" operator="greaterThanOrEqual">
      <formula>0.1</formula>
    </cfRule>
  </conditionalFormatting>
  <conditionalFormatting sqref="AW32">
    <cfRule type="containsBlanks" dxfId="222" priority="61">
      <formula>LEN(TRIM(AW32))=0</formula>
    </cfRule>
    <cfRule type="cellIs" dxfId="221" priority="62" operator="lessThanOrEqual">
      <formula>-10%</formula>
    </cfRule>
    <cfRule type="cellIs" dxfId="220" priority="63" operator="greaterThanOrEqual">
      <formula>0.1</formula>
    </cfRule>
  </conditionalFormatting>
  <conditionalFormatting sqref="AX32">
    <cfRule type="containsBlanks" dxfId="219" priority="58">
      <formula>LEN(TRIM(AX32))=0</formula>
    </cfRule>
    <cfRule type="cellIs" dxfId="218" priority="59" operator="lessThanOrEqual">
      <formula>-10%</formula>
    </cfRule>
    <cfRule type="cellIs" dxfId="217" priority="60" operator="greaterThanOrEqual">
      <formula>0.1</formula>
    </cfRule>
  </conditionalFormatting>
  <conditionalFormatting sqref="AX32">
    <cfRule type="containsBlanks" dxfId="216" priority="55">
      <formula>LEN(TRIM(AX32))=0</formula>
    </cfRule>
    <cfRule type="cellIs" dxfId="215" priority="56" operator="lessThanOrEqual">
      <formula>-10%</formula>
    </cfRule>
    <cfRule type="cellIs" dxfId="214" priority="57" operator="greaterThanOrEqual">
      <formula>0.1</formula>
    </cfRule>
  </conditionalFormatting>
  <conditionalFormatting sqref="AW37">
    <cfRule type="containsBlanks" dxfId="213" priority="40">
      <formula>LEN(TRIM(AW37))=0</formula>
    </cfRule>
    <cfRule type="cellIs" dxfId="212" priority="41" operator="lessThanOrEqual">
      <formula>-10%</formula>
    </cfRule>
    <cfRule type="cellIs" dxfId="211" priority="42" operator="greaterThanOrEqual">
      <formula>0.1</formula>
    </cfRule>
  </conditionalFormatting>
  <conditionalFormatting sqref="AW37">
    <cfRule type="containsBlanks" dxfId="210" priority="37">
      <formula>LEN(TRIM(AW37))=0</formula>
    </cfRule>
    <cfRule type="cellIs" dxfId="209" priority="38" operator="lessThanOrEqual">
      <formula>-10%</formula>
    </cfRule>
    <cfRule type="cellIs" dxfId="208" priority="39" operator="greaterThanOrEqual">
      <formula>0.1</formula>
    </cfRule>
  </conditionalFormatting>
  <conditionalFormatting sqref="AW35">
    <cfRule type="containsBlanks" dxfId="207" priority="52">
      <formula>LEN(TRIM(AW35))=0</formula>
    </cfRule>
    <cfRule type="cellIs" dxfId="206" priority="53" operator="lessThanOrEqual">
      <formula>-10%</formula>
    </cfRule>
    <cfRule type="cellIs" dxfId="205" priority="54" operator="greaterThanOrEqual">
      <formula>0.1</formula>
    </cfRule>
  </conditionalFormatting>
  <conditionalFormatting sqref="AW35">
    <cfRule type="containsBlanks" dxfId="204" priority="49">
      <formula>LEN(TRIM(AW35))=0</formula>
    </cfRule>
    <cfRule type="cellIs" dxfId="203" priority="50" operator="lessThanOrEqual">
      <formula>-10%</formula>
    </cfRule>
    <cfRule type="cellIs" dxfId="202" priority="51" operator="greaterThanOrEqual">
      <formula>0.1</formula>
    </cfRule>
  </conditionalFormatting>
  <conditionalFormatting sqref="AW36">
    <cfRule type="containsBlanks" dxfId="201" priority="46">
      <formula>LEN(TRIM(AW36))=0</formula>
    </cfRule>
    <cfRule type="cellIs" dxfId="200" priority="47" operator="lessThanOrEqual">
      <formula>-10%</formula>
    </cfRule>
    <cfRule type="cellIs" dxfId="199" priority="48" operator="greaterThanOrEqual">
      <formula>0.1</formula>
    </cfRule>
  </conditionalFormatting>
  <conditionalFormatting sqref="AW36">
    <cfRule type="containsBlanks" dxfId="198" priority="43">
      <formula>LEN(TRIM(AW36))=0</formula>
    </cfRule>
    <cfRule type="cellIs" dxfId="197" priority="44" operator="lessThanOrEqual">
      <formula>-10%</formula>
    </cfRule>
    <cfRule type="cellIs" dxfId="196" priority="45" operator="greaterThanOrEqual">
      <formula>0.1</formula>
    </cfRule>
  </conditionalFormatting>
  <conditionalFormatting sqref="AW38">
    <cfRule type="containsBlanks" dxfId="195" priority="34">
      <formula>LEN(TRIM(AW38))=0</formula>
    </cfRule>
    <cfRule type="cellIs" dxfId="194" priority="35" operator="lessThanOrEqual">
      <formula>-10%</formula>
    </cfRule>
    <cfRule type="cellIs" dxfId="193" priority="36" operator="greaterThanOrEqual">
      <formula>0.1</formula>
    </cfRule>
  </conditionalFormatting>
  <conditionalFormatting sqref="AW38">
    <cfRule type="containsBlanks" dxfId="192" priority="31">
      <formula>LEN(TRIM(AW38))=0</formula>
    </cfRule>
    <cfRule type="cellIs" dxfId="191" priority="32" operator="lessThanOrEqual">
      <formula>-10%</formula>
    </cfRule>
    <cfRule type="cellIs" dxfId="190" priority="33" operator="greaterThanOrEqual">
      <formula>0.1</formula>
    </cfRule>
  </conditionalFormatting>
  <conditionalFormatting sqref="AX35">
    <cfRule type="containsBlanks" dxfId="189" priority="28">
      <formula>LEN(TRIM(AX35))=0</formula>
    </cfRule>
    <cfRule type="cellIs" dxfId="188" priority="29" operator="lessThanOrEqual">
      <formula>-10%</formula>
    </cfRule>
    <cfRule type="cellIs" dxfId="187" priority="30" operator="greaterThanOrEqual">
      <formula>0.1</formula>
    </cfRule>
  </conditionalFormatting>
  <conditionalFormatting sqref="AX35">
    <cfRule type="containsBlanks" dxfId="186" priority="25">
      <formula>LEN(TRIM(AX35))=0</formula>
    </cfRule>
    <cfRule type="cellIs" dxfId="185" priority="26" operator="lessThanOrEqual">
      <formula>-10%</formula>
    </cfRule>
    <cfRule type="cellIs" dxfId="184" priority="27" operator="greaterThanOrEqual">
      <formula>0.1</formula>
    </cfRule>
  </conditionalFormatting>
  <conditionalFormatting sqref="AX36">
    <cfRule type="containsBlanks" dxfId="183" priority="22">
      <formula>LEN(TRIM(AX36))=0</formula>
    </cfRule>
    <cfRule type="cellIs" dxfId="182" priority="23" operator="lessThanOrEqual">
      <formula>-10%</formula>
    </cfRule>
    <cfRule type="cellIs" dxfId="181" priority="24" operator="greaterThanOrEqual">
      <formula>0.1</formula>
    </cfRule>
  </conditionalFormatting>
  <conditionalFormatting sqref="AX36">
    <cfRule type="containsBlanks" dxfId="180" priority="19">
      <formula>LEN(TRIM(AX36))=0</formula>
    </cfRule>
    <cfRule type="cellIs" dxfId="179" priority="20" operator="lessThanOrEqual">
      <formula>-10%</formula>
    </cfRule>
    <cfRule type="cellIs" dxfId="178" priority="21" operator="greaterThanOrEqual">
      <formula>0.1</formula>
    </cfRule>
  </conditionalFormatting>
  <conditionalFormatting sqref="AX37">
    <cfRule type="containsBlanks" dxfId="177" priority="16">
      <formula>LEN(TRIM(AX37))=0</formula>
    </cfRule>
    <cfRule type="cellIs" dxfId="176" priority="17" operator="lessThanOrEqual">
      <formula>-10%</formula>
    </cfRule>
    <cfRule type="cellIs" dxfId="175" priority="18" operator="greaterThanOrEqual">
      <formula>0.1</formula>
    </cfRule>
  </conditionalFormatting>
  <conditionalFormatting sqref="AX37">
    <cfRule type="containsBlanks" dxfId="174" priority="13">
      <formula>LEN(TRIM(AX37))=0</formula>
    </cfRule>
    <cfRule type="cellIs" dxfId="173" priority="14" operator="lessThanOrEqual">
      <formula>-10%</formula>
    </cfRule>
    <cfRule type="cellIs" dxfId="172" priority="15" operator="greaterThanOrEqual">
      <formula>0.1</formula>
    </cfRule>
  </conditionalFormatting>
  <conditionalFormatting sqref="AX38">
    <cfRule type="containsBlanks" dxfId="171" priority="10">
      <formula>LEN(TRIM(AX38))=0</formula>
    </cfRule>
    <cfRule type="cellIs" dxfId="170" priority="11" operator="lessThanOrEqual">
      <formula>-10%</formula>
    </cfRule>
    <cfRule type="cellIs" dxfId="169" priority="12" operator="greaterThanOrEqual">
      <formula>0.1</formula>
    </cfRule>
  </conditionalFormatting>
  <conditionalFormatting sqref="AX38">
    <cfRule type="containsBlanks" dxfId="168" priority="7">
      <formula>LEN(TRIM(AX38))=0</formula>
    </cfRule>
    <cfRule type="cellIs" dxfId="167" priority="8" operator="lessThanOrEqual">
      <formula>-10%</formula>
    </cfRule>
    <cfRule type="cellIs" dxfId="166" priority="9" operator="greaterThanOrEqual">
      <formula>0.1</formula>
    </cfRule>
  </conditionalFormatting>
  <conditionalFormatting sqref="AW41:AX47">
    <cfRule type="containsBlanks" dxfId="165" priority="1">
      <formula>LEN(TRIM(AW41))=0</formula>
    </cfRule>
    <cfRule type="cellIs" dxfId="164" priority="2" operator="lessThanOrEqual">
      <formula>-10%</formula>
    </cfRule>
    <cfRule type="cellIs" dxfId="163" priority="3" operator="greaterThanOrEqual">
      <formula>0.1</formula>
    </cfRule>
  </conditionalFormatting>
  <conditionalFormatting sqref="AW41:AX47">
    <cfRule type="containsBlanks" dxfId="162" priority="4">
      <formula>LEN(TRIM(AW41))=0</formula>
    </cfRule>
    <cfRule type="cellIs" dxfId="161" priority="5" operator="lessThanOrEqual">
      <formula>-10%</formula>
    </cfRule>
    <cfRule type="cellIs" dxfId="160" priority="6" operator="greaterThanOrEqual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C48"/>
  <sheetViews>
    <sheetView showGridLines="0" zoomScale="110" zoomScaleNormal="110" workbookViewId="0">
      <pane ySplit="2" topLeftCell="A3" activePane="bottomLeft" state="frozen"/>
      <selection activeCell="B3" sqref="B3"/>
      <selection pane="bottomLeft" activeCell="AY24" sqref="AY24"/>
    </sheetView>
  </sheetViews>
  <sheetFormatPr defaultColWidth="9.109375" defaultRowHeight="11.25" customHeight="1" outlineLevelRow="1" outlineLevelCol="1" x14ac:dyDescent="0.3"/>
  <cols>
    <col min="1" max="1" width="2.6640625" style="11" customWidth="1"/>
    <col min="2" max="2" width="24.44140625" style="9" bestFit="1" customWidth="1"/>
    <col min="3" max="5" width="9.109375" style="19" customWidth="1" outlineLevel="1"/>
    <col min="6" max="6" width="9.109375" style="11"/>
    <col min="7" max="7" width="9.109375" style="11" customWidth="1"/>
    <col min="8" max="15" width="9.109375" style="17" customWidth="1"/>
    <col min="16" max="50" width="9.109375" style="17" hidden="1" customWidth="1"/>
    <col min="51" max="51" width="10" style="19" bestFit="1" customWidth="1"/>
    <col min="52" max="52" width="11.33203125" style="17" bestFit="1" customWidth="1"/>
    <col min="53" max="53" width="9.109375" style="17"/>
    <col min="54" max="54" width="9.5546875" style="17" bestFit="1" customWidth="1"/>
    <col min="55" max="55" width="20.6640625" style="17" bestFit="1" customWidth="1"/>
    <col min="56" max="16384" width="9.109375" style="17"/>
  </cols>
  <sheetData>
    <row r="1" spans="1:55" s="11" customFormat="1" ht="11.25" customHeight="1" x14ac:dyDescent="0.3">
      <c r="BB1" s="3" t="s">
        <v>69</v>
      </c>
      <c r="BC1" s="4" t="s">
        <v>70</v>
      </c>
    </row>
    <row r="2" spans="1:55" s="9" customFormat="1" ht="11.25" customHeight="1" x14ac:dyDescent="0.3">
      <c r="A2" s="11"/>
      <c r="B2" s="12"/>
      <c r="C2" s="14" t="s">
        <v>84</v>
      </c>
      <c r="D2" s="14" t="s">
        <v>83</v>
      </c>
      <c r="E2" s="14" t="s">
        <v>82</v>
      </c>
      <c r="F2" s="14">
        <v>41712</v>
      </c>
      <c r="G2" s="14" t="s">
        <v>94</v>
      </c>
      <c r="H2" s="62" t="s">
        <v>95</v>
      </c>
      <c r="I2" s="62" t="s">
        <v>107</v>
      </c>
      <c r="J2" s="62" t="s">
        <v>108</v>
      </c>
      <c r="K2" s="62" t="s">
        <v>109</v>
      </c>
      <c r="L2" s="62" t="s">
        <v>115</v>
      </c>
      <c r="M2" s="62" t="s">
        <v>116</v>
      </c>
      <c r="N2" s="62" t="s">
        <v>119</v>
      </c>
      <c r="O2" s="62" t="s">
        <v>120</v>
      </c>
      <c r="AY2" s="15" t="s">
        <v>66</v>
      </c>
      <c r="AZ2" s="15" t="s">
        <v>67</v>
      </c>
      <c r="BB2" s="2"/>
      <c r="BC2" s="5" t="s">
        <v>71</v>
      </c>
    </row>
    <row r="3" spans="1:55" ht="11.25" customHeight="1" x14ac:dyDescent="0.3">
      <c r="B3" s="13" t="s">
        <v>12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AY3" s="16"/>
      <c r="AZ3" s="16"/>
    </row>
    <row r="4" spans="1:55" ht="11.25" customHeight="1" x14ac:dyDescent="0.3">
      <c r="B4" s="22" t="s">
        <v>45</v>
      </c>
      <c r="C4" s="18">
        <v>48690</v>
      </c>
      <c r="D4" s="18">
        <v>53535</v>
      </c>
      <c r="E4" s="18">
        <v>83023</v>
      </c>
      <c r="F4" s="18">
        <v>117850</v>
      </c>
      <c r="G4" s="17">
        <v>101605</v>
      </c>
      <c r="H4" s="17">
        <v>91707</v>
      </c>
      <c r="I4" s="17">
        <v>113783</v>
      </c>
      <c r="J4" s="17">
        <v>93478</v>
      </c>
      <c r="K4" s="17">
        <v>95160</v>
      </c>
      <c r="L4" s="17">
        <v>119719</v>
      </c>
      <c r="M4" s="17">
        <v>131859</v>
      </c>
      <c r="N4" s="17">
        <v>141474</v>
      </c>
      <c r="O4" s="17">
        <v>151170</v>
      </c>
      <c r="AY4" s="1">
        <f>O4/N4-1</f>
        <v>6.853556130455063E-2</v>
      </c>
      <c r="AZ4" s="1">
        <f>O4/L4-1</f>
        <v>0.26270683851351917</v>
      </c>
    </row>
    <row r="5" spans="1:55" ht="11.25" customHeight="1" x14ac:dyDescent="0.3">
      <c r="B5" s="22" t="s">
        <v>46</v>
      </c>
      <c r="C5" s="18">
        <v>81326</v>
      </c>
      <c r="D5" s="18">
        <v>92446</v>
      </c>
      <c r="E5" s="18">
        <v>134198</v>
      </c>
      <c r="F5" s="18">
        <v>185113</v>
      </c>
      <c r="G5" s="17">
        <v>157004</v>
      </c>
      <c r="H5" s="17">
        <v>155426</v>
      </c>
      <c r="I5" s="17">
        <v>196674</v>
      </c>
      <c r="J5" s="17">
        <v>146857</v>
      </c>
      <c r="K5" s="17">
        <v>145421</v>
      </c>
      <c r="L5" s="17">
        <v>205994</v>
      </c>
      <c r="M5" s="17">
        <v>229189</v>
      </c>
      <c r="N5" s="17">
        <v>259425</v>
      </c>
      <c r="O5" s="17">
        <f>Summary!O5</f>
        <v>270023</v>
      </c>
      <c r="AY5" s="1">
        <f>(N5-M5)/M5</f>
        <v>0.13192605229744883</v>
      </c>
      <c r="AZ5" s="1">
        <f t="shared" ref="AZ5:AZ7" si="0">O5/L5-1</f>
        <v>0.31082944163422233</v>
      </c>
    </row>
    <row r="6" spans="1:55" ht="11.25" customHeight="1" x14ac:dyDescent="0.3">
      <c r="B6" s="22" t="s">
        <v>47</v>
      </c>
      <c r="C6" s="18">
        <v>372449</v>
      </c>
      <c r="D6" s="18">
        <v>421063</v>
      </c>
      <c r="E6" s="18">
        <v>515990</v>
      </c>
      <c r="F6" s="18">
        <v>631912</v>
      </c>
      <c r="G6" s="17">
        <v>544251</v>
      </c>
      <c r="H6" s="17">
        <v>636217</v>
      </c>
      <c r="I6" s="17">
        <v>818544</v>
      </c>
      <c r="J6" s="17">
        <v>556862</v>
      </c>
      <c r="K6" s="17">
        <v>524425</v>
      </c>
      <c r="L6" s="17">
        <v>876883</v>
      </c>
      <c r="M6" s="17">
        <v>965676</v>
      </c>
      <c r="N6" s="17">
        <v>1195034</v>
      </c>
      <c r="O6" s="17">
        <v>1236448</v>
      </c>
      <c r="AY6" s="1">
        <f>(N6-M6)/M6</f>
        <v>0.23751030366292628</v>
      </c>
      <c r="AZ6" s="1">
        <f t="shared" si="0"/>
        <v>0.41004900311672143</v>
      </c>
    </row>
    <row r="7" spans="1:55" ht="11.25" customHeight="1" x14ac:dyDescent="0.3">
      <c r="B7" s="22" t="s">
        <v>48</v>
      </c>
      <c r="C7" s="59">
        <v>4.58</v>
      </c>
      <c r="D7" s="59">
        <v>4.55</v>
      </c>
      <c r="E7" s="59">
        <v>3.84</v>
      </c>
      <c r="F7" s="59">
        <v>3.41</v>
      </c>
      <c r="G7" s="58">
        <v>3.47</v>
      </c>
      <c r="H7" s="58">
        <v>4.09</v>
      </c>
      <c r="I7" s="58">
        <v>4.16</v>
      </c>
      <c r="J7" s="58">
        <v>3.79</v>
      </c>
      <c r="K7" s="58">
        <v>3.61</v>
      </c>
      <c r="L7" s="58">
        <v>4.26</v>
      </c>
      <c r="M7" s="58">
        <v>4.21</v>
      </c>
      <c r="N7" s="58">
        <v>4.6100000000000003</v>
      </c>
      <c r="O7" s="58">
        <v>4.6100000000000003</v>
      </c>
      <c r="AY7" s="1">
        <f>(N7-M7)/M7</f>
        <v>9.5011876484560651E-2</v>
      </c>
      <c r="AZ7" s="1">
        <f t="shared" si="0"/>
        <v>8.2159624413145727E-2</v>
      </c>
    </row>
    <row r="8" spans="1:55" ht="11.25" customHeight="1" x14ac:dyDescent="0.3">
      <c r="B8" s="22" t="s">
        <v>49</v>
      </c>
      <c r="G8" s="17"/>
      <c r="AY8" s="1"/>
      <c r="AZ8" s="1"/>
    </row>
    <row r="9" spans="1:55" ht="11.25" customHeight="1" x14ac:dyDescent="0.3">
      <c r="B9" s="22" t="s">
        <v>50</v>
      </c>
      <c r="C9" s="58">
        <v>4.3499999999999996</v>
      </c>
      <c r="D9" s="58">
        <v>4.28</v>
      </c>
      <c r="E9" s="58">
        <v>3.41</v>
      </c>
      <c r="F9" s="58">
        <v>3.07</v>
      </c>
      <c r="G9" s="58">
        <v>3.16</v>
      </c>
      <c r="H9" s="58">
        <v>3.59</v>
      </c>
      <c r="I9" s="58">
        <v>4.03</v>
      </c>
      <c r="J9" s="58">
        <v>3.38</v>
      </c>
      <c r="K9" s="58">
        <v>3.27</v>
      </c>
      <c r="L9" s="58">
        <v>4.2699999999999996</v>
      </c>
      <c r="M9" s="58">
        <v>4.2699999999999996</v>
      </c>
      <c r="N9" s="58">
        <v>4.46</v>
      </c>
      <c r="O9" s="58">
        <v>4.38</v>
      </c>
      <c r="AY9" s="1">
        <f t="shared" ref="AY9:AY11" si="1">O9/N9-1</f>
        <v>-1.7937219730941756E-2</v>
      </c>
      <c r="AZ9" s="1">
        <f t="shared" ref="AZ9:AZ11" si="2">O9/L9-1</f>
        <v>2.5761124121779888E-2</v>
      </c>
    </row>
    <row r="10" spans="1:55" ht="11.25" customHeight="1" x14ac:dyDescent="0.3">
      <c r="B10" s="22" t="s">
        <v>9</v>
      </c>
      <c r="C10" s="20">
        <v>19957</v>
      </c>
      <c r="D10" s="20">
        <v>24452</v>
      </c>
      <c r="E10" s="20">
        <v>27857</v>
      </c>
      <c r="F10" s="18">
        <v>32255</v>
      </c>
      <c r="G10" s="18">
        <v>27641</v>
      </c>
      <c r="H10" s="17">
        <v>37410</v>
      </c>
      <c r="I10" s="17">
        <v>44697</v>
      </c>
      <c r="J10" s="17">
        <v>32394</v>
      </c>
      <c r="K10" s="17">
        <v>28054</v>
      </c>
      <c r="L10" s="17">
        <v>53089</v>
      </c>
      <c r="M10" s="17">
        <v>55625</v>
      </c>
      <c r="N10" s="17">
        <v>67290</v>
      </c>
      <c r="O10" s="17">
        <f>Summary!O6</f>
        <v>67553</v>
      </c>
      <c r="AY10" s="1">
        <f t="shared" si="1"/>
        <v>3.9084559369890748E-3</v>
      </c>
      <c r="AZ10" s="1">
        <f t="shared" si="2"/>
        <v>0.27244815310139581</v>
      </c>
    </row>
    <row r="11" spans="1:55" ht="11.25" customHeight="1" x14ac:dyDescent="0.3">
      <c r="B11" s="22" t="s">
        <v>51</v>
      </c>
      <c r="C11" s="21">
        <f t="shared" ref="C11:AX11" si="3">C10/C5</f>
        <v>0.24539507660526769</v>
      </c>
      <c r="D11" s="21">
        <f t="shared" si="3"/>
        <v>0.26450035696514723</v>
      </c>
      <c r="E11" s="21">
        <f t="shared" si="3"/>
        <v>0.20758133504225101</v>
      </c>
      <c r="F11" s="21">
        <f t="shared" si="3"/>
        <v>0.17424492067007719</v>
      </c>
      <c r="G11" s="21">
        <f t="shared" si="3"/>
        <v>0.17605283941810398</v>
      </c>
      <c r="H11" s="21">
        <f t="shared" si="3"/>
        <v>0.24069332029390192</v>
      </c>
      <c r="I11" s="21">
        <f t="shared" si="3"/>
        <v>0.22726440708990511</v>
      </c>
      <c r="J11" s="21">
        <f t="shared" si="3"/>
        <v>0.22058192663611539</v>
      </c>
      <c r="K11" s="21">
        <f t="shared" si="3"/>
        <v>0.1929157411928126</v>
      </c>
      <c r="L11" s="21">
        <f t="shared" si="3"/>
        <v>0.25772109867277687</v>
      </c>
      <c r="M11" s="21">
        <f t="shared" si="3"/>
        <v>0.24270362015629021</v>
      </c>
      <c r="N11" s="21">
        <f t="shared" si="3"/>
        <v>0.25938132408210468</v>
      </c>
      <c r="O11" s="21">
        <f t="shared" si="3"/>
        <v>0.25017498509386238</v>
      </c>
      <c r="P11" s="21" t="e">
        <f t="shared" si="3"/>
        <v>#DIV/0!</v>
      </c>
      <c r="Q11" s="21" t="e">
        <f t="shared" si="3"/>
        <v>#DIV/0!</v>
      </c>
      <c r="R11" s="21" t="e">
        <f t="shared" si="3"/>
        <v>#DIV/0!</v>
      </c>
      <c r="S11" s="21" t="e">
        <f t="shared" si="3"/>
        <v>#DIV/0!</v>
      </c>
      <c r="T11" s="21" t="e">
        <f t="shared" si="3"/>
        <v>#DIV/0!</v>
      </c>
      <c r="U11" s="21" t="e">
        <f t="shared" si="3"/>
        <v>#DIV/0!</v>
      </c>
      <c r="V11" s="21" t="e">
        <f t="shared" si="3"/>
        <v>#DIV/0!</v>
      </c>
      <c r="W11" s="21" t="e">
        <f t="shared" si="3"/>
        <v>#DIV/0!</v>
      </c>
      <c r="X11" s="21" t="e">
        <f t="shared" si="3"/>
        <v>#DIV/0!</v>
      </c>
      <c r="Y11" s="21" t="e">
        <f t="shared" si="3"/>
        <v>#DIV/0!</v>
      </c>
      <c r="Z11" s="21" t="e">
        <f t="shared" si="3"/>
        <v>#DIV/0!</v>
      </c>
      <c r="AA11" s="21" t="e">
        <f t="shared" si="3"/>
        <v>#DIV/0!</v>
      </c>
      <c r="AB11" s="21" t="e">
        <f t="shared" si="3"/>
        <v>#DIV/0!</v>
      </c>
      <c r="AC11" s="21" t="e">
        <f t="shared" si="3"/>
        <v>#DIV/0!</v>
      </c>
      <c r="AD11" s="21" t="e">
        <f t="shared" si="3"/>
        <v>#DIV/0!</v>
      </c>
      <c r="AE11" s="21" t="e">
        <f t="shared" si="3"/>
        <v>#DIV/0!</v>
      </c>
      <c r="AF11" s="21" t="e">
        <f t="shared" si="3"/>
        <v>#DIV/0!</v>
      </c>
      <c r="AG11" s="21" t="e">
        <f t="shared" si="3"/>
        <v>#DIV/0!</v>
      </c>
      <c r="AH11" s="21" t="e">
        <f t="shared" si="3"/>
        <v>#DIV/0!</v>
      </c>
      <c r="AI11" s="21" t="e">
        <f t="shared" si="3"/>
        <v>#DIV/0!</v>
      </c>
      <c r="AJ11" s="21" t="e">
        <f t="shared" si="3"/>
        <v>#DIV/0!</v>
      </c>
      <c r="AK11" s="21" t="e">
        <f t="shared" si="3"/>
        <v>#DIV/0!</v>
      </c>
      <c r="AL11" s="21" t="e">
        <f t="shared" si="3"/>
        <v>#DIV/0!</v>
      </c>
      <c r="AM11" s="21" t="e">
        <f t="shared" si="3"/>
        <v>#DIV/0!</v>
      </c>
      <c r="AN11" s="21" t="e">
        <f t="shared" si="3"/>
        <v>#DIV/0!</v>
      </c>
      <c r="AO11" s="21" t="e">
        <f t="shared" si="3"/>
        <v>#DIV/0!</v>
      </c>
      <c r="AP11" s="21" t="e">
        <f t="shared" si="3"/>
        <v>#DIV/0!</v>
      </c>
      <c r="AQ11" s="21" t="e">
        <f t="shared" si="3"/>
        <v>#DIV/0!</v>
      </c>
      <c r="AR11" s="21" t="e">
        <f t="shared" si="3"/>
        <v>#DIV/0!</v>
      </c>
      <c r="AS11" s="21" t="e">
        <f t="shared" si="3"/>
        <v>#DIV/0!</v>
      </c>
      <c r="AT11" s="21" t="e">
        <f t="shared" si="3"/>
        <v>#DIV/0!</v>
      </c>
      <c r="AU11" s="21" t="e">
        <f t="shared" si="3"/>
        <v>#DIV/0!</v>
      </c>
      <c r="AV11" s="21" t="e">
        <f t="shared" si="3"/>
        <v>#DIV/0!</v>
      </c>
      <c r="AW11" s="21" t="e">
        <f t="shared" si="3"/>
        <v>#DIV/0!</v>
      </c>
      <c r="AX11" s="21" t="e">
        <f t="shared" si="3"/>
        <v>#DIV/0!</v>
      </c>
      <c r="AY11" s="1">
        <f t="shared" si="1"/>
        <v>-3.549345358931133E-2</v>
      </c>
      <c r="AZ11" s="1">
        <f t="shared" si="2"/>
        <v>-2.9280154468438124E-2</v>
      </c>
    </row>
    <row r="12" spans="1:55" ht="11.25" customHeight="1" x14ac:dyDescent="0.3">
      <c r="B12" s="13" t="s">
        <v>15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AY12" s="16"/>
      <c r="AZ12" s="16"/>
    </row>
    <row r="13" spans="1:55" ht="11.25" customHeight="1" x14ac:dyDescent="0.3">
      <c r="B13" s="22" t="s">
        <v>45</v>
      </c>
      <c r="C13" s="17">
        <v>0</v>
      </c>
      <c r="D13" s="20">
        <v>23</v>
      </c>
      <c r="E13" s="20">
        <v>2721</v>
      </c>
      <c r="F13" s="20">
        <v>5984</v>
      </c>
      <c r="G13" s="18">
        <v>4922</v>
      </c>
      <c r="H13" s="18">
        <v>3666</v>
      </c>
      <c r="I13" s="17">
        <v>4730</v>
      </c>
      <c r="J13" s="17">
        <v>4071</v>
      </c>
      <c r="K13" s="17">
        <v>4015</v>
      </c>
      <c r="L13" s="17">
        <v>9049</v>
      </c>
      <c r="M13" s="17">
        <v>9150</v>
      </c>
      <c r="N13" s="17">
        <v>9192</v>
      </c>
      <c r="O13" s="17">
        <f>Summary!O9</f>
        <v>9666</v>
      </c>
      <c r="AY13" s="1">
        <f t="shared" ref="AY13:AY18" si="4">O13/N13-1</f>
        <v>5.1566579634464649E-2</v>
      </c>
      <c r="AZ13" s="1">
        <f t="shared" ref="AZ13:AZ18" si="5">O13/L13-1</f>
        <v>6.8184329760194506E-2</v>
      </c>
    </row>
    <row r="14" spans="1:55" ht="11.25" customHeight="1" x14ac:dyDescent="0.3">
      <c r="B14" s="22" t="s">
        <v>46</v>
      </c>
      <c r="C14" s="17">
        <v>0</v>
      </c>
      <c r="D14" s="17">
        <v>64.57692307692308</v>
      </c>
      <c r="E14" s="20">
        <v>4341.0690789473683</v>
      </c>
      <c r="F14" s="20">
        <v>10685.104196403083</v>
      </c>
      <c r="G14" s="20">
        <v>10354.429629629631</v>
      </c>
      <c r="H14" s="18">
        <v>8997.7817546922743</v>
      </c>
      <c r="I14" s="18">
        <v>11789.513171057019</v>
      </c>
      <c r="J14" s="17">
        <v>10873.27090909091</v>
      </c>
      <c r="K14" s="17">
        <v>10087.957809694793</v>
      </c>
      <c r="L14" s="17">
        <v>21598</v>
      </c>
      <c r="M14" s="17">
        <v>30362</v>
      </c>
      <c r="N14" s="17">
        <v>34888</v>
      </c>
      <c r="O14" s="17">
        <f>Summary!O10</f>
        <v>39480</v>
      </c>
      <c r="AY14" s="1">
        <f t="shared" si="4"/>
        <v>0.13162118780096299</v>
      </c>
      <c r="AZ14" s="1">
        <f t="shared" si="5"/>
        <v>0.82794703213260479</v>
      </c>
    </row>
    <row r="15" spans="1:55" ht="11.25" customHeight="1" x14ac:dyDescent="0.3">
      <c r="B15" s="22" t="s">
        <v>114</v>
      </c>
      <c r="C15" s="71">
        <v>0</v>
      </c>
      <c r="D15" s="71">
        <v>9</v>
      </c>
      <c r="E15" s="71">
        <v>7.44</v>
      </c>
      <c r="F15" s="71">
        <v>7.34</v>
      </c>
      <c r="G15" s="35">
        <v>7.52</v>
      </c>
      <c r="H15" s="35">
        <v>9.17</v>
      </c>
      <c r="I15" s="35">
        <v>10.25</v>
      </c>
      <c r="J15" s="35">
        <v>11.15</v>
      </c>
      <c r="K15" s="35">
        <v>11.27</v>
      </c>
      <c r="L15" s="58">
        <v>14.18</v>
      </c>
      <c r="M15" s="58">
        <v>16.86</v>
      </c>
      <c r="N15" s="58">
        <v>17.899999999999999</v>
      </c>
      <c r="O15" s="58">
        <v>17.66</v>
      </c>
      <c r="AY15" s="1">
        <f t="shared" si="4"/>
        <v>-1.3407821229050154E-2</v>
      </c>
      <c r="AZ15" s="1">
        <f t="shared" si="5"/>
        <v>0.24541607898448525</v>
      </c>
    </row>
    <row r="16" spans="1:55" ht="11.25" customHeight="1" outlineLevel="1" x14ac:dyDescent="0.3">
      <c r="B16" s="22" t="s">
        <v>50</v>
      </c>
      <c r="C16" s="72">
        <v>0</v>
      </c>
      <c r="D16" s="72">
        <v>4.9305555555555552E-3</v>
      </c>
      <c r="E16" s="72">
        <v>4.5138888888888893E-3</v>
      </c>
      <c r="F16" s="72">
        <v>2.3958333333333331E-3</v>
      </c>
      <c r="G16" s="72">
        <v>3.2407407407407406E-3</v>
      </c>
      <c r="H16" s="72">
        <v>3.4374999999999996E-3</v>
      </c>
      <c r="I16" s="72">
        <v>3.4143518518518524E-3</v>
      </c>
      <c r="J16" s="72">
        <v>3.5185185185185185E-3</v>
      </c>
      <c r="K16" s="72">
        <v>3.6342592592592594E-3</v>
      </c>
      <c r="L16" s="72">
        <v>3.8657407407407408E-3</v>
      </c>
      <c r="M16" s="72">
        <v>4.155092592592593E-3</v>
      </c>
      <c r="N16" s="72">
        <v>4.363425925925926E-3</v>
      </c>
      <c r="O16" s="72">
        <v>4.2824074074074075E-3</v>
      </c>
      <c r="AY16" s="1">
        <f t="shared" si="4"/>
        <v>-1.8567639257294433E-2</v>
      </c>
      <c r="AZ16" s="1">
        <f t="shared" si="5"/>
        <v>0.10778443113772451</v>
      </c>
    </row>
    <row r="17" spans="2:52" ht="11.25" customHeight="1" outlineLevel="1" x14ac:dyDescent="0.3">
      <c r="B17" s="22" t="s">
        <v>9</v>
      </c>
      <c r="C17" s="73">
        <v>0</v>
      </c>
      <c r="D17" s="73">
        <v>0</v>
      </c>
      <c r="E17" s="73">
        <v>300</v>
      </c>
      <c r="F17" s="19">
        <v>1209</v>
      </c>
      <c r="G17" s="19">
        <v>1568</v>
      </c>
      <c r="H17" s="17">
        <v>2478</v>
      </c>
      <c r="I17" s="17">
        <v>3186</v>
      </c>
      <c r="J17" s="17">
        <v>3185</v>
      </c>
      <c r="K17" s="17">
        <v>3196</v>
      </c>
      <c r="L17" s="17">
        <v>6400</v>
      </c>
      <c r="M17" s="17">
        <v>7208</v>
      </c>
      <c r="N17" s="17">
        <v>9742</v>
      </c>
      <c r="O17" s="17">
        <f>Summary!O11</f>
        <v>11202</v>
      </c>
      <c r="AY17" s="1">
        <f t="shared" si="4"/>
        <v>0.1498665571751181</v>
      </c>
      <c r="AZ17" s="1">
        <f t="shared" si="5"/>
        <v>0.75031249999999994</v>
      </c>
    </row>
    <row r="18" spans="2:52" ht="11.25" customHeight="1" outlineLevel="1" x14ac:dyDescent="0.3">
      <c r="B18" s="22" t="s">
        <v>51</v>
      </c>
      <c r="C18" s="21" t="e">
        <f t="shared" ref="C18:AX18" si="6">C17/C14</f>
        <v>#DIV/0!</v>
      </c>
      <c r="D18" s="21">
        <f t="shared" si="6"/>
        <v>0</v>
      </c>
      <c r="E18" s="21">
        <f t="shared" si="6"/>
        <v>6.9107400629695726E-2</v>
      </c>
      <c r="F18" s="21">
        <f t="shared" si="6"/>
        <v>0.11314817130253017</v>
      </c>
      <c r="G18" s="21">
        <f t="shared" si="6"/>
        <v>0.15143277380659412</v>
      </c>
      <c r="H18" s="21">
        <f t="shared" si="6"/>
        <v>0.27540121193845829</v>
      </c>
      <c r="I18" s="21">
        <f t="shared" si="6"/>
        <v>0.27024016630487813</v>
      </c>
      <c r="J18" s="21">
        <f t="shared" si="6"/>
        <v>0.29292013660186556</v>
      </c>
      <c r="K18" s="21">
        <f t="shared" si="6"/>
        <v>0.31681337891089906</v>
      </c>
      <c r="L18" s="21">
        <f t="shared" si="6"/>
        <v>0.29632373367904435</v>
      </c>
      <c r="M18" s="21">
        <f t="shared" si="6"/>
        <v>0.23740201567749161</v>
      </c>
      <c r="N18" s="21">
        <f t="shared" si="6"/>
        <v>0.27923641366659024</v>
      </c>
      <c r="O18" s="21">
        <f t="shared" si="6"/>
        <v>0.28373860182370819</v>
      </c>
      <c r="P18" s="21" t="e">
        <f t="shared" si="6"/>
        <v>#DIV/0!</v>
      </c>
      <c r="Q18" s="21" t="e">
        <f t="shared" si="6"/>
        <v>#DIV/0!</v>
      </c>
      <c r="R18" s="21" t="e">
        <f t="shared" si="6"/>
        <v>#DIV/0!</v>
      </c>
      <c r="S18" s="21" t="e">
        <f t="shared" si="6"/>
        <v>#DIV/0!</v>
      </c>
      <c r="T18" s="21" t="e">
        <f t="shared" si="6"/>
        <v>#DIV/0!</v>
      </c>
      <c r="U18" s="21" t="e">
        <f t="shared" si="6"/>
        <v>#DIV/0!</v>
      </c>
      <c r="V18" s="21" t="e">
        <f t="shared" si="6"/>
        <v>#DIV/0!</v>
      </c>
      <c r="W18" s="21" t="e">
        <f t="shared" si="6"/>
        <v>#DIV/0!</v>
      </c>
      <c r="X18" s="21" t="e">
        <f t="shared" si="6"/>
        <v>#DIV/0!</v>
      </c>
      <c r="Y18" s="21" t="e">
        <f t="shared" si="6"/>
        <v>#DIV/0!</v>
      </c>
      <c r="Z18" s="21" t="e">
        <f t="shared" si="6"/>
        <v>#DIV/0!</v>
      </c>
      <c r="AA18" s="21" t="e">
        <f t="shared" si="6"/>
        <v>#DIV/0!</v>
      </c>
      <c r="AB18" s="21" t="e">
        <f t="shared" si="6"/>
        <v>#DIV/0!</v>
      </c>
      <c r="AC18" s="21" t="e">
        <f t="shared" si="6"/>
        <v>#DIV/0!</v>
      </c>
      <c r="AD18" s="21" t="e">
        <f t="shared" si="6"/>
        <v>#DIV/0!</v>
      </c>
      <c r="AE18" s="21" t="e">
        <f t="shared" si="6"/>
        <v>#DIV/0!</v>
      </c>
      <c r="AF18" s="21" t="e">
        <f t="shared" si="6"/>
        <v>#DIV/0!</v>
      </c>
      <c r="AG18" s="21" t="e">
        <f t="shared" si="6"/>
        <v>#DIV/0!</v>
      </c>
      <c r="AH18" s="21" t="e">
        <f t="shared" si="6"/>
        <v>#DIV/0!</v>
      </c>
      <c r="AI18" s="21" t="e">
        <f t="shared" si="6"/>
        <v>#DIV/0!</v>
      </c>
      <c r="AJ18" s="21" t="e">
        <f t="shared" si="6"/>
        <v>#DIV/0!</v>
      </c>
      <c r="AK18" s="21" t="e">
        <f t="shared" si="6"/>
        <v>#DIV/0!</v>
      </c>
      <c r="AL18" s="21" t="e">
        <f t="shared" si="6"/>
        <v>#DIV/0!</v>
      </c>
      <c r="AM18" s="21" t="e">
        <f t="shared" si="6"/>
        <v>#DIV/0!</v>
      </c>
      <c r="AN18" s="21" t="e">
        <f t="shared" si="6"/>
        <v>#DIV/0!</v>
      </c>
      <c r="AO18" s="21" t="e">
        <f t="shared" si="6"/>
        <v>#DIV/0!</v>
      </c>
      <c r="AP18" s="21" t="e">
        <f t="shared" si="6"/>
        <v>#DIV/0!</v>
      </c>
      <c r="AQ18" s="21" t="e">
        <f t="shared" si="6"/>
        <v>#DIV/0!</v>
      </c>
      <c r="AR18" s="21" t="e">
        <f t="shared" si="6"/>
        <v>#DIV/0!</v>
      </c>
      <c r="AS18" s="21" t="e">
        <f t="shared" si="6"/>
        <v>#DIV/0!</v>
      </c>
      <c r="AT18" s="21" t="e">
        <f t="shared" si="6"/>
        <v>#DIV/0!</v>
      </c>
      <c r="AU18" s="21" t="e">
        <f t="shared" si="6"/>
        <v>#DIV/0!</v>
      </c>
      <c r="AV18" s="21" t="e">
        <f t="shared" si="6"/>
        <v>#DIV/0!</v>
      </c>
      <c r="AW18" s="21" t="e">
        <f t="shared" si="6"/>
        <v>#DIV/0!</v>
      </c>
      <c r="AX18" s="21" t="e">
        <f t="shared" si="6"/>
        <v>#DIV/0!</v>
      </c>
      <c r="AY18" s="1">
        <f t="shared" si="4"/>
        <v>1.6123212936309805E-2</v>
      </c>
      <c r="AZ18" s="1">
        <f t="shared" si="5"/>
        <v>-4.2470887158054804E-2</v>
      </c>
    </row>
    <row r="19" spans="2:52" ht="11.25" customHeight="1" outlineLevel="1" x14ac:dyDescent="0.3">
      <c r="B19" s="13" t="s">
        <v>112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AY19" s="16"/>
      <c r="AZ19" s="16"/>
    </row>
    <row r="20" spans="2:52" ht="11.25" customHeight="1" outlineLevel="1" x14ac:dyDescent="0.3">
      <c r="B20" s="22" t="s">
        <v>45</v>
      </c>
      <c r="C20" s="20">
        <v>0</v>
      </c>
      <c r="D20" s="20">
        <v>26</v>
      </c>
      <c r="E20" s="20">
        <v>608</v>
      </c>
      <c r="F20" s="18">
        <v>3503</v>
      </c>
      <c r="G20" s="18">
        <v>2970</v>
      </c>
      <c r="H20" s="17">
        <v>2291</v>
      </c>
      <c r="I20" s="17">
        <v>2999</v>
      </c>
      <c r="J20" s="17">
        <v>2200</v>
      </c>
      <c r="K20" s="17">
        <v>2228</v>
      </c>
      <c r="L20" s="17">
        <v>6244</v>
      </c>
      <c r="M20" s="17">
        <v>5927</v>
      </c>
      <c r="N20" s="17">
        <v>5648</v>
      </c>
      <c r="O20" s="17">
        <f>Summary!O14</f>
        <v>6061</v>
      </c>
      <c r="AY20" s="1">
        <f t="shared" ref="AY20:AY25" si="7">O20/N20-1</f>
        <v>7.3123229461756312E-2</v>
      </c>
      <c r="AZ20" s="1">
        <f t="shared" ref="AZ20:AZ25" si="8">O20/L20-1</f>
        <v>-2.9308135810377944E-2</v>
      </c>
    </row>
    <row r="21" spans="2:52" ht="11.25" customHeight="1" outlineLevel="1" x14ac:dyDescent="0.3">
      <c r="B21" s="22" t="s">
        <v>46</v>
      </c>
      <c r="C21" s="20">
        <v>0</v>
      </c>
      <c r="D21" s="20">
        <v>73</v>
      </c>
      <c r="E21" s="20">
        <v>970</v>
      </c>
      <c r="F21" s="18">
        <v>6255</v>
      </c>
      <c r="G21" s="18">
        <v>6248</v>
      </c>
      <c r="H21" s="17">
        <v>5623</v>
      </c>
      <c r="I21" s="17">
        <v>7475</v>
      </c>
      <c r="J21" s="17">
        <v>5876</v>
      </c>
      <c r="K21" s="17">
        <v>5598</v>
      </c>
      <c r="L21" s="17">
        <v>14901</v>
      </c>
      <c r="M21" s="17">
        <v>14900</v>
      </c>
      <c r="N21" s="17">
        <v>16640</v>
      </c>
      <c r="O21" s="17">
        <f>Summary!O15</f>
        <v>18886</v>
      </c>
      <c r="AY21" s="1">
        <f t="shared" si="7"/>
        <v>0.13497596153846159</v>
      </c>
      <c r="AZ21" s="1">
        <f t="shared" si="8"/>
        <v>0.26743171599221527</v>
      </c>
    </row>
    <row r="22" spans="2:52" ht="11.25" customHeight="1" outlineLevel="1" x14ac:dyDescent="0.3">
      <c r="B22" s="22" t="s">
        <v>114</v>
      </c>
      <c r="C22" s="71">
        <v>0</v>
      </c>
      <c r="D22" s="71">
        <v>86.79</v>
      </c>
      <c r="E22" s="71">
        <v>19.72</v>
      </c>
      <c r="F22" s="71">
        <v>14.76</v>
      </c>
      <c r="G22" s="35">
        <v>16.79</v>
      </c>
      <c r="H22" s="35">
        <v>17.309999999999999</v>
      </c>
      <c r="I22" s="35">
        <v>17.14</v>
      </c>
      <c r="J22" s="35">
        <v>16.649999999999999</v>
      </c>
      <c r="K22" s="35">
        <v>16.82</v>
      </c>
      <c r="L22" s="58">
        <v>16.57</v>
      </c>
      <c r="M22" s="58">
        <v>17.16</v>
      </c>
      <c r="N22" s="58">
        <v>18.98</v>
      </c>
      <c r="O22" s="58">
        <v>19.09</v>
      </c>
      <c r="AY22" s="1">
        <f t="shared" si="7"/>
        <v>5.7955742887250139E-3</v>
      </c>
      <c r="AZ22" s="1">
        <f t="shared" si="8"/>
        <v>0.15208207604103796</v>
      </c>
    </row>
    <row r="23" spans="2:52" ht="11.25" customHeight="1" x14ac:dyDescent="0.3">
      <c r="B23" s="22" t="s">
        <v>50</v>
      </c>
      <c r="C23" s="72">
        <v>0</v>
      </c>
      <c r="D23" s="72">
        <v>2.4988425925925928E-2</v>
      </c>
      <c r="E23" s="72">
        <v>4.5949074074074078E-3</v>
      </c>
      <c r="F23" s="72">
        <v>2.9050925925925928E-3</v>
      </c>
      <c r="G23" s="72">
        <v>3.6574074074074074E-3</v>
      </c>
      <c r="H23" s="72">
        <v>3.5069444444444445E-3</v>
      </c>
      <c r="I23" s="72">
        <v>3.5069444444444445E-3</v>
      </c>
      <c r="J23" s="72">
        <v>3.5879629629629629E-3</v>
      </c>
      <c r="K23" s="72">
        <v>3.5763888888888894E-3</v>
      </c>
      <c r="L23" s="72">
        <v>3.8078703703703707E-3</v>
      </c>
      <c r="M23" s="72">
        <v>3.9930555555555561E-3</v>
      </c>
      <c r="N23" s="72">
        <v>4.2708333333333339E-3</v>
      </c>
      <c r="O23" s="72">
        <v>4.2013888888888891E-3</v>
      </c>
      <c r="AY23" s="1">
        <f t="shared" si="7"/>
        <v>-1.6260162601626105E-2</v>
      </c>
      <c r="AZ23" s="1">
        <f t="shared" si="8"/>
        <v>0.10334346504559266</v>
      </c>
    </row>
    <row r="24" spans="2:52" ht="11.25" customHeight="1" x14ac:dyDescent="0.3">
      <c r="B24" s="22" t="s">
        <v>9</v>
      </c>
      <c r="C24" s="20"/>
      <c r="D24" s="20">
        <v>0</v>
      </c>
      <c r="E24" s="20">
        <v>95</v>
      </c>
      <c r="F24" s="18">
        <v>727</v>
      </c>
      <c r="G24" s="18">
        <v>1099</v>
      </c>
      <c r="H24" s="17">
        <v>1445</v>
      </c>
      <c r="I24" s="17">
        <v>2007</v>
      </c>
      <c r="J24" s="17">
        <v>1980</v>
      </c>
      <c r="K24" s="17">
        <v>1868</v>
      </c>
      <c r="L24" s="17">
        <v>3638</v>
      </c>
      <c r="M24" s="17">
        <v>4459</v>
      </c>
      <c r="N24" s="17">
        <v>5804</v>
      </c>
      <c r="O24" s="17">
        <f>Summary!O16</f>
        <v>6918</v>
      </c>
      <c r="AY24" s="1">
        <f t="shared" si="7"/>
        <v>0.19193659545141273</v>
      </c>
      <c r="AZ24" s="1">
        <f t="shared" si="8"/>
        <v>0.90159428257284224</v>
      </c>
    </row>
    <row r="25" spans="2:52" ht="11.25" customHeight="1" x14ac:dyDescent="0.3">
      <c r="B25" s="22" t="s">
        <v>51</v>
      </c>
      <c r="C25" s="21" t="e">
        <f t="shared" ref="C25:O25" si="9">C24/C21</f>
        <v>#DIV/0!</v>
      </c>
      <c r="D25" s="21">
        <f t="shared" si="9"/>
        <v>0</v>
      </c>
      <c r="E25" s="21">
        <f t="shared" si="9"/>
        <v>9.7938144329896906E-2</v>
      </c>
      <c r="F25" s="21">
        <f t="shared" si="9"/>
        <v>0.11622701838529177</v>
      </c>
      <c r="G25" s="21">
        <f t="shared" si="9"/>
        <v>0.17589628681177977</v>
      </c>
      <c r="H25" s="21">
        <f t="shared" si="9"/>
        <v>0.2569802596478748</v>
      </c>
      <c r="I25" s="21">
        <f t="shared" si="9"/>
        <v>0.26849498327759197</v>
      </c>
      <c r="J25" s="21">
        <f t="shared" si="9"/>
        <v>0.33696392103471751</v>
      </c>
      <c r="K25" s="21">
        <f t="shared" si="9"/>
        <v>0.33369060378706683</v>
      </c>
      <c r="L25" s="21">
        <f t="shared" si="9"/>
        <v>0.24414468827595465</v>
      </c>
      <c r="M25" s="21">
        <f t="shared" si="9"/>
        <v>0.29926174496644298</v>
      </c>
      <c r="N25" s="21">
        <f t="shared" si="9"/>
        <v>0.34879807692307691</v>
      </c>
      <c r="O25" s="21">
        <f t="shared" si="9"/>
        <v>0.36630308164778141</v>
      </c>
      <c r="AY25" s="1">
        <f t="shared" si="7"/>
        <v>5.018664345607915E-2</v>
      </c>
      <c r="AZ25" s="1">
        <f t="shared" si="8"/>
        <v>0.50035245179592924</v>
      </c>
    </row>
    <row r="26" spans="2:52" ht="11.25" customHeight="1" x14ac:dyDescent="0.3">
      <c r="B26" s="17"/>
      <c r="C26" s="17"/>
      <c r="D26" s="17"/>
      <c r="E26" s="17"/>
      <c r="F26" s="17"/>
      <c r="G26" s="17"/>
      <c r="AY26" s="17"/>
    </row>
    <row r="27" spans="2:52" ht="11.25" customHeight="1" x14ac:dyDescent="0.3">
      <c r="G27" s="17"/>
      <c r="AY27" s="1" t="str">
        <f>IFERROR(HLOOKUP(LARGE($2:$2,1),$C$2:$XFD$22,ROW(AI11),FALSE)/HLOOKUP(LARGE($2:$2,2),$C$2:$XFD$22,ROW(AI11),FALSE)-1,"")</f>
        <v/>
      </c>
      <c r="AZ27" s="1" t="str">
        <f>IFERROR(HLOOKUP(LARGE($2:$2,1),$C$2:$XFD$22,ROW(AJ11),FALSE)/HLOOKUP(LARGE($2:$2,4),$C$2:$XFD$22,ROW(AJ11),FALSE)-1,"")</f>
        <v/>
      </c>
    </row>
    <row r="28" spans="2:52" ht="11.25" customHeight="1" x14ac:dyDescent="0.3">
      <c r="B28" s="13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AY28" s="16"/>
      <c r="AZ28" s="16"/>
    </row>
    <row r="29" spans="2:52" ht="11.25" customHeight="1" x14ac:dyDescent="0.3">
      <c r="B29" s="22" t="s">
        <v>45</v>
      </c>
      <c r="C29" s="19">
        <v>15259</v>
      </c>
      <c r="D29" s="19">
        <v>16117</v>
      </c>
      <c r="E29" s="19">
        <v>15658</v>
      </c>
      <c r="F29" s="19">
        <v>17264</v>
      </c>
      <c r="G29" s="17">
        <v>17824</v>
      </c>
      <c r="H29" s="17">
        <v>21271</v>
      </c>
      <c r="I29" s="17">
        <v>25737</v>
      </c>
      <c r="J29" s="17">
        <v>20104</v>
      </c>
      <c r="K29" s="17">
        <v>20630</v>
      </c>
      <c r="L29" s="17">
        <v>28274</v>
      </c>
      <c r="M29" s="17">
        <v>31532</v>
      </c>
      <c r="N29" s="17">
        <v>35061</v>
      </c>
      <c r="O29" s="17">
        <v>36869</v>
      </c>
      <c r="AY29" s="1">
        <f t="shared" ref="AY29:AY36" si="10">O29/N29-1</f>
        <v>5.156726847494375E-2</v>
      </c>
      <c r="AZ29" s="1">
        <f t="shared" ref="AZ29:AZ36" si="11">O29/L29-1</f>
        <v>0.30398953101789639</v>
      </c>
    </row>
    <row r="30" spans="2:52" ht="11.25" customHeight="1" x14ac:dyDescent="0.3">
      <c r="B30" s="22" t="s">
        <v>46</v>
      </c>
      <c r="C30" s="19">
        <v>24545</v>
      </c>
      <c r="D30" s="19">
        <v>28496</v>
      </c>
      <c r="E30" s="19">
        <v>27410</v>
      </c>
      <c r="F30" s="19">
        <v>30480</v>
      </c>
      <c r="G30" s="17">
        <v>28753</v>
      </c>
      <c r="H30" s="17">
        <v>38791</v>
      </c>
      <c r="I30" s="17">
        <v>46273</v>
      </c>
      <c r="J30" s="17">
        <v>32396</v>
      </c>
      <c r="K30" s="17">
        <v>30190</v>
      </c>
      <c r="L30" s="17">
        <v>49956</v>
      </c>
      <c r="M30" s="17">
        <v>55292</v>
      </c>
      <c r="N30" s="17">
        <v>64073</v>
      </c>
      <c r="O30" s="17">
        <v>64674</v>
      </c>
      <c r="AY30" s="1">
        <f t="shared" si="10"/>
        <v>9.3799260218812019E-3</v>
      </c>
      <c r="AZ30" s="1">
        <f t="shared" si="11"/>
        <v>0.29461926495315871</v>
      </c>
    </row>
    <row r="31" spans="2:52" ht="11.25" customHeight="1" x14ac:dyDescent="0.3">
      <c r="B31" s="22" t="s">
        <v>47</v>
      </c>
      <c r="C31" s="19">
        <v>122454</v>
      </c>
      <c r="D31" s="19">
        <v>137737</v>
      </c>
      <c r="E31" s="19">
        <v>136743</v>
      </c>
      <c r="F31" s="19">
        <v>147719</v>
      </c>
      <c r="G31" s="17">
        <v>129192</v>
      </c>
      <c r="H31" s="17">
        <v>180298</v>
      </c>
      <c r="I31" s="17">
        <v>230172</v>
      </c>
      <c r="J31" s="17">
        <v>158731</v>
      </c>
      <c r="K31" s="17">
        <v>134533</v>
      </c>
      <c r="L31" s="17">
        <v>265997</v>
      </c>
      <c r="M31" s="17">
        <v>269237</v>
      </c>
      <c r="N31" s="17">
        <v>345668</v>
      </c>
      <c r="O31" s="17">
        <v>340190</v>
      </c>
      <c r="AY31" s="1">
        <f t="shared" si="10"/>
        <v>-1.5847576287073117E-2</v>
      </c>
      <c r="AZ31" s="1">
        <f t="shared" si="11"/>
        <v>0.27892419839321492</v>
      </c>
    </row>
    <row r="32" spans="2:52" ht="11.25" customHeight="1" x14ac:dyDescent="0.3">
      <c r="B32" s="22" t="s">
        <v>48</v>
      </c>
      <c r="C32" s="59">
        <v>4.82</v>
      </c>
      <c r="D32" s="59">
        <v>4.92</v>
      </c>
      <c r="E32" s="59">
        <v>4.8</v>
      </c>
      <c r="F32" s="59">
        <v>4.87</v>
      </c>
      <c r="G32" s="58">
        <v>4.51</v>
      </c>
      <c r="H32" s="58">
        <v>4.84</v>
      </c>
      <c r="I32" s="58">
        <v>5.16</v>
      </c>
      <c r="J32" s="58">
        <v>4.75</v>
      </c>
      <c r="K32" s="58">
        <v>4.3499999999999996</v>
      </c>
      <c r="L32" s="58">
        <v>5.15</v>
      </c>
      <c r="M32" s="58">
        <v>4.96</v>
      </c>
      <c r="N32" s="58">
        <v>5.39</v>
      </c>
      <c r="O32" s="58">
        <v>5.26</v>
      </c>
      <c r="AY32" s="1">
        <f t="shared" si="10"/>
        <v>-2.4118738404452666E-2</v>
      </c>
      <c r="AZ32" s="1">
        <f t="shared" si="11"/>
        <v>2.1359223300970731E-2</v>
      </c>
    </row>
    <row r="33" spans="2:52" ht="11.25" customHeight="1" x14ac:dyDescent="0.3">
      <c r="B33" s="22" t="s">
        <v>50</v>
      </c>
      <c r="C33" s="58">
        <v>5.04</v>
      </c>
      <c r="D33" s="58">
        <v>5.07</v>
      </c>
      <c r="E33" s="58">
        <v>5.05</v>
      </c>
      <c r="F33" s="58">
        <v>5.09</v>
      </c>
      <c r="G33" s="58">
        <v>4.51</v>
      </c>
      <c r="H33" s="58">
        <v>5.0599999999999996</v>
      </c>
      <c r="I33" s="58">
        <v>5.25</v>
      </c>
      <c r="J33" s="58">
        <v>4.55</v>
      </c>
      <c r="K33" s="58">
        <v>4.3899999999999997</v>
      </c>
      <c r="L33" s="58">
        <v>5.44</v>
      </c>
      <c r="M33" s="58">
        <v>5.35</v>
      </c>
      <c r="N33" s="58">
        <v>5.56</v>
      </c>
      <c r="O33" s="58">
        <v>5.39</v>
      </c>
      <c r="AY33" s="1">
        <f t="shared" si="10"/>
        <v>-3.0575539568345356E-2</v>
      </c>
      <c r="AZ33" s="1">
        <f t="shared" si="11"/>
        <v>-9.1911764705883137E-3</v>
      </c>
    </row>
    <row r="34" spans="2:52" ht="11.25" customHeight="1" x14ac:dyDescent="0.3">
      <c r="B34" s="22" t="s">
        <v>117</v>
      </c>
      <c r="C34" s="17">
        <v>184</v>
      </c>
      <c r="D34" s="17">
        <v>513</v>
      </c>
      <c r="E34" s="17">
        <v>648</v>
      </c>
      <c r="F34" s="17">
        <v>614</v>
      </c>
      <c r="G34" s="17">
        <v>607</v>
      </c>
      <c r="H34" s="17">
        <v>1046</v>
      </c>
      <c r="I34" s="17">
        <v>1363</v>
      </c>
      <c r="J34" s="17">
        <v>884</v>
      </c>
      <c r="K34" s="17">
        <v>735</v>
      </c>
      <c r="L34" s="17">
        <v>1741</v>
      </c>
      <c r="M34" s="17">
        <v>1545</v>
      </c>
      <c r="N34" s="17">
        <v>1879</v>
      </c>
      <c r="O34" s="77">
        <v>1667</v>
      </c>
      <c r="AY34" s="1">
        <f t="shared" si="10"/>
        <v>-0.11282597126130922</v>
      </c>
      <c r="AZ34" s="1">
        <f t="shared" si="11"/>
        <v>-4.2504307869040803E-2</v>
      </c>
    </row>
    <row r="35" spans="2:52" ht="11.25" customHeight="1" x14ac:dyDescent="0.3">
      <c r="B35" s="22" t="s">
        <v>9</v>
      </c>
      <c r="C35" s="19">
        <v>6553</v>
      </c>
      <c r="D35" s="19">
        <v>8446</v>
      </c>
      <c r="E35" s="19">
        <v>8271</v>
      </c>
      <c r="F35" s="19">
        <v>9593</v>
      </c>
      <c r="G35" s="17">
        <v>7967</v>
      </c>
      <c r="H35" s="17">
        <v>12690</v>
      </c>
      <c r="I35" s="17">
        <v>15388</v>
      </c>
      <c r="J35" s="17">
        <v>9479</v>
      </c>
      <c r="K35" s="17">
        <v>7387</v>
      </c>
      <c r="L35" s="17">
        <v>15968</v>
      </c>
      <c r="M35" s="17">
        <v>17318</v>
      </c>
      <c r="N35" s="17">
        <v>21282</v>
      </c>
      <c r="O35" s="17">
        <v>20599</v>
      </c>
      <c r="AY35" s="1">
        <f t="shared" si="10"/>
        <v>-3.2092848416502173E-2</v>
      </c>
      <c r="AZ35" s="1">
        <f t="shared" si="11"/>
        <v>0.29001753507014039</v>
      </c>
    </row>
    <row r="36" spans="2:52" ht="11.25" customHeight="1" x14ac:dyDescent="0.3">
      <c r="B36" s="22" t="s">
        <v>51</v>
      </c>
      <c r="C36" s="21">
        <f t="shared" ref="C36:AX36" si="12">C35/C30</f>
        <v>0.26697901812996538</v>
      </c>
      <c r="D36" s="21">
        <f t="shared" si="12"/>
        <v>0.2963924761370017</v>
      </c>
      <c r="E36" s="21">
        <f t="shared" si="12"/>
        <v>0.30175118569865012</v>
      </c>
      <c r="F36" s="21">
        <f t="shared" si="12"/>
        <v>0.31473097112860893</v>
      </c>
      <c r="G36" s="21">
        <f t="shared" si="12"/>
        <v>0.2770841303516155</v>
      </c>
      <c r="H36" s="21">
        <f t="shared" si="12"/>
        <v>0.32713773813513441</v>
      </c>
      <c r="I36" s="21">
        <f t="shared" si="12"/>
        <v>0.33254813822315388</v>
      </c>
      <c r="J36" s="21">
        <f t="shared" si="12"/>
        <v>0.29259785158661561</v>
      </c>
      <c r="K36" s="21">
        <f t="shared" si="12"/>
        <v>0.24468367008943359</v>
      </c>
      <c r="L36" s="21">
        <f t="shared" si="12"/>
        <v>0.31964128433021061</v>
      </c>
      <c r="M36" s="21">
        <f t="shared" si="12"/>
        <v>0.31320986761195108</v>
      </c>
      <c r="N36" s="21">
        <f t="shared" si="12"/>
        <v>0.33215238868165997</v>
      </c>
      <c r="O36" s="21">
        <f t="shared" si="12"/>
        <v>0.31850511797631198</v>
      </c>
      <c r="P36" s="21" t="e">
        <f t="shared" si="12"/>
        <v>#DIV/0!</v>
      </c>
      <c r="Q36" s="21" t="e">
        <f t="shared" si="12"/>
        <v>#DIV/0!</v>
      </c>
      <c r="R36" s="21" t="e">
        <f t="shared" si="12"/>
        <v>#DIV/0!</v>
      </c>
      <c r="S36" s="21" t="e">
        <f t="shared" si="12"/>
        <v>#DIV/0!</v>
      </c>
      <c r="T36" s="21" t="e">
        <f t="shared" si="12"/>
        <v>#DIV/0!</v>
      </c>
      <c r="U36" s="21" t="e">
        <f t="shared" si="12"/>
        <v>#DIV/0!</v>
      </c>
      <c r="V36" s="21" t="e">
        <f t="shared" si="12"/>
        <v>#DIV/0!</v>
      </c>
      <c r="W36" s="21" t="e">
        <f t="shared" si="12"/>
        <v>#DIV/0!</v>
      </c>
      <c r="X36" s="21" t="e">
        <f t="shared" si="12"/>
        <v>#DIV/0!</v>
      </c>
      <c r="Y36" s="21" t="e">
        <f t="shared" si="12"/>
        <v>#DIV/0!</v>
      </c>
      <c r="Z36" s="21" t="e">
        <f t="shared" si="12"/>
        <v>#DIV/0!</v>
      </c>
      <c r="AA36" s="21" t="e">
        <f t="shared" si="12"/>
        <v>#DIV/0!</v>
      </c>
      <c r="AB36" s="21" t="e">
        <f t="shared" si="12"/>
        <v>#DIV/0!</v>
      </c>
      <c r="AC36" s="21" t="e">
        <f t="shared" si="12"/>
        <v>#DIV/0!</v>
      </c>
      <c r="AD36" s="21" t="e">
        <f t="shared" si="12"/>
        <v>#DIV/0!</v>
      </c>
      <c r="AE36" s="21" t="e">
        <f t="shared" si="12"/>
        <v>#DIV/0!</v>
      </c>
      <c r="AF36" s="21" t="e">
        <f t="shared" si="12"/>
        <v>#DIV/0!</v>
      </c>
      <c r="AG36" s="21" t="e">
        <f t="shared" si="12"/>
        <v>#DIV/0!</v>
      </c>
      <c r="AH36" s="21" t="e">
        <f t="shared" si="12"/>
        <v>#DIV/0!</v>
      </c>
      <c r="AI36" s="21" t="e">
        <f t="shared" si="12"/>
        <v>#DIV/0!</v>
      </c>
      <c r="AJ36" s="21" t="e">
        <f t="shared" si="12"/>
        <v>#DIV/0!</v>
      </c>
      <c r="AK36" s="21" t="e">
        <f t="shared" si="12"/>
        <v>#DIV/0!</v>
      </c>
      <c r="AL36" s="21" t="e">
        <f t="shared" si="12"/>
        <v>#DIV/0!</v>
      </c>
      <c r="AM36" s="21" t="e">
        <f t="shared" si="12"/>
        <v>#DIV/0!</v>
      </c>
      <c r="AN36" s="21" t="e">
        <f t="shared" si="12"/>
        <v>#DIV/0!</v>
      </c>
      <c r="AO36" s="21" t="e">
        <f t="shared" si="12"/>
        <v>#DIV/0!</v>
      </c>
      <c r="AP36" s="21" t="e">
        <f t="shared" si="12"/>
        <v>#DIV/0!</v>
      </c>
      <c r="AQ36" s="21" t="e">
        <f t="shared" si="12"/>
        <v>#DIV/0!</v>
      </c>
      <c r="AR36" s="21" t="e">
        <f t="shared" si="12"/>
        <v>#DIV/0!</v>
      </c>
      <c r="AS36" s="21" t="e">
        <f t="shared" si="12"/>
        <v>#DIV/0!</v>
      </c>
      <c r="AT36" s="21" t="e">
        <f t="shared" si="12"/>
        <v>#DIV/0!</v>
      </c>
      <c r="AU36" s="21" t="e">
        <f t="shared" si="12"/>
        <v>#DIV/0!</v>
      </c>
      <c r="AV36" s="21" t="e">
        <f t="shared" si="12"/>
        <v>#DIV/0!</v>
      </c>
      <c r="AW36" s="21" t="e">
        <f t="shared" si="12"/>
        <v>#DIV/0!</v>
      </c>
      <c r="AX36" s="21" t="e">
        <f t="shared" si="12"/>
        <v>#DIV/0!</v>
      </c>
      <c r="AY36" s="1">
        <f t="shared" si="10"/>
        <v>-4.1087377873496922E-2</v>
      </c>
      <c r="AZ36" s="1">
        <f t="shared" si="11"/>
        <v>-3.5545044072745613E-3</v>
      </c>
    </row>
    <row r="40" spans="2:52" ht="11.25" customHeight="1" x14ac:dyDescent="0.3">
      <c r="B40" s="13" t="s">
        <v>118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AY40" s="16"/>
      <c r="AZ40" s="16"/>
    </row>
    <row r="41" spans="2:52" ht="11.25" customHeight="1" x14ac:dyDescent="0.3">
      <c r="B41" s="22" t="s">
        <v>45</v>
      </c>
      <c r="C41" s="19">
        <v>6142</v>
      </c>
      <c r="D41" s="19">
        <v>6021</v>
      </c>
      <c r="E41" s="19">
        <v>6460</v>
      </c>
      <c r="F41" s="19">
        <v>6864</v>
      </c>
      <c r="G41" s="17">
        <v>6283</v>
      </c>
      <c r="H41" s="17">
        <v>7544</v>
      </c>
      <c r="I41" s="17">
        <v>10619</v>
      </c>
      <c r="J41" s="17">
        <v>5164</v>
      </c>
      <c r="K41" s="17">
        <v>4335</v>
      </c>
      <c r="L41" s="17">
        <v>8713</v>
      </c>
      <c r="M41" s="17">
        <v>10803</v>
      </c>
      <c r="N41" s="17">
        <v>13345</v>
      </c>
      <c r="O41" s="17">
        <v>12762</v>
      </c>
      <c r="AY41" s="1">
        <f t="shared" ref="AY41:AY48" si="13">O41/N41-1</f>
        <v>-4.3686774072686396E-2</v>
      </c>
      <c r="AZ41" s="1">
        <f t="shared" ref="AZ41:AZ48" si="14">O41/L41-1</f>
        <v>0.46470790772409054</v>
      </c>
    </row>
    <row r="42" spans="2:52" ht="11.25" customHeight="1" x14ac:dyDescent="0.3">
      <c r="B42" s="22" t="s">
        <v>46</v>
      </c>
      <c r="C42" s="19">
        <v>12411</v>
      </c>
      <c r="D42" s="19">
        <v>13622</v>
      </c>
      <c r="E42" s="19">
        <v>16895</v>
      </c>
      <c r="F42" s="19">
        <v>17816</v>
      </c>
      <c r="G42" s="17">
        <v>14656</v>
      </c>
      <c r="H42" s="17">
        <v>18553</v>
      </c>
      <c r="I42" s="17">
        <v>24885</v>
      </c>
      <c r="J42" s="17">
        <v>11717</v>
      </c>
      <c r="K42" s="17">
        <v>11001</v>
      </c>
      <c r="L42" s="17">
        <v>21797</v>
      </c>
      <c r="M42" s="17">
        <v>27336</v>
      </c>
      <c r="N42" s="17">
        <v>32373</v>
      </c>
      <c r="O42" s="17">
        <v>30532</v>
      </c>
      <c r="AY42" s="1">
        <f t="shared" si="13"/>
        <v>-5.6868377969295447E-2</v>
      </c>
      <c r="AZ42" s="1">
        <f t="shared" si="14"/>
        <v>0.40074322154424924</v>
      </c>
    </row>
    <row r="43" spans="2:52" ht="11.25" customHeight="1" x14ac:dyDescent="0.3">
      <c r="B43" s="22" t="s">
        <v>47</v>
      </c>
      <c r="F43" s="19"/>
      <c r="G43" s="17"/>
      <c r="AY43" s="1" t="e">
        <f t="shared" si="13"/>
        <v>#DIV/0!</v>
      </c>
      <c r="AZ43" s="1" t="e">
        <f t="shared" si="14"/>
        <v>#DIV/0!</v>
      </c>
    </row>
    <row r="44" spans="2:52" ht="11.25" customHeight="1" x14ac:dyDescent="0.3">
      <c r="B44" s="22" t="s">
        <v>48</v>
      </c>
      <c r="C44" s="59">
        <v>6.1180404479896868</v>
      </c>
      <c r="D44" s="59">
        <v>6.3729261488768172</v>
      </c>
      <c r="E44" s="59">
        <v>6.3584492453388579</v>
      </c>
      <c r="F44" s="59">
        <v>6.4472384373596769</v>
      </c>
      <c r="G44" s="58">
        <v>6.1567958515283845</v>
      </c>
      <c r="H44" s="58">
        <v>6.4419770387538406</v>
      </c>
      <c r="I44" s="58">
        <v>6.0459312839059676</v>
      </c>
      <c r="J44" s="58">
        <v>6.247674319365025</v>
      </c>
      <c r="K44" s="58">
        <v>5.8687392055267704</v>
      </c>
      <c r="L44" s="58">
        <v>5.8286920218378677</v>
      </c>
      <c r="M44" s="58">
        <v>6.2975929177641206</v>
      </c>
      <c r="N44" s="58">
        <v>6.46</v>
      </c>
      <c r="O44" s="58">
        <v>6.48</v>
      </c>
      <c r="AY44" s="1">
        <f t="shared" si="13"/>
        <v>3.0959752321981782E-3</v>
      </c>
      <c r="AZ44" s="1">
        <f t="shared" si="14"/>
        <v>0.11174170392292693</v>
      </c>
    </row>
    <row r="45" spans="2:52" ht="11.25" customHeight="1" x14ac:dyDescent="0.3">
      <c r="B45" s="22" t="s">
        <v>50</v>
      </c>
      <c r="C45" s="72">
        <v>4.6296296296296302E-3</v>
      </c>
      <c r="D45" s="72">
        <v>4.5717592592592589E-3</v>
      </c>
      <c r="E45" s="72">
        <v>4.5717592592592589E-3</v>
      </c>
      <c r="F45" s="72">
        <v>4.4212962962962956E-3</v>
      </c>
      <c r="G45" s="72">
        <v>4.6759259259259263E-3</v>
      </c>
      <c r="H45" s="72">
        <v>4.4907407407407405E-3</v>
      </c>
      <c r="I45" s="72">
        <v>4.4328703703703709E-3</v>
      </c>
      <c r="J45" s="72">
        <v>4.6180555555555558E-3</v>
      </c>
      <c r="K45" s="72">
        <v>4.8495370370370368E-3</v>
      </c>
      <c r="L45" s="72">
        <v>4.6296296296296302E-3</v>
      </c>
      <c r="M45" s="72">
        <v>4.9652777777777777E-3</v>
      </c>
      <c r="N45" s="72">
        <v>4.9421296296296288E-3</v>
      </c>
      <c r="O45" s="72">
        <v>4.9074074074074072E-3</v>
      </c>
      <c r="AY45" s="1">
        <f t="shared" si="13"/>
        <v>-7.0257611241216766E-3</v>
      </c>
      <c r="AZ45" s="1">
        <f t="shared" si="14"/>
        <v>5.9999999999999831E-2</v>
      </c>
    </row>
    <row r="46" spans="2:52" ht="11.25" customHeight="1" x14ac:dyDescent="0.3">
      <c r="B46" s="22" t="s">
        <v>117</v>
      </c>
      <c r="C46" s="17">
        <v>50</v>
      </c>
      <c r="D46" s="17">
        <v>113</v>
      </c>
      <c r="E46" s="17">
        <v>135</v>
      </c>
      <c r="F46" s="17">
        <v>156</v>
      </c>
      <c r="G46" s="17">
        <v>64</v>
      </c>
      <c r="H46" s="17">
        <v>135</v>
      </c>
      <c r="I46" s="17">
        <v>298</v>
      </c>
      <c r="J46" s="17">
        <v>78</v>
      </c>
      <c r="K46" s="17">
        <v>106</v>
      </c>
      <c r="L46" s="17">
        <v>290</v>
      </c>
      <c r="M46" s="17">
        <v>496</v>
      </c>
      <c r="N46" s="17">
        <v>931</v>
      </c>
      <c r="O46" s="77">
        <v>657</v>
      </c>
      <c r="AY46" s="1">
        <f t="shared" si="13"/>
        <v>-0.29430719656283566</v>
      </c>
      <c r="AZ46" s="1">
        <f t="shared" si="14"/>
        <v>1.2655172413793103</v>
      </c>
    </row>
    <row r="47" spans="2:52" ht="11.25" customHeight="1" x14ac:dyDescent="0.3">
      <c r="B47" s="22" t="s">
        <v>9</v>
      </c>
      <c r="C47" s="19">
        <v>4987</v>
      </c>
      <c r="D47" s="19">
        <v>5816</v>
      </c>
      <c r="E47" s="19">
        <v>7084</v>
      </c>
      <c r="F47" s="19">
        <v>7530</v>
      </c>
      <c r="G47" s="17">
        <v>6531</v>
      </c>
      <c r="H47" s="17">
        <v>9436</v>
      </c>
      <c r="I47" s="17">
        <v>10442</v>
      </c>
      <c r="J47" s="17">
        <v>5285</v>
      </c>
      <c r="K47" s="17">
        <v>4449</v>
      </c>
      <c r="L47" s="17">
        <v>9563</v>
      </c>
      <c r="M47" s="17">
        <v>13183</v>
      </c>
      <c r="N47" s="17">
        <v>14697</v>
      </c>
      <c r="O47" s="17">
        <v>13684</v>
      </c>
      <c r="AY47" s="1">
        <f t="shared" si="13"/>
        <v>-6.8925631081173E-2</v>
      </c>
      <c r="AZ47" s="1">
        <f t="shared" si="14"/>
        <v>0.4309317159887065</v>
      </c>
    </row>
    <row r="48" spans="2:52" ht="11.25" customHeight="1" x14ac:dyDescent="0.3">
      <c r="B48" s="22" t="s">
        <v>51</v>
      </c>
      <c r="C48" s="21">
        <f t="shared" ref="C48:AX48" si="15">C47/C42</f>
        <v>0.40182096527274191</v>
      </c>
      <c r="D48" s="21">
        <f t="shared" si="15"/>
        <v>0.42695639406841873</v>
      </c>
      <c r="E48" s="21">
        <f t="shared" si="15"/>
        <v>0.4192956496004735</v>
      </c>
      <c r="F48" s="21">
        <f t="shared" si="15"/>
        <v>0.42265379434216432</v>
      </c>
      <c r="G48" s="21">
        <f t="shared" si="15"/>
        <v>0.44561954148471616</v>
      </c>
      <c r="H48" s="21">
        <f t="shared" si="15"/>
        <v>0.50859699240015088</v>
      </c>
      <c r="I48" s="21">
        <f t="shared" si="15"/>
        <v>0.41961020695197909</v>
      </c>
      <c r="J48" s="21">
        <f t="shared" si="15"/>
        <v>0.45105402406759409</v>
      </c>
      <c r="K48" s="21">
        <f t="shared" si="15"/>
        <v>0.40441778020179986</v>
      </c>
      <c r="L48" s="21">
        <f t="shared" si="15"/>
        <v>0.43873010047254207</v>
      </c>
      <c r="M48" s="21">
        <f t="shared" si="15"/>
        <v>0.48225782850453613</v>
      </c>
      <c r="N48" s="21">
        <f t="shared" si="15"/>
        <v>0.45398943564081179</v>
      </c>
      <c r="O48" s="21">
        <f t="shared" si="15"/>
        <v>0.44818551028429188</v>
      </c>
      <c r="P48" s="21" t="e">
        <f t="shared" si="15"/>
        <v>#DIV/0!</v>
      </c>
      <c r="Q48" s="21" t="e">
        <f t="shared" si="15"/>
        <v>#DIV/0!</v>
      </c>
      <c r="R48" s="21" t="e">
        <f t="shared" si="15"/>
        <v>#DIV/0!</v>
      </c>
      <c r="S48" s="21" t="e">
        <f t="shared" si="15"/>
        <v>#DIV/0!</v>
      </c>
      <c r="T48" s="21" t="e">
        <f t="shared" si="15"/>
        <v>#DIV/0!</v>
      </c>
      <c r="U48" s="21" t="e">
        <f t="shared" si="15"/>
        <v>#DIV/0!</v>
      </c>
      <c r="V48" s="21" t="e">
        <f t="shared" si="15"/>
        <v>#DIV/0!</v>
      </c>
      <c r="W48" s="21" t="e">
        <f t="shared" si="15"/>
        <v>#DIV/0!</v>
      </c>
      <c r="X48" s="21" t="e">
        <f t="shared" si="15"/>
        <v>#DIV/0!</v>
      </c>
      <c r="Y48" s="21" t="e">
        <f t="shared" si="15"/>
        <v>#DIV/0!</v>
      </c>
      <c r="Z48" s="21" t="e">
        <f t="shared" si="15"/>
        <v>#DIV/0!</v>
      </c>
      <c r="AA48" s="21" t="e">
        <f t="shared" si="15"/>
        <v>#DIV/0!</v>
      </c>
      <c r="AB48" s="21" t="e">
        <f t="shared" si="15"/>
        <v>#DIV/0!</v>
      </c>
      <c r="AC48" s="21" t="e">
        <f t="shared" si="15"/>
        <v>#DIV/0!</v>
      </c>
      <c r="AD48" s="21" t="e">
        <f t="shared" si="15"/>
        <v>#DIV/0!</v>
      </c>
      <c r="AE48" s="21" t="e">
        <f t="shared" si="15"/>
        <v>#DIV/0!</v>
      </c>
      <c r="AF48" s="21" t="e">
        <f t="shared" si="15"/>
        <v>#DIV/0!</v>
      </c>
      <c r="AG48" s="21" t="e">
        <f t="shared" si="15"/>
        <v>#DIV/0!</v>
      </c>
      <c r="AH48" s="21" t="e">
        <f t="shared" si="15"/>
        <v>#DIV/0!</v>
      </c>
      <c r="AI48" s="21" t="e">
        <f t="shared" si="15"/>
        <v>#DIV/0!</v>
      </c>
      <c r="AJ48" s="21" t="e">
        <f t="shared" si="15"/>
        <v>#DIV/0!</v>
      </c>
      <c r="AK48" s="21" t="e">
        <f t="shared" si="15"/>
        <v>#DIV/0!</v>
      </c>
      <c r="AL48" s="21" t="e">
        <f t="shared" si="15"/>
        <v>#DIV/0!</v>
      </c>
      <c r="AM48" s="21" t="e">
        <f t="shared" si="15"/>
        <v>#DIV/0!</v>
      </c>
      <c r="AN48" s="21" t="e">
        <f t="shared" si="15"/>
        <v>#DIV/0!</v>
      </c>
      <c r="AO48" s="21" t="e">
        <f t="shared" si="15"/>
        <v>#DIV/0!</v>
      </c>
      <c r="AP48" s="21" t="e">
        <f t="shared" si="15"/>
        <v>#DIV/0!</v>
      </c>
      <c r="AQ48" s="21" t="e">
        <f t="shared" si="15"/>
        <v>#DIV/0!</v>
      </c>
      <c r="AR48" s="21" t="e">
        <f t="shared" si="15"/>
        <v>#DIV/0!</v>
      </c>
      <c r="AS48" s="21" t="e">
        <f t="shared" si="15"/>
        <v>#DIV/0!</v>
      </c>
      <c r="AT48" s="21" t="e">
        <f t="shared" si="15"/>
        <v>#DIV/0!</v>
      </c>
      <c r="AU48" s="21" t="e">
        <f t="shared" si="15"/>
        <v>#DIV/0!</v>
      </c>
      <c r="AV48" s="21" t="e">
        <f t="shared" si="15"/>
        <v>#DIV/0!</v>
      </c>
      <c r="AW48" s="21" t="e">
        <f t="shared" si="15"/>
        <v>#DIV/0!</v>
      </c>
      <c r="AX48" s="21" t="e">
        <f t="shared" si="15"/>
        <v>#DIV/0!</v>
      </c>
      <c r="AY48" s="1">
        <f t="shared" si="13"/>
        <v>-1.2784274040050336E-2</v>
      </c>
      <c r="AZ48" s="1">
        <f t="shared" si="14"/>
        <v>2.1551769075259797E-2</v>
      </c>
    </row>
  </sheetData>
  <conditionalFormatting sqref="AY27:AZ27 AY4:AZ11 AY13:AZ18 AY29:AZ36">
    <cfRule type="containsBlanks" dxfId="159" priority="166">
      <formula>LEN(TRIM(AY4))=0</formula>
    </cfRule>
    <cfRule type="cellIs" dxfId="158" priority="167" operator="lessThanOrEqual">
      <formula>-10%</formula>
    </cfRule>
    <cfRule type="cellIs" dxfId="157" priority="168" operator="greaterThanOrEqual">
      <formula>0.1</formula>
    </cfRule>
  </conditionalFormatting>
  <conditionalFormatting sqref="AZ41:AZ48">
    <cfRule type="containsBlanks" dxfId="156" priority="64">
      <formula>LEN(TRIM(AZ41))=0</formula>
    </cfRule>
    <cfRule type="cellIs" dxfId="155" priority="65" operator="lessThanOrEqual">
      <formula>-10%</formula>
    </cfRule>
    <cfRule type="cellIs" dxfId="154" priority="66" operator="greaterThanOrEqual">
      <formula>0.1</formula>
    </cfRule>
  </conditionalFormatting>
  <conditionalFormatting sqref="AY20">
    <cfRule type="containsBlanks" dxfId="153" priority="61">
      <formula>LEN(TRIM(AY20))=0</formula>
    </cfRule>
    <cfRule type="cellIs" dxfId="152" priority="62" operator="lessThanOrEqual">
      <formula>-10%</formula>
    </cfRule>
    <cfRule type="cellIs" dxfId="151" priority="63" operator="greaterThanOrEqual">
      <formula>0.1</formula>
    </cfRule>
  </conditionalFormatting>
  <conditionalFormatting sqref="AY21">
    <cfRule type="containsBlanks" dxfId="150" priority="58">
      <formula>LEN(TRIM(AY21))=0</formula>
    </cfRule>
    <cfRule type="cellIs" dxfId="149" priority="59" operator="lessThanOrEqual">
      <formula>-10%</formula>
    </cfRule>
    <cfRule type="cellIs" dxfId="148" priority="60" operator="greaterThanOrEqual">
      <formula>0.1</formula>
    </cfRule>
  </conditionalFormatting>
  <conditionalFormatting sqref="AY22">
    <cfRule type="containsBlanks" dxfId="147" priority="55">
      <formula>LEN(TRIM(AY22))=0</formula>
    </cfRule>
    <cfRule type="cellIs" dxfId="146" priority="56" operator="lessThanOrEqual">
      <formula>-10%</formula>
    </cfRule>
    <cfRule type="cellIs" dxfId="145" priority="57" operator="greaterThanOrEqual">
      <formula>0.1</formula>
    </cfRule>
  </conditionalFormatting>
  <conditionalFormatting sqref="AY23">
    <cfRule type="containsBlanks" dxfId="144" priority="52">
      <formula>LEN(TRIM(AY23))=0</formula>
    </cfRule>
    <cfRule type="cellIs" dxfId="143" priority="53" operator="lessThanOrEqual">
      <formula>-10%</formula>
    </cfRule>
    <cfRule type="cellIs" dxfId="142" priority="54" operator="greaterThanOrEqual">
      <formula>0.1</formula>
    </cfRule>
  </conditionalFormatting>
  <conditionalFormatting sqref="AY24">
    <cfRule type="containsBlanks" dxfId="141" priority="49">
      <formula>LEN(TRIM(AY24))=0</formula>
    </cfRule>
    <cfRule type="cellIs" dxfId="140" priority="50" operator="lessThanOrEqual">
      <formula>-10%</formula>
    </cfRule>
    <cfRule type="cellIs" dxfId="139" priority="51" operator="greaterThanOrEqual">
      <formula>0.1</formula>
    </cfRule>
  </conditionalFormatting>
  <conditionalFormatting sqref="AY25">
    <cfRule type="containsBlanks" dxfId="138" priority="46">
      <formula>LEN(TRIM(AY25))=0</formula>
    </cfRule>
    <cfRule type="cellIs" dxfId="137" priority="47" operator="lessThanOrEqual">
      <formula>-10%</formula>
    </cfRule>
    <cfRule type="cellIs" dxfId="136" priority="48" operator="greaterThanOrEqual">
      <formula>0.1</formula>
    </cfRule>
  </conditionalFormatting>
  <conditionalFormatting sqref="AY41">
    <cfRule type="containsBlanks" dxfId="135" priority="43">
      <formula>LEN(TRIM(AY41))=0</formula>
    </cfRule>
    <cfRule type="cellIs" dxfId="134" priority="44" operator="lessThanOrEqual">
      <formula>-10%</formula>
    </cfRule>
    <cfRule type="cellIs" dxfId="133" priority="45" operator="greaterThanOrEqual">
      <formula>0.1</formula>
    </cfRule>
  </conditionalFormatting>
  <conditionalFormatting sqref="AY42">
    <cfRule type="containsBlanks" dxfId="132" priority="40">
      <formula>LEN(TRIM(AY42))=0</formula>
    </cfRule>
    <cfRule type="cellIs" dxfId="131" priority="41" operator="lessThanOrEqual">
      <formula>-10%</formula>
    </cfRule>
    <cfRule type="cellIs" dxfId="130" priority="42" operator="greaterThanOrEqual">
      <formula>0.1</formula>
    </cfRule>
  </conditionalFormatting>
  <conditionalFormatting sqref="AY43">
    <cfRule type="containsBlanks" dxfId="129" priority="37">
      <formula>LEN(TRIM(AY43))=0</formula>
    </cfRule>
    <cfRule type="cellIs" dxfId="128" priority="38" operator="lessThanOrEqual">
      <formula>-10%</formula>
    </cfRule>
    <cfRule type="cellIs" dxfId="127" priority="39" operator="greaterThanOrEqual">
      <formula>0.1</formula>
    </cfRule>
  </conditionalFormatting>
  <conditionalFormatting sqref="AY44">
    <cfRule type="containsBlanks" dxfId="126" priority="34">
      <formula>LEN(TRIM(AY44))=0</formula>
    </cfRule>
    <cfRule type="cellIs" dxfId="125" priority="35" operator="lessThanOrEqual">
      <formula>-10%</formula>
    </cfRule>
    <cfRule type="cellIs" dxfId="124" priority="36" operator="greaterThanOrEqual">
      <formula>0.1</formula>
    </cfRule>
  </conditionalFormatting>
  <conditionalFormatting sqref="AY45">
    <cfRule type="containsBlanks" dxfId="123" priority="31">
      <formula>LEN(TRIM(AY45))=0</formula>
    </cfRule>
    <cfRule type="cellIs" dxfId="122" priority="32" operator="lessThanOrEqual">
      <formula>-10%</formula>
    </cfRule>
    <cfRule type="cellIs" dxfId="121" priority="33" operator="greaterThanOrEqual">
      <formula>0.1</formula>
    </cfRule>
  </conditionalFormatting>
  <conditionalFormatting sqref="AY46">
    <cfRule type="containsBlanks" dxfId="120" priority="28">
      <formula>LEN(TRIM(AY46))=0</formula>
    </cfRule>
    <cfRule type="cellIs" dxfId="119" priority="29" operator="lessThanOrEqual">
      <formula>-10%</formula>
    </cfRule>
    <cfRule type="cellIs" dxfId="118" priority="30" operator="greaterThanOrEqual">
      <formula>0.1</formula>
    </cfRule>
  </conditionalFormatting>
  <conditionalFormatting sqref="AY47">
    <cfRule type="containsBlanks" dxfId="117" priority="25">
      <formula>LEN(TRIM(AY47))=0</formula>
    </cfRule>
    <cfRule type="cellIs" dxfId="116" priority="26" operator="lessThanOrEqual">
      <formula>-10%</formula>
    </cfRule>
    <cfRule type="cellIs" dxfId="115" priority="27" operator="greaterThanOrEqual">
      <formula>0.1</formula>
    </cfRule>
  </conditionalFormatting>
  <conditionalFormatting sqref="AY48">
    <cfRule type="containsBlanks" dxfId="114" priority="19">
      <formula>LEN(TRIM(AY48))=0</formula>
    </cfRule>
    <cfRule type="cellIs" dxfId="113" priority="20" operator="lessThanOrEqual">
      <formula>-10%</formula>
    </cfRule>
    <cfRule type="cellIs" dxfId="112" priority="21" operator="greaterThanOrEqual">
      <formula>0.1</formula>
    </cfRule>
  </conditionalFormatting>
  <conditionalFormatting sqref="AZ20">
    <cfRule type="containsBlanks" dxfId="111" priority="16">
      <formula>LEN(TRIM(AZ20))=0</formula>
    </cfRule>
    <cfRule type="cellIs" dxfId="110" priority="17" operator="lessThanOrEqual">
      <formula>-10%</formula>
    </cfRule>
    <cfRule type="cellIs" dxfId="109" priority="18" operator="greaterThanOrEqual">
      <formula>0.1</formula>
    </cfRule>
  </conditionalFormatting>
  <conditionalFormatting sqref="AZ21">
    <cfRule type="containsBlanks" dxfId="108" priority="13">
      <formula>LEN(TRIM(AZ21))=0</formula>
    </cfRule>
    <cfRule type="cellIs" dxfId="107" priority="14" operator="lessThanOrEqual">
      <formula>-10%</formula>
    </cfRule>
    <cfRule type="cellIs" dxfId="106" priority="15" operator="greaterThanOrEqual">
      <formula>0.1</formula>
    </cfRule>
  </conditionalFormatting>
  <conditionalFormatting sqref="AZ22">
    <cfRule type="containsBlanks" dxfId="105" priority="10">
      <formula>LEN(TRIM(AZ22))=0</formula>
    </cfRule>
    <cfRule type="cellIs" dxfId="104" priority="11" operator="lessThanOrEqual">
      <formula>-10%</formula>
    </cfRule>
    <cfRule type="cellIs" dxfId="103" priority="12" operator="greaterThanOrEqual">
      <formula>0.1</formula>
    </cfRule>
  </conditionalFormatting>
  <conditionalFormatting sqref="AZ23">
    <cfRule type="containsBlanks" dxfId="102" priority="7">
      <formula>LEN(TRIM(AZ23))=0</formula>
    </cfRule>
    <cfRule type="cellIs" dxfId="101" priority="8" operator="lessThanOrEqual">
      <formula>-10%</formula>
    </cfRule>
    <cfRule type="cellIs" dxfId="100" priority="9" operator="greaterThanOrEqual">
      <formula>0.1</formula>
    </cfRule>
  </conditionalFormatting>
  <conditionalFormatting sqref="AZ24">
    <cfRule type="containsBlanks" dxfId="99" priority="4">
      <formula>LEN(TRIM(AZ24))=0</formula>
    </cfRule>
    <cfRule type="cellIs" dxfId="98" priority="5" operator="lessThanOrEqual">
      <formula>-10%</formula>
    </cfRule>
    <cfRule type="cellIs" dxfId="97" priority="6" operator="greaterThanOrEqual">
      <formula>0.1</formula>
    </cfRule>
  </conditionalFormatting>
  <conditionalFormatting sqref="AZ25">
    <cfRule type="containsBlanks" dxfId="96" priority="1">
      <formula>LEN(TRIM(AZ25))=0</formula>
    </cfRule>
    <cfRule type="cellIs" dxfId="95" priority="2" operator="lessThanOrEqual">
      <formula>-10%</formula>
    </cfRule>
    <cfRule type="cellIs" dxfId="94" priority="3" operator="greaterThanOrEqual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H128"/>
  <sheetViews>
    <sheetView showGridLines="0" zoomScaleNormal="100" workbookViewId="0">
      <pane ySplit="2" topLeftCell="A3" activePane="bottomLeft" state="frozen"/>
      <selection activeCell="K24" sqref="K24"/>
      <selection pane="bottomLeft" activeCell="C22" sqref="A1:XFD1048576"/>
    </sheetView>
  </sheetViews>
  <sheetFormatPr defaultColWidth="9.109375" defaultRowHeight="11.25" customHeight="1" outlineLevelRow="1" outlineLevelCol="1" x14ac:dyDescent="0.3"/>
  <cols>
    <col min="1" max="1" width="2.6640625" style="11" customWidth="1"/>
    <col min="2" max="2" width="24.44140625" style="9" bestFit="1" customWidth="1"/>
    <col min="3" max="3" width="9.109375" style="18" customWidth="1" outlineLevel="1"/>
    <col min="4" max="4" width="9.109375" style="19" customWidth="1" outlineLevel="1"/>
    <col min="5" max="5" width="9.109375" style="18" customWidth="1" outlineLevel="1"/>
    <col min="6" max="7" width="9.109375" style="19" customWidth="1" outlineLevel="1"/>
    <col min="8" max="8" width="9.109375" style="19"/>
    <col min="9" max="9" width="2.33203125" style="17" customWidth="1"/>
    <col min="10" max="10" width="10" style="19" bestFit="1" customWidth="1"/>
    <col min="11" max="11" width="11.33203125" style="19" bestFit="1" customWidth="1"/>
    <col min="12" max="12" width="22.6640625" style="17" customWidth="1"/>
    <col min="13" max="18" width="0" style="11" hidden="1" customWidth="1"/>
    <col min="19" max="53" width="0" style="17" hidden="1" customWidth="1"/>
    <col min="54" max="54" width="24.44140625" style="9" bestFit="1" customWidth="1"/>
    <col min="55" max="55" width="0" style="18" hidden="1" customWidth="1"/>
    <col min="56" max="56" width="0" style="19" hidden="1" customWidth="1"/>
    <col min="57" max="57" width="0" style="18" hidden="1" customWidth="1"/>
    <col min="58" max="59" width="0" style="19" hidden="1" customWidth="1"/>
    <col min="60" max="16384" width="9.109375" style="17"/>
  </cols>
  <sheetData>
    <row r="1" spans="1:60" s="11" customFormat="1" ht="11.25" customHeight="1" x14ac:dyDescent="0.3">
      <c r="L1" s="23"/>
    </row>
    <row r="2" spans="1:60" s="9" customFormat="1" ht="11.25" customHeight="1" x14ac:dyDescent="0.3">
      <c r="A2" s="11"/>
      <c r="B2" s="12" t="s">
        <v>53</v>
      </c>
      <c r="C2" s="14">
        <v>41334</v>
      </c>
      <c r="D2" s="14">
        <v>41365</v>
      </c>
      <c r="E2" s="14">
        <v>41395</v>
      </c>
      <c r="F2" s="14">
        <v>41426</v>
      </c>
      <c r="G2" s="14">
        <v>41456</v>
      </c>
      <c r="H2" s="14">
        <v>41487</v>
      </c>
      <c r="J2" s="15" t="s">
        <v>66</v>
      </c>
      <c r="K2" s="15" t="s">
        <v>67</v>
      </c>
      <c r="BB2" s="12" t="s">
        <v>54</v>
      </c>
      <c r="BC2" s="24">
        <v>41334</v>
      </c>
      <c r="BD2" s="24">
        <v>41365</v>
      </c>
      <c r="BE2" s="24">
        <v>41395</v>
      </c>
      <c r="BF2" s="24">
        <v>41426</v>
      </c>
      <c r="BG2" s="24">
        <v>41456</v>
      </c>
      <c r="BH2" s="24">
        <v>41487</v>
      </c>
    </row>
    <row r="3" spans="1:60" ht="11.25" customHeight="1" x14ac:dyDescent="0.3">
      <c r="B3" s="13" t="s">
        <v>55</v>
      </c>
      <c r="C3" s="16">
        <v>168889</v>
      </c>
      <c r="D3" s="16">
        <v>148413</v>
      </c>
      <c r="E3" s="16">
        <v>167716</v>
      </c>
      <c r="F3" s="16">
        <v>157236</v>
      </c>
      <c r="G3" s="16">
        <v>172572</v>
      </c>
      <c r="H3" s="16">
        <v>206167</v>
      </c>
      <c r="J3" s="1">
        <f>IFERROR(HLOOKUP(LARGE($C$2:$BB$2,1),$C$2:$BB$107,ROW(C2),FALSE)/HLOOKUP(LARGE($C$2:$BB$2,2),$C$2:$BB$107,ROW(C2),FALSE)-1,"")</f>
        <v>0.19467236863454085</v>
      </c>
      <c r="K3" s="1">
        <f>IFERROR(HLOOKUP(LARGE($C$2:$BB$2,1),$C$2:$BB$107,ROW(D2),FALSE)/HLOOKUP(LARGE($C$2:$BB$2,4),$C$2:$BB$107,ROW(D2),FALSE)-1,"")</f>
        <v>0.22926256290395663</v>
      </c>
      <c r="L3" s="25"/>
      <c r="M3" s="17"/>
      <c r="N3" s="17"/>
      <c r="O3" s="17"/>
      <c r="P3" s="17"/>
      <c r="Q3" s="17"/>
      <c r="R3" s="17"/>
      <c r="BB3" s="13" t="s">
        <v>55</v>
      </c>
      <c r="BC3" s="26">
        <f t="shared" ref="BC3:BH10" si="0">C3/C$3</f>
        <v>1</v>
      </c>
      <c r="BD3" s="26">
        <f t="shared" si="0"/>
        <v>1</v>
      </c>
      <c r="BE3" s="26">
        <f t="shared" si="0"/>
        <v>1</v>
      </c>
      <c r="BF3" s="26">
        <f t="shared" si="0"/>
        <v>1</v>
      </c>
      <c r="BG3" s="26">
        <f t="shared" si="0"/>
        <v>1</v>
      </c>
      <c r="BH3" s="26">
        <f t="shared" si="0"/>
        <v>1</v>
      </c>
    </row>
    <row r="4" spans="1:60" ht="11.25" customHeight="1" outlineLevel="1" x14ac:dyDescent="0.3">
      <c r="B4" s="22" t="s">
        <v>56</v>
      </c>
      <c r="C4" s="18">
        <v>78491</v>
      </c>
      <c r="D4" s="19">
        <v>63183</v>
      </c>
      <c r="E4" s="18">
        <v>67215</v>
      </c>
      <c r="F4" s="19">
        <v>71531</v>
      </c>
      <c r="G4" s="19">
        <v>79499</v>
      </c>
      <c r="H4" s="19">
        <v>110085</v>
      </c>
      <c r="J4" s="1">
        <f t="shared" ref="J4:J37" si="1">IFERROR(HLOOKUP(LARGE($C$2:$BB$2,1),$C$2:$BB$107,ROW(C3),FALSE)/HLOOKUP(LARGE($C$2:$BB$2,2),$C$2:$BB$107,ROW(C3),FALSE)-1,"")</f>
        <v>0.38473439917483243</v>
      </c>
      <c r="K4" s="1">
        <f t="shared" ref="K4:K37" si="2">IFERROR(HLOOKUP(LARGE($C$2:$BB$2,1),$C$2:$BB$107,ROW(D3),FALSE)/HLOOKUP(LARGE($C$2:$BB$2,4),$C$2:$BB$107,ROW(D3),FALSE)-1,"")</f>
        <v>0.63780406159339442</v>
      </c>
      <c r="L4" s="27"/>
      <c r="M4" s="17"/>
      <c r="N4" s="17"/>
      <c r="O4" s="17"/>
      <c r="P4" s="17"/>
      <c r="Q4" s="17"/>
      <c r="R4" s="17"/>
      <c r="BB4" s="22" t="s">
        <v>56</v>
      </c>
      <c r="BC4" s="28">
        <f t="shared" si="0"/>
        <v>0.46474903634931819</v>
      </c>
      <c r="BD4" s="28">
        <f t="shared" si="0"/>
        <v>0.42572416163004589</v>
      </c>
      <c r="BE4" s="28">
        <f t="shared" si="0"/>
        <v>0.40076677240096353</v>
      </c>
      <c r="BF4" s="28">
        <f t="shared" si="0"/>
        <v>0.45492762471698595</v>
      </c>
      <c r="BG4" s="28">
        <f t="shared" si="0"/>
        <v>0.46067148784275547</v>
      </c>
      <c r="BH4" s="28">
        <f t="shared" si="0"/>
        <v>0.53396033312799818</v>
      </c>
    </row>
    <row r="5" spans="1:60" ht="11.25" customHeight="1" outlineLevel="1" x14ac:dyDescent="0.3">
      <c r="B5" s="22" t="s">
        <v>57</v>
      </c>
      <c r="C5" s="18">
        <f>168889-140200-C6</f>
        <v>25621</v>
      </c>
      <c r="D5" s="18">
        <f>148413-119921-D6</f>
        <v>25813</v>
      </c>
      <c r="E5" s="18">
        <f>167716-139838-E6</f>
        <v>24484</v>
      </c>
      <c r="F5" s="18">
        <f>157236-133530-F6</f>
        <v>19627</v>
      </c>
      <c r="G5" s="18">
        <f>172572-149676-G6</f>
        <v>18688</v>
      </c>
      <c r="H5" s="18">
        <v>15416</v>
      </c>
      <c r="J5" s="1">
        <f t="shared" si="1"/>
        <v>-0.17508561643835618</v>
      </c>
      <c r="K5" s="1">
        <f t="shared" si="2"/>
        <v>-0.37036431955562821</v>
      </c>
      <c r="L5" s="25"/>
      <c r="M5" s="17"/>
      <c r="N5" s="17"/>
      <c r="O5" s="17"/>
      <c r="P5" s="17"/>
      <c r="Q5" s="17"/>
      <c r="R5" s="17"/>
      <c r="BB5" s="22" t="s">
        <v>57</v>
      </c>
      <c r="BC5" s="28">
        <f t="shared" si="0"/>
        <v>0.15170318966895416</v>
      </c>
      <c r="BD5" s="28">
        <f t="shared" si="0"/>
        <v>0.17392681234123694</v>
      </c>
      <c r="BE5" s="28">
        <f t="shared" si="0"/>
        <v>0.14598487920055331</v>
      </c>
      <c r="BF5" s="28">
        <f t="shared" si="0"/>
        <v>0.12482510366582716</v>
      </c>
      <c r="BG5" s="28">
        <f t="shared" si="0"/>
        <v>0.10829103214890017</v>
      </c>
      <c r="BH5" s="28">
        <f t="shared" si="0"/>
        <v>7.4774333428725262E-2</v>
      </c>
    </row>
    <row r="6" spans="1:60" ht="11.25" customHeight="1" outlineLevel="1" x14ac:dyDescent="0.3">
      <c r="B6" s="22" t="s">
        <v>58</v>
      </c>
      <c r="C6" s="18">
        <v>3068</v>
      </c>
      <c r="D6" s="19">
        <v>2679</v>
      </c>
      <c r="E6" s="18">
        <v>3394</v>
      </c>
      <c r="F6" s="19">
        <v>4079</v>
      </c>
      <c r="G6" s="19">
        <v>4208</v>
      </c>
      <c r="H6" s="19">
        <v>3180</v>
      </c>
      <c r="J6" s="1">
        <f t="shared" si="1"/>
        <v>-0.24429657794676807</v>
      </c>
      <c r="K6" s="1">
        <f t="shared" si="2"/>
        <v>-6.3052445492044806E-2</v>
      </c>
      <c r="L6" s="27"/>
      <c r="M6" s="17"/>
      <c r="N6" s="17"/>
      <c r="O6" s="17"/>
      <c r="P6" s="17"/>
      <c r="Q6" s="17"/>
      <c r="R6" s="17"/>
      <c r="BB6" s="22" t="s">
        <v>58</v>
      </c>
      <c r="BC6" s="28">
        <f t="shared" si="0"/>
        <v>1.8165777522514789E-2</v>
      </c>
      <c r="BD6" s="28">
        <f t="shared" si="0"/>
        <v>1.8050979361646218E-2</v>
      </c>
      <c r="BE6" s="28">
        <f t="shared" si="0"/>
        <v>2.0236590426673664E-2</v>
      </c>
      <c r="BF6" s="28">
        <f t="shared" si="0"/>
        <v>2.5941896257854435E-2</v>
      </c>
      <c r="BG6" s="28">
        <f t="shared" si="0"/>
        <v>2.4384025218459542E-2</v>
      </c>
      <c r="BH6" s="28">
        <f t="shared" si="0"/>
        <v>1.5424388966226409E-2</v>
      </c>
    </row>
    <row r="7" spans="1:60" ht="11.25" customHeight="1" outlineLevel="1" x14ac:dyDescent="0.3">
      <c r="B7" s="22" t="s">
        <v>59</v>
      </c>
      <c r="C7" s="18">
        <f>168889-154540-C8</f>
        <v>12462</v>
      </c>
      <c r="D7" s="18">
        <f>148413-D8-134698</f>
        <v>11681</v>
      </c>
      <c r="E7" s="18">
        <f>167716-153054-E8</f>
        <v>12068</v>
      </c>
      <c r="F7" s="18">
        <f>157236-F8-141580</f>
        <v>13357</v>
      </c>
      <c r="G7" s="18">
        <f>172572-G8-157368</f>
        <v>13307</v>
      </c>
      <c r="H7" s="18">
        <v>16683</v>
      </c>
      <c r="J7" s="1">
        <f t="shared" si="1"/>
        <v>0.25370105959269562</v>
      </c>
      <c r="K7" s="1">
        <f t="shared" si="2"/>
        <v>0.38241630759032152</v>
      </c>
      <c r="L7" s="27"/>
      <c r="M7" s="17"/>
      <c r="N7" s="17"/>
      <c r="O7" s="17"/>
      <c r="P7" s="17"/>
      <c r="Q7" s="17"/>
      <c r="R7" s="17"/>
      <c r="BB7" s="22" t="s">
        <v>59</v>
      </c>
      <c r="BC7" s="28">
        <f t="shared" si="0"/>
        <v>7.3788109349928063E-2</v>
      </c>
      <c r="BD7" s="28">
        <f t="shared" si="0"/>
        <v>7.8706043271142015E-2</v>
      </c>
      <c r="BE7" s="28">
        <f t="shared" si="0"/>
        <v>7.1954971499439524E-2</v>
      </c>
      <c r="BF7" s="28">
        <f t="shared" si="0"/>
        <v>8.4948739474420609E-2</v>
      </c>
      <c r="BG7" s="28">
        <f t="shared" si="0"/>
        <v>7.710984400713905E-2</v>
      </c>
      <c r="BH7" s="28">
        <f t="shared" si="0"/>
        <v>8.0919836831306657E-2</v>
      </c>
    </row>
    <row r="8" spans="1:60" ht="11.25" customHeight="1" outlineLevel="1" x14ac:dyDescent="0.3">
      <c r="B8" s="22" t="s">
        <v>60</v>
      </c>
      <c r="C8" s="19">
        <v>1887</v>
      </c>
      <c r="D8" s="19">
        <v>2034</v>
      </c>
      <c r="E8" s="18">
        <v>2594</v>
      </c>
      <c r="F8" s="19">
        <v>2299</v>
      </c>
      <c r="G8" s="19">
        <v>1897</v>
      </c>
      <c r="H8" s="19">
        <v>2952</v>
      </c>
      <c r="J8" s="1">
        <f t="shared" si="1"/>
        <v>0.55614127569847116</v>
      </c>
      <c r="K8" s="1">
        <f t="shared" si="2"/>
        <v>0.13801079414032391</v>
      </c>
      <c r="L8" s="27"/>
      <c r="M8" s="17"/>
      <c r="N8" s="17"/>
      <c r="O8" s="17"/>
      <c r="P8" s="17"/>
      <c r="Q8" s="17"/>
      <c r="R8" s="17"/>
      <c r="BB8" s="22" t="s">
        <v>60</v>
      </c>
      <c r="BC8" s="28">
        <f t="shared" si="0"/>
        <v>1.1173018965119103E-2</v>
      </c>
      <c r="BD8" s="28">
        <f t="shared" si="0"/>
        <v>1.3704998888237554E-2</v>
      </c>
      <c r="BE8" s="28">
        <f t="shared" si="0"/>
        <v>1.5466622146962723E-2</v>
      </c>
      <c r="BF8" s="28">
        <f t="shared" si="0"/>
        <v>1.4621333536849067E-2</v>
      </c>
      <c r="BG8" s="28">
        <f t="shared" si="0"/>
        <v>1.099251326982361E-2</v>
      </c>
      <c r="BH8" s="28">
        <f t="shared" si="0"/>
        <v>1.4318489379968666E-2</v>
      </c>
    </row>
    <row r="9" spans="1:60" ht="11.25" customHeight="1" outlineLevel="1" x14ac:dyDescent="0.3">
      <c r="B9" s="22" t="s">
        <v>61</v>
      </c>
      <c r="C9" s="18">
        <v>1097</v>
      </c>
      <c r="D9" s="18">
        <v>3604</v>
      </c>
      <c r="E9" s="18">
        <v>2294</v>
      </c>
      <c r="F9" s="18">
        <v>4269</v>
      </c>
      <c r="G9" s="18">
        <v>4450</v>
      </c>
      <c r="H9" s="18">
        <v>3174</v>
      </c>
      <c r="J9" s="1">
        <f t="shared" si="1"/>
        <v>-0.28674157303370784</v>
      </c>
      <c r="K9" s="1">
        <f t="shared" si="2"/>
        <v>0.38360941586748032</v>
      </c>
      <c r="L9" s="27"/>
      <c r="M9" s="17"/>
      <c r="N9" s="17"/>
      <c r="O9" s="17"/>
      <c r="P9" s="17"/>
      <c r="Q9" s="17"/>
      <c r="R9" s="17"/>
      <c r="BB9" s="22" t="s">
        <v>61</v>
      </c>
      <c r="BC9" s="28">
        <f t="shared" si="0"/>
        <v>6.4953904635589059E-3</v>
      </c>
      <c r="BD9" s="28">
        <f t="shared" si="0"/>
        <v>2.4283587017309805E-2</v>
      </c>
      <c r="BE9" s="28">
        <f t="shared" si="0"/>
        <v>1.367788404207112E-2</v>
      </c>
      <c r="BF9" s="28">
        <f t="shared" si="0"/>
        <v>2.71502709303213E-2</v>
      </c>
      <c r="BG9" s="28">
        <f t="shared" si="0"/>
        <v>2.5786338455832929E-2</v>
      </c>
      <c r="BH9" s="28">
        <f t="shared" si="0"/>
        <v>1.5395286345535416E-2</v>
      </c>
    </row>
    <row r="10" spans="1:60" ht="11.25" customHeight="1" outlineLevel="1" x14ac:dyDescent="0.3">
      <c r="B10" s="22" t="s">
        <v>62</v>
      </c>
      <c r="C10" s="18">
        <f t="shared" ref="C10:H10" si="3">C3-SUM(C4:C9)</f>
        <v>46263</v>
      </c>
      <c r="D10" s="18">
        <f t="shared" si="3"/>
        <v>39419</v>
      </c>
      <c r="E10" s="18">
        <f t="shared" si="3"/>
        <v>55667</v>
      </c>
      <c r="F10" s="18">
        <f t="shared" si="3"/>
        <v>42074</v>
      </c>
      <c r="G10" s="18">
        <f t="shared" si="3"/>
        <v>50523</v>
      </c>
      <c r="H10" s="18">
        <f t="shared" si="3"/>
        <v>54677</v>
      </c>
      <c r="J10" s="1">
        <f t="shared" si="1"/>
        <v>8.2219979019456435E-2</v>
      </c>
      <c r="K10" s="1">
        <f t="shared" si="2"/>
        <v>-1.778432464476265E-2</v>
      </c>
      <c r="L10" s="27"/>
      <c r="M10" s="17"/>
      <c r="N10" s="17"/>
      <c r="O10" s="17"/>
      <c r="P10" s="17"/>
      <c r="Q10" s="17"/>
      <c r="R10" s="17"/>
      <c r="BB10" s="22" t="s">
        <v>62</v>
      </c>
      <c r="BC10" s="28">
        <f t="shared" si="0"/>
        <v>0.27392547768060677</v>
      </c>
      <c r="BD10" s="28">
        <f t="shared" si="0"/>
        <v>0.26560341749038158</v>
      </c>
      <c r="BE10" s="28">
        <f t="shared" si="0"/>
        <v>0.33191228028333614</v>
      </c>
      <c r="BF10" s="28">
        <f t="shared" si="0"/>
        <v>0.26758503141774148</v>
      </c>
      <c r="BG10" s="28">
        <f t="shared" si="0"/>
        <v>0.29276475905708921</v>
      </c>
      <c r="BH10" s="28">
        <f t="shared" si="0"/>
        <v>0.26520733192023943</v>
      </c>
    </row>
    <row r="11" spans="1:60" ht="3" customHeight="1" x14ac:dyDescent="0.3">
      <c r="J11" s="1" t="str">
        <f t="shared" si="1"/>
        <v/>
      </c>
      <c r="K11" s="1" t="str">
        <f t="shared" si="2"/>
        <v/>
      </c>
      <c r="M11" s="17"/>
      <c r="N11" s="17"/>
      <c r="O11" s="17"/>
      <c r="P11" s="17"/>
      <c r="Q11" s="17"/>
      <c r="R11" s="17"/>
      <c r="BH11" s="19"/>
    </row>
    <row r="12" spans="1:60" ht="11.25" customHeight="1" x14ac:dyDescent="0.3">
      <c r="B12" s="13" t="s">
        <v>63</v>
      </c>
      <c r="C12" s="16">
        <v>2103</v>
      </c>
      <c r="D12" s="16">
        <v>2041</v>
      </c>
      <c r="E12" s="16">
        <v>2792</v>
      </c>
      <c r="F12" s="16">
        <v>2797</v>
      </c>
      <c r="G12" s="16">
        <v>2171</v>
      </c>
      <c r="H12" s="16">
        <v>1810</v>
      </c>
      <c r="J12" s="1">
        <f t="shared" si="1"/>
        <v>-0.1662828189774298</v>
      </c>
      <c r="K12" s="1">
        <f t="shared" si="2"/>
        <v>-0.35171919770773641</v>
      </c>
      <c r="L12" s="27"/>
      <c r="M12" s="17"/>
      <c r="N12" s="17"/>
      <c r="O12" s="17"/>
      <c r="P12" s="17"/>
      <c r="Q12" s="17"/>
      <c r="R12" s="17"/>
      <c r="BB12" s="13" t="s">
        <v>63</v>
      </c>
      <c r="BC12" s="26">
        <f t="shared" ref="BC12:BH17" si="4">C12/C$12</f>
        <v>1</v>
      </c>
      <c r="BD12" s="26">
        <f t="shared" si="4"/>
        <v>1</v>
      </c>
      <c r="BE12" s="26">
        <f t="shared" si="4"/>
        <v>1</v>
      </c>
      <c r="BF12" s="26">
        <f t="shared" si="4"/>
        <v>1</v>
      </c>
      <c r="BG12" s="26">
        <f t="shared" si="4"/>
        <v>1</v>
      </c>
      <c r="BH12" s="26">
        <f t="shared" si="4"/>
        <v>1</v>
      </c>
    </row>
    <row r="13" spans="1:60" ht="11.25" customHeight="1" outlineLevel="1" x14ac:dyDescent="0.3">
      <c r="B13" s="22" t="s">
        <v>56</v>
      </c>
      <c r="C13" s="18">
        <v>556</v>
      </c>
      <c r="D13" s="19">
        <v>451</v>
      </c>
      <c r="E13" s="18">
        <v>998</v>
      </c>
      <c r="F13" s="19">
        <v>1007</v>
      </c>
      <c r="G13" s="19">
        <v>691</v>
      </c>
      <c r="H13" s="19">
        <v>444</v>
      </c>
      <c r="J13" s="1">
        <f t="shared" si="1"/>
        <v>-0.3574529667149059</v>
      </c>
      <c r="K13" s="1">
        <f t="shared" si="2"/>
        <v>-0.55511022044088176</v>
      </c>
      <c r="L13" s="27"/>
      <c r="M13" s="17"/>
      <c r="N13" s="17"/>
      <c r="O13" s="17"/>
      <c r="P13" s="17"/>
      <c r="Q13" s="17"/>
      <c r="R13" s="17"/>
      <c r="BB13" s="22" t="s">
        <v>56</v>
      </c>
      <c r="BC13" s="29">
        <f t="shared" si="4"/>
        <v>0.26438421302900617</v>
      </c>
      <c r="BD13" s="29">
        <f t="shared" si="4"/>
        <v>0.22097011268985792</v>
      </c>
      <c r="BE13" s="29">
        <f t="shared" si="4"/>
        <v>0.35744985673352436</v>
      </c>
      <c r="BF13" s="29">
        <f t="shared" si="4"/>
        <v>0.36002860207365034</v>
      </c>
      <c r="BG13" s="29">
        <f t="shared" si="4"/>
        <v>0.31828650391524643</v>
      </c>
      <c r="BH13" s="29">
        <f t="shared" si="4"/>
        <v>0.24530386740331492</v>
      </c>
    </row>
    <row r="14" spans="1:60" ht="11.25" customHeight="1" outlineLevel="1" x14ac:dyDescent="0.3">
      <c r="B14" s="22" t="s">
        <v>57</v>
      </c>
      <c r="C14" s="18">
        <f>2103-1415-C15</f>
        <v>595</v>
      </c>
      <c r="D14" s="18">
        <f>2041-1380-D15</f>
        <v>573</v>
      </c>
      <c r="E14" s="18">
        <f>2792-2103-E15</f>
        <v>548</v>
      </c>
      <c r="F14" s="18">
        <f>2797-1983-F15</f>
        <v>594</v>
      </c>
      <c r="G14" s="18">
        <f>2171-G15-1482</f>
        <v>516</v>
      </c>
      <c r="H14" s="18">
        <v>438</v>
      </c>
      <c r="J14" s="1">
        <f t="shared" si="1"/>
        <v>-0.15116279069767447</v>
      </c>
      <c r="K14" s="1">
        <f t="shared" si="2"/>
        <v>-0.2007299270072993</v>
      </c>
      <c r="L14" s="27"/>
      <c r="M14" s="17"/>
      <c r="N14" s="17"/>
      <c r="O14" s="17"/>
      <c r="P14" s="17"/>
      <c r="Q14" s="17"/>
      <c r="R14" s="17"/>
      <c r="BB14" s="22" t="s">
        <v>57</v>
      </c>
      <c r="BC14" s="29">
        <f t="shared" si="4"/>
        <v>0.28292914883499765</v>
      </c>
      <c r="BD14" s="29">
        <f t="shared" si="4"/>
        <v>0.28074473297403235</v>
      </c>
      <c r="BE14" s="29">
        <f t="shared" si="4"/>
        <v>0.19627507163323782</v>
      </c>
      <c r="BF14" s="29">
        <f t="shared" si="4"/>
        <v>0.2123703968537719</v>
      </c>
      <c r="BG14" s="29">
        <f t="shared" si="4"/>
        <v>0.23767848917549517</v>
      </c>
      <c r="BH14" s="29">
        <f t="shared" si="4"/>
        <v>0.24198895027624309</v>
      </c>
    </row>
    <row r="15" spans="1:60" ht="11.25" customHeight="1" outlineLevel="1" x14ac:dyDescent="0.3">
      <c r="B15" s="22" t="s">
        <v>58</v>
      </c>
      <c r="C15" s="18">
        <v>93</v>
      </c>
      <c r="D15" s="19">
        <v>88</v>
      </c>
      <c r="E15" s="18">
        <v>141</v>
      </c>
      <c r="F15" s="19">
        <v>220</v>
      </c>
      <c r="G15" s="19">
        <v>173</v>
      </c>
      <c r="H15" s="19">
        <v>117</v>
      </c>
      <c r="J15" s="1">
        <f t="shared" si="1"/>
        <v>-0.32369942196531787</v>
      </c>
      <c r="K15" s="1">
        <f t="shared" si="2"/>
        <v>-0.17021276595744683</v>
      </c>
      <c r="L15" s="27"/>
      <c r="M15" s="17"/>
      <c r="N15" s="17"/>
      <c r="O15" s="17"/>
      <c r="P15" s="17"/>
      <c r="Q15" s="17"/>
      <c r="R15" s="17"/>
      <c r="BB15" s="22" t="s">
        <v>58</v>
      </c>
      <c r="BC15" s="29">
        <f t="shared" si="4"/>
        <v>4.4222539229671898E-2</v>
      </c>
      <c r="BD15" s="29">
        <f t="shared" si="4"/>
        <v>4.3116119549240571E-2</v>
      </c>
      <c r="BE15" s="29">
        <f t="shared" si="4"/>
        <v>5.050143266475645E-2</v>
      </c>
      <c r="BF15" s="29">
        <f t="shared" si="4"/>
        <v>7.8655702538434041E-2</v>
      </c>
      <c r="BG15" s="29">
        <f t="shared" si="4"/>
        <v>7.9686780285582681E-2</v>
      </c>
      <c r="BH15" s="29">
        <f t="shared" si="4"/>
        <v>6.4640883977900548E-2</v>
      </c>
    </row>
    <row r="16" spans="1:60" ht="11.25" customHeight="1" outlineLevel="1" x14ac:dyDescent="0.3">
      <c r="B16" s="22" t="s">
        <v>59</v>
      </c>
      <c r="C16" s="18">
        <f>2103-1667-C17</f>
        <v>348</v>
      </c>
      <c r="D16" s="18">
        <f>2041-D17-1571</f>
        <v>380</v>
      </c>
      <c r="E16" s="18">
        <f>2792-E17-2275</f>
        <v>351</v>
      </c>
      <c r="F16" s="18">
        <f>2797-F17-2304</f>
        <v>350</v>
      </c>
      <c r="G16" s="18">
        <f>2171-G17-1764</f>
        <v>342</v>
      </c>
      <c r="H16" s="18">
        <v>408</v>
      </c>
      <c r="J16" s="1">
        <f t="shared" si="1"/>
        <v>0.19298245614035081</v>
      </c>
      <c r="K16" s="1">
        <f t="shared" si="2"/>
        <v>0.16239316239316248</v>
      </c>
      <c r="L16" s="27"/>
      <c r="M16" s="17"/>
      <c r="N16" s="17"/>
      <c r="O16" s="17"/>
      <c r="P16" s="17"/>
      <c r="Q16" s="17"/>
      <c r="R16" s="17"/>
      <c r="BB16" s="22" t="s">
        <v>59</v>
      </c>
      <c r="BC16" s="29">
        <f t="shared" si="4"/>
        <v>0.16547788873038516</v>
      </c>
      <c r="BD16" s="29">
        <f t="shared" si="4"/>
        <v>0.18618324350808427</v>
      </c>
      <c r="BE16" s="29">
        <f t="shared" si="4"/>
        <v>0.12571633237822349</v>
      </c>
      <c r="BF16" s="29">
        <f t="shared" si="4"/>
        <v>0.12513407222023595</v>
      </c>
      <c r="BG16" s="29">
        <f t="shared" si="4"/>
        <v>0.15753109166282819</v>
      </c>
      <c r="BH16" s="29">
        <f t="shared" si="4"/>
        <v>0.22541436464088399</v>
      </c>
    </row>
    <row r="17" spans="2:60" ht="11.25" customHeight="1" outlineLevel="1" x14ac:dyDescent="0.3">
      <c r="B17" s="22" t="s">
        <v>60</v>
      </c>
      <c r="C17" s="18">
        <v>88</v>
      </c>
      <c r="D17" s="19">
        <v>90</v>
      </c>
      <c r="E17" s="18">
        <v>166</v>
      </c>
      <c r="F17" s="19">
        <v>143</v>
      </c>
      <c r="G17" s="19">
        <v>65</v>
      </c>
      <c r="H17" s="19">
        <v>91</v>
      </c>
      <c r="J17" s="1">
        <f t="shared" si="1"/>
        <v>0.39999999999999991</v>
      </c>
      <c r="K17" s="1">
        <f t="shared" si="2"/>
        <v>-0.45180722891566261</v>
      </c>
      <c r="L17" s="27"/>
      <c r="M17" s="17"/>
      <c r="N17" s="17"/>
      <c r="O17" s="17"/>
      <c r="P17" s="17"/>
      <c r="Q17" s="17"/>
      <c r="R17" s="17"/>
      <c r="BB17" s="22" t="s">
        <v>60</v>
      </c>
      <c r="BC17" s="29">
        <f t="shared" si="4"/>
        <v>4.1844983357108893E-2</v>
      </c>
      <c r="BD17" s="29">
        <f t="shared" si="4"/>
        <v>4.4096031357177851E-2</v>
      </c>
      <c r="BE17" s="29">
        <f t="shared" si="4"/>
        <v>5.9455587392550142E-2</v>
      </c>
      <c r="BF17" s="29">
        <f t="shared" si="4"/>
        <v>5.1126206649982124E-2</v>
      </c>
      <c r="BG17" s="29">
        <f t="shared" si="4"/>
        <v>2.9940119760479042E-2</v>
      </c>
      <c r="BH17" s="29">
        <f t="shared" si="4"/>
        <v>5.0276243093922653E-2</v>
      </c>
    </row>
    <row r="18" spans="2:60" ht="11.25" customHeight="1" outlineLevel="1" x14ac:dyDescent="0.3">
      <c r="B18" s="22" t="s">
        <v>61</v>
      </c>
      <c r="C18" s="30" t="s">
        <v>16</v>
      </c>
      <c r="D18" s="30" t="s">
        <v>16</v>
      </c>
      <c r="E18" s="30" t="s">
        <v>16</v>
      </c>
      <c r="F18" s="30" t="s">
        <v>16</v>
      </c>
      <c r="G18" s="30" t="s">
        <v>16</v>
      </c>
      <c r="H18" s="30" t="s">
        <v>16</v>
      </c>
      <c r="J18" s="1" t="str">
        <f t="shared" si="1"/>
        <v/>
      </c>
      <c r="K18" s="1" t="str">
        <f t="shared" si="2"/>
        <v/>
      </c>
      <c r="L18" s="27"/>
      <c r="M18" s="17"/>
      <c r="N18" s="17"/>
      <c r="O18" s="17"/>
      <c r="P18" s="17"/>
      <c r="Q18" s="17"/>
      <c r="R18" s="17"/>
      <c r="BB18" s="22" t="s">
        <v>61</v>
      </c>
      <c r="BC18" s="31" t="s">
        <v>16</v>
      </c>
      <c r="BD18" s="31" t="s">
        <v>16</v>
      </c>
      <c r="BE18" s="31" t="s">
        <v>16</v>
      </c>
      <c r="BF18" s="31" t="s">
        <v>16</v>
      </c>
      <c r="BG18" s="31" t="s">
        <v>16</v>
      </c>
      <c r="BH18" s="31" t="s">
        <v>16</v>
      </c>
    </row>
    <row r="19" spans="2:60" ht="11.25" customHeight="1" outlineLevel="1" x14ac:dyDescent="0.3">
      <c r="B19" s="22" t="s">
        <v>62</v>
      </c>
      <c r="C19" s="18">
        <f>C12-SUM(C13:C18)</f>
        <v>423</v>
      </c>
      <c r="D19" s="18">
        <f>D12-SUM(D13:D18)</f>
        <v>459</v>
      </c>
      <c r="E19" s="18">
        <f>E12-SUM(E13:E18)</f>
        <v>588</v>
      </c>
      <c r="F19" s="18">
        <f>F12-SUM(F13:F18)</f>
        <v>483</v>
      </c>
      <c r="G19" s="18">
        <f>G12-SUM(G13:G18)</f>
        <v>384</v>
      </c>
      <c r="H19" s="18"/>
      <c r="J19" s="1">
        <f t="shared" si="1"/>
        <v>-1</v>
      </c>
      <c r="K19" s="1">
        <f t="shared" si="2"/>
        <v>-1</v>
      </c>
      <c r="L19" s="27"/>
      <c r="M19" s="17"/>
      <c r="N19" s="17"/>
      <c r="O19" s="17"/>
      <c r="P19" s="17"/>
      <c r="Q19" s="17"/>
      <c r="R19" s="17"/>
      <c r="BB19" s="22" t="s">
        <v>62</v>
      </c>
      <c r="BC19" s="29">
        <f t="shared" ref="BC19:BH19" si="5">C19/C$12</f>
        <v>0.20114122681883023</v>
      </c>
      <c r="BD19" s="29">
        <f t="shared" si="5"/>
        <v>0.22488975992160706</v>
      </c>
      <c r="BE19" s="29">
        <f t="shared" si="5"/>
        <v>0.21060171919770773</v>
      </c>
      <c r="BF19" s="29">
        <f t="shared" si="5"/>
        <v>0.17268501966392563</v>
      </c>
      <c r="BG19" s="29">
        <f t="shared" si="5"/>
        <v>0.1768770152003685</v>
      </c>
      <c r="BH19" s="29">
        <f t="shared" si="5"/>
        <v>0</v>
      </c>
    </row>
    <row r="20" spans="2:60" ht="3" customHeight="1" x14ac:dyDescent="0.3">
      <c r="J20" s="1" t="str">
        <f t="shared" si="1"/>
        <v/>
      </c>
      <c r="K20" s="1" t="str">
        <f t="shared" si="2"/>
        <v/>
      </c>
      <c r="M20" s="17"/>
      <c r="N20" s="17"/>
      <c r="O20" s="17"/>
      <c r="P20" s="17"/>
      <c r="Q20" s="17"/>
      <c r="R20" s="17"/>
      <c r="BH20" s="19"/>
    </row>
    <row r="21" spans="2:60" ht="11.25" customHeight="1" x14ac:dyDescent="0.3">
      <c r="B21" s="13" t="s">
        <v>64</v>
      </c>
      <c r="C21" s="16">
        <v>13054</v>
      </c>
      <c r="D21" s="16">
        <v>13147</v>
      </c>
      <c r="E21" s="16">
        <v>14538</v>
      </c>
      <c r="F21" s="16">
        <v>16278</v>
      </c>
      <c r="G21" s="16">
        <v>15333</v>
      </c>
      <c r="H21" s="16">
        <v>16316</v>
      </c>
      <c r="J21" s="1">
        <f t="shared" si="1"/>
        <v>6.4110089349768584E-2</v>
      </c>
      <c r="K21" s="1">
        <f t="shared" si="2"/>
        <v>0.12230017884165645</v>
      </c>
      <c r="L21" s="27"/>
      <c r="M21" s="17"/>
      <c r="N21" s="17"/>
      <c r="O21" s="17"/>
      <c r="P21" s="17"/>
      <c r="Q21" s="17"/>
      <c r="R21" s="17"/>
      <c r="BB21" s="13" t="s">
        <v>64</v>
      </c>
      <c r="BC21" s="26">
        <f t="shared" ref="BC21:BH22" si="6">C21/C$21</f>
        <v>1</v>
      </c>
      <c r="BD21" s="26">
        <f t="shared" si="6"/>
        <v>1</v>
      </c>
      <c r="BE21" s="26">
        <f t="shared" si="6"/>
        <v>1</v>
      </c>
      <c r="BF21" s="26">
        <f t="shared" si="6"/>
        <v>1</v>
      </c>
      <c r="BG21" s="26">
        <f t="shared" si="6"/>
        <v>1</v>
      </c>
      <c r="BH21" s="26">
        <f t="shared" si="6"/>
        <v>1</v>
      </c>
    </row>
    <row r="22" spans="2:60" ht="11.25" customHeight="1" outlineLevel="1" x14ac:dyDescent="0.3">
      <c r="B22" s="22" t="s">
        <v>56</v>
      </c>
      <c r="C22" s="18">
        <v>8897</v>
      </c>
      <c r="D22" s="19">
        <v>8938</v>
      </c>
      <c r="E22" s="18">
        <v>10004</v>
      </c>
      <c r="F22" s="19">
        <v>11284</v>
      </c>
      <c r="G22" s="19">
        <v>10744</v>
      </c>
      <c r="H22" s="19">
        <v>11274</v>
      </c>
      <c r="J22" s="1">
        <f t="shared" si="1"/>
        <v>4.9329858525688719E-2</v>
      </c>
      <c r="K22" s="1">
        <f t="shared" si="2"/>
        <v>0.12694922031187517</v>
      </c>
      <c r="L22" s="27"/>
      <c r="M22" s="17"/>
      <c r="N22" s="17"/>
      <c r="O22" s="17"/>
      <c r="P22" s="17"/>
      <c r="Q22" s="17"/>
      <c r="R22" s="17"/>
      <c r="BB22" s="22" t="s">
        <v>56</v>
      </c>
      <c r="BC22" s="28">
        <f t="shared" si="6"/>
        <v>0.68155354680557678</v>
      </c>
      <c r="BD22" s="28">
        <f t="shared" si="6"/>
        <v>0.67985091655891072</v>
      </c>
      <c r="BE22" s="28">
        <f t="shared" si="6"/>
        <v>0.6881276654285321</v>
      </c>
      <c r="BF22" s="28">
        <f t="shared" si="6"/>
        <v>0.69320555350780189</v>
      </c>
      <c r="BG22" s="28">
        <f t="shared" si="6"/>
        <v>0.7007108850192395</v>
      </c>
      <c r="BH22" s="28">
        <f t="shared" si="6"/>
        <v>0.69097818092669772</v>
      </c>
    </row>
    <row r="23" spans="2:60" ht="11.25" customHeight="1" outlineLevel="1" x14ac:dyDescent="0.3">
      <c r="B23" s="22" t="s">
        <v>57</v>
      </c>
      <c r="C23" s="18">
        <f>13054-10925-C24</f>
        <v>1353</v>
      </c>
      <c r="D23" s="18">
        <f>13147-11131-D24</f>
        <v>1364</v>
      </c>
      <c r="E23" s="18">
        <f>14538-12433-E24</f>
        <v>1339</v>
      </c>
      <c r="F23" s="18">
        <f>16278-13826-F24</f>
        <v>1528</v>
      </c>
      <c r="G23" s="18">
        <f>15333-12994-G24</f>
        <v>1464</v>
      </c>
      <c r="H23" s="18">
        <v>1480</v>
      </c>
      <c r="J23" s="1">
        <f t="shared" si="1"/>
        <v>1.0928961748633892E-2</v>
      </c>
      <c r="K23" s="1">
        <f t="shared" si="2"/>
        <v>0.10530246452576542</v>
      </c>
      <c r="L23" s="27"/>
      <c r="M23" s="17"/>
      <c r="N23" s="17"/>
      <c r="O23" s="17"/>
      <c r="P23" s="17"/>
      <c r="Q23" s="17"/>
      <c r="R23" s="17"/>
      <c r="BB23" s="22" t="s">
        <v>57</v>
      </c>
      <c r="BC23" s="28">
        <f t="shared" ref="BC23:BH28" si="7">C23/C$22</f>
        <v>0.15207373271889402</v>
      </c>
      <c r="BD23" s="28">
        <f t="shared" si="7"/>
        <v>0.15260684716938913</v>
      </c>
      <c r="BE23" s="28">
        <f t="shared" si="7"/>
        <v>0.13384646141543383</v>
      </c>
      <c r="BF23" s="28">
        <f t="shared" si="7"/>
        <v>0.13541297412265155</v>
      </c>
      <c r="BG23" s="28">
        <f t="shared" si="7"/>
        <v>0.13626209977661952</v>
      </c>
      <c r="BH23" s="28">
        <f t="shared" si="7"/>
        <v>0.13127550115309561</v>
      </c>
    </row>
    <row r="24" spans="2:60" ht="11.25" customHeight="1" outlineLevel="1" x14ac:dyDescent="0.3">
      <c r="B24" s="22" t="s">
        <v>58</v>
      </c>
      <c r="C24" s="18">
        <v>776</v>
      </c>
      <c r="D24" s="19">
        <v>652</v>
      </c>
      <c r="E24" s="18">
        <v>766</v>
      </c>
      <c r="F24" s="19">
        <v>924</v>
      </c>
      <c r="G24" s="19">
        <v>875</v>
      </c>
      <c r="H24" s="19">
        <v>754</v>
      </c>
      <c r="J24" s="1">
        <f t="shared" si="1"/>
        <v>-0.13828571428571423</v>
      </c>
      <c r="K24" s="1">
        <f t="shared" si="2"/>
        <v>-1.5665796344647487E-2</v>
      </c>
      <c r="L24" s="27"/>
      <c r="M24" s="17"/>
      <c r="N24" s="17"/>
      <c r="O24" s="17"/>
      <c r="P24" s="17"/>
      <c r="Q24" s="17"/>
      <c r="R24" s="17"/>
      <c r="BB24" s="22" t="s">
        <v>58</v>
      </c>
      <c r="BC24" s="28">
        <f t="shared" si="7"/>
        <v>8.7220411374620666E-2</v>
      </c>
      <c r="BD24" s="28">
        <f t="shared" si="7"/>
        <v>7.2946968001790111E-2</v>
      </c>
      <c r="BE24" s="28">
        <f t="shared" si="7"/>
        <v>7.6569372251099554E-2</v>
      </c>
      <c r="BF24" s="28">
        <f t="shared" si="7"/>
        <v>8.1885856079404462E-2</v>
      </c>
      <c r="BG24" s="28">
        <f t="shared" si="7"/>
        <v>8.1440804169769176E-2</v>
      </c>
      <c r="BH24" s="28">
        <f t="shared" si="7"/>
        <v>6.6879545857725736E-2</v>
      </c>
    </row>
    <row r="25" spans="2:60" ht="11.25" customHeight="1" outlineLevel="1" x14ac:dyDescent="0.3">
      <c r="B25" s="22" t="s">
        <v>59</v>
      </c>
      <c r="C25" s="18">
        <f>13054-C26-12140</f>
        <v>421</v>
      </c>
      <c r="D25" s="18">
        <f>13147-12159-D26</f>
        <v>405</v>
      </c>
      <c r="E25" s="18">
        <f>14538-E26-13576</f>
        <v>367</v>
      </c>
      <c r="F25" s="18">
        <f>16278-F26-15469</f>
        <v>439</v>
      </c>
      <c r="G25" s="18">
        <f>15333-14658-G26</f>
        <v>391</v>
      </c>
      <c r="H25" s="18">
        <v>518</v>
      </c>
      <c r="J25" s="1">
        <f t="shared" si="1"/>
        <v>0.32480818414322243</v>
      </c>
      <c r="K25" s="1">
        <f t="shared" si="2"/>
        <v>0.41144414168937327</v>
      </c>
      <c r="L25" s="27"/>
      <c r="M25" s="17"/>
      <c r="N25" s="17"/>
      <c r="O25" s="17"/>
      <c r="P25" s="17"/>
      <c r="Q25" s="17"/>
      <c r="R25" s="17"/>
      <c r="BB25" s="22" t="s">
        <v>59</v>
      </c>
      <c r="BC25" s="28">
        <f t="shared" si="7"/>
        <v>4.7319321119478473E-2</v>
      </c>
      <c r="BD25" s="28">
        <f t="shared" si="7"/>
        <v>4.5312150369210116E-2</v>
      </c>
      <c r="BE25" s="28">
        <f t="shared" si="7"/>
        <v>3.668532586965214E-2</v>
      </c>
      <c r="BF25" s="28">
        <f t="shared" si="7"/>
        <v>3.8904643743353423E-2</v>
      </c>
      <c r="BG25" s="28">
        <f t="shared" si="7"/>
        <v>3.6392405063291139E-2</v>
      </c>
      <c r="BH25" s="28">
        <f t="shared" si="7"/>
        <v>4.5946425403583464E-2</v>
      </c>
    </row>
    <row r="26" spans="2:60" ht="11.25" customHeight="1" outlineLevel="1" x14ac:dyDescent="0.3">
      <c r="B26" s="22" t="s">
        <v>60</v>
      </c>
      <c r="C26" s="18">
        <v>493</v>
      </c>
      <c r="D26" s="19">
        <v>583</v>
      </c>
      <c r="E26" s="18">
        <v>595</v>
      </c>
      <c r="F26" s="19">
        <v>370</v>
      </c>
      <c r="G26" s="19">
        <v>284</v>
      </c>
      <c r="H26" s="19">
        <v>509</v>
      </c>
      <c r="J26" s="1">
        <f t="shared" si="1"/>
        <v>0.79225352112676051</v>
      </c>
      <c r="K26" s="1">
        <f t="shared" si="2"/>
        <v>-0.14453781512605046</v>
      </c>
      <c r="L26" s="27"/>
      <c r="M26" s="17"/>
      <c r="N26" s="17"/>
      <c r="O26" s="17"/>
      <c r="P26" s="17"/>
      <c r="Q26" s="17"/>
      <c r="R26" s="17"/>
      <c r="BB26" s="22" t="s">
        <v>60</v>
      </c>
      <c r="BC26" s="28">
        <f t="shared" si="7"/>
        <v>5.5411936607845338E-2</v>
      </c>
      <c r="BD26" s="28">
        <f t="shared" si="7"/>
        <v>6.5227120161109861E-2</v>
      </c>
      <c r="BE26" s="28">
        <f t="shared" si="7"/>
        <v>5.9476209516193521E-2</v>
      </c>
      <c r="BF26" s="28">
        <f t="shared" si="7"/>
        <v>3.2789790854306985E-2</v>
      </c>
      <c r="BG26" s="28">
        <f t="shared" si="7"/>
        <v>2.6433358153387938E-2</v>
      </c>
      <c r="BH26" s="28">
        <f t="shared" si="7"/>
        <v>4.514812843711194E-2</v>
      </c>
    </row>
    <row r="27" spans="2:60" ht="11.25" customHeight="1" outlineLevel="1" x14ac:dyDescent="0.3">
      <c r="B27" s="22" t="s">
        <v>61</v>
      </c>
      <c r="C27" s="18">
        <v>60</v>
      </c>
      <c r="D27" s="18">
        <v>325</v>
      </c>
      <c r="E27" s="18">
        <v>557</v>
      </c>
      <c r="F27" s="18">
        <v>534</v>
      </c>
      <c r="G27" s="18">
        <f>-15133+15333</f>
        <v>200</v>
      </c>
      <c r="H27" s="18">
        <v>63</v>
      </c>
      <c r="J27" s="1">
        <f t="shared" si="1"/>
        <v>-0.68500000000000005</v>
      </c>
      <c r="K27" s="1">
        <f t="shared" si="2"/>
        <v>-0.88689407540394971</v>
      </c>
      <c r="L27" s="27"/>
      <c r="M27" s="17"/>
      <c r="N27" s="17"/>
      <c r="O27" s="17"/>
      <c r="P27" s="17"/>
      <c r="Q27" s="17"/>
      <c r="R27" s="17"/>
      <c r="BB27" s="22" t="s">
        <v>61</v>
      </c>
      <c r="BC27" s="28">
        <f t="shared" si="7"/>
        <v>6.743846240305721E-3</v>
      </c>
      <c r="BD27" s="28">
        <f t="shared" si="7"/>
        <v>3.6361602148131576E-2</v>
      </c>
      <c r="BE27" s="28">
        <f t="shared" si="7"/>
        <v>5.5677728908436627E-2</v>
      </c>
      <c r="BF27" s="28">
        <f t="shared" si="7"/>
        <v>4.7323644097837646E-2</v>
      </c>
      <c r="BG27" s="28">
        <f t="shared" si="7"/>
        <v>1.8615040953090096E-2</v>
      </c>
      <c r="BH27" s="28">
        <f t="shared" si="7"/>
        <v>5.5880787653006915E-3</v>
      </c>
    </row>
    <row r="28" spans="2:60" ht="11.25" customHeight="1" outlineLevel="1" x14ac:dyDescent="0.3">
      <c r="B28" s="22" t="s">
        <v>62</v>
      </c>
      <c r="C28" s="18">
        <f t="shared" ref="C28:H28" si="8">C21-SUM(C22:C27)</f>
        <v>1054</v>
      </c>
      <c r="D28" s="18">
        <f t="shared" si="8"/>
        <v>880</v>
      </c>
      <c r="E28" s="18">
        <f t="shared" si="8"/>
        <v>910</v>
      </c>
      <c r="F28" s="18">
        <f t="shared" si="8"/>
        <v>1199</v>
      </c>
      <c r="G28" s="18">
        <f t="shared" si="8"/>
        <v>1375</v>
      </c>
      <c r="H28" s="18">
        <f t="shared" si="8"/>
        <v>1718</v>
      </c>
      <c r="J28" s="1">
        <f t="shared" si="1"/>
        <v>0.24945454545454537</v>
      </c>
      <c r="K28" s="1">
        <f t="shared" si="2"/>
        <v>0.88791208791208787</v>
      </c>
      <c r="L28" s="27"/>
      <c r="M28" s="17"/>
      <c r="N28" s="17"/>
      <c r="O28" s="17"/>
      <c r="P28" s="17"/>
      <c r="Q28" s="17"/>
      <c r="R28" s="17"/>
      <c r="BB28" s="22" t="s">
        <v>62</v>
      </c>
      <c r="BC28" s="28">
        <f t="shared" si="7"/>
        <v>0.11846689895470383</v>
      </c>
      <c r="BD28" s="28">
        <f t="shared" si="7"/>
        <v>9.8456030431863947E-2</v>
      </c>
      <c r="BE28" s="28">
        <f t="shared" si="7"/>
        <v>9.0963614554178326E-2</v>
      </c>
      <c r="BF28" s="28">
        <f t="shared" si="7"/>
        <v>0.10625664657922722</v>
      </c>
      <c r="BG28" s="28">
        <f t="shared" si="7"/>
        <v>0.12797840655249443</v>
      </c>
      <c r="BH28" s="28">
        <f t="shared" si="7"/>
        <v>0.15238602093312045</v>
      </c>
    </row>
    <row r="29" spans="2:60" ht="3" customHeight="1" x14ac:dyDescent="0.3">
      <c r="J29" s="1" t="str">
        <f t="shared" si="1"/>
        <v/>
      </c>
      <c r="K29" s="1" t="str">
        <f t="shared" si="2"/>
        <v/>
      </c>
      <c r="M29" s="17"/>
      <c r="N29" s="17"/>
      <c r="O29" s="17"/>
      <c r="P29" s="17"/>
      <c r="Q29" s="17"/>
      <c r="R29" s="17"/>
    </row>
    <row r="30" spans="2:60" ht="11.25" customHeight="1" x14ac:dyDescent="0.3">
      <c r="B30" s="13" t="s">
        <v>65</v>
      </c>
      <c r="C30" s="32">
        <v>7.7293370201730133E-2</v>
      </c>
      <c r="D30" s="32">
        <v>8.8583884161091003E-2</v>
      </c>
      <c r="E30" s="32">
        <v>8.6682248563047057E-2</v>
      </c>
      <c r="F30" s="32">
        <v>0.10352591009692437</v>
      </c>
      <c r="G30" s="32">
        <v>0.10352591009692437</v>
      </c>
      <c r="H30" s="32">
        <v>0.10352591009692437</v>
      </c>
      <c r="J30" s="1">
        <f t="shared" si="1"/>
        <v>0</v>
      </c>
      <c r="K30" s="1">
        <f t="shared" si="2"/>
        <v>0.19431500466472462</v>
      </c>
      <c r="L30" s="27"/>
      <c r="M30" s="17"/>
      <c r="N30" s="17"/>
      <c r="O30" s="17"/>
      <c r="P30" s="17"/>
      <c r="Q30" s="17"/>
      <c r="R30" s="17"/>
      <c r="BB30" s="33"/>
      <c r="BC30" s="34"/>
      <c r="BD30" s="34"/>
      <c r="BE30" s="34"/>
      <c r="BF30" s="34"/>
      <c r="BG30" s="34"/>
    </row>
    <row r="31" spans="2:60" ht="11.25" customHeight="1" outlineLevel="1" x14ac:dyDescent="0.3">
      <c r="B31" s="22" t="s">
        <v>56</v>
      </c>
      <c r="C31" s="34">
        <v>0.11335057522518505</v>
      </c>
      <c r="D31" s="34">
        <v>0.14146210214772961</v>
      </c>
      <c r="E31" s="34">
        <v>0.14883582533660641</v>
      </c>
      <c r="F31" s="34">
        <v>0.1577497868057206</v>
      </c>
      <c r="G31" s="34">
        <v>0.1577497868057206</v>
      </c>
      <c r="H31" s="34">
        <v>0.1577497868057206</v>
      </c>
      <c r="J31" s="1">
        <f t="shared" si="1"/>
        <v>0</v>
      </c>
      <c r="K31" s="1">
        <f t="shared" si="2"/>
        <v>5.9891235520442843E-2</v>
      </c>
      <c r="L31" s="27"/>
      <c r="M31" s="17"/>
      <c r="N31" s="17"/>
      <c r="O31" s="17"/>
      <c r="P31" s="17"/>
      <c r="Q31" s="17"/>
      <c r="R31" s="17"/>
      <c r="BB31" s="33"/>
      <c r="BC31" s="34"/>
      <c r="BD31" s="34"/>
      <c r="BE31" s="34"/>
      <c r="BF31" s="34"/>
      <c r="BG31" s="34"/>
    </row>
    <row r="32" spans="2:60" ht="11.25" customHeight="1" outlineLevel="1" x14ac:dyDescent="0.3">
      <c r="B32" s="22" t="s">
        <v>57</v>
      </c>
      <c r="C32" s="34">
        <v>5.31673758301189E-2</v>
      </c>
      <c r="D32" s="34">
        <v>5.3272691318963811E-2</v>
      </c>
      <c r="E32" s="34">
        <v>5.5112854103216653E-2</v>
      </c>
      <c r="F32" s="34">
        <v>8.9503737059560842E-2</v>
      </c>
      <c r="G32" s="34">
        <v>8.9503737059560842E-2</v>
      </c>
      <c r="H32" s="34">
        <v>8.9503737059560842E-2</v>
      </c>
      <c r="J32" s="1">
        <f t="shared" si="1"/>
        <v>0</v>
      </c>
      <c r="K32" s="1">
        <f t="shared" si="2"/>
        <v>0.62400838272567283</v>
      </c>
      <c r="L32" s="27"/>
      <c r="M32" s="17"/>
      <c r="N32" s="17"/>
      <c r="O32" s="17"/>
      <c r="P32" s="17"/>
      <c r="Q32" s="17"/>
      <c r="R32" s="17"/>
      <c r="BB32" s="33"/>
      <c r="BC32" s="34"/>
      <c r="BD32" s="34"/>
      <c r="BE32" s="34"/>
      <c r="BF32" s="34"/>
      <c r="BG32" s="34"/>
    </row>
    <row r="33" spans="2:59" ht="11.25" customHeight="1" outlineLevel="1" x14ac:dyDescent="0.3">
      <c r="B33" s="22" t="s">
        <v>58</v>
      </c>
      <c r="C33" s="34">
        <v>0.2236024844720497</v>
      </c>
      <c r="D33" s="34">
        <v>0.20860617399438727</v>
      </c>
      <c r="E33" s="34">
        <v>0.20056280378613456</v>
      </c>
      <c r="F33" s="34">
        <v>0.24203233256351039</v>
      </c>
      <c r="G33" s="34">
        <v>0.24203233256351039</v>
      </c>
      <c r="H33" s="34">
        <v>0.24203233256351039</v>
      </c>
      <c r="J33" s="1">
        <f t="shared" si="1"/>
        <v>0</v>
      </c>
      <c r="K33" s="1">
        <f t="shared" si="2"/>
        <v>0.20676580100862529</v>
      </c>
      <c r="L33" s="27"/>
      <c r="M33" s="17"/>
      <c r="N33" s="17"/>
      <c r="O33" s="17"/>
      <c r="P33" s="17"/>
      <c r="Q33" s="17"/>
      <c r="R33" s="17"/>
      <c r="BB33" s="33"/>
      <c r="BC33" s="34"/>
      <c r="BD33" s="34"/>
      <c r="BE33" s="34"/>
      <c r="BF33" s="34"/>
      <c r="BG33" s="34"/>
    </row>
    <row r="34" spans="2:59" ht="11.25" customHeight="1" outlineLevel="1" x14ac:dyDescent="0.3">
      <c r="B34" s="22" t="s">
        <v>59</v>
      </c>
      <c r="C34" s="34">
        <v>3.3638893435914224E-2</v>
      </c>
      <c r="D34" s="34">
        <v>3.4600262123197903E-2</v>
      </c>
      <c r="E34" s="34">
        <v>2.9863337270119791E-2</v>
      </c>
      <c r="F34" s="34">
        <v>3.2798112776805416E-2</v>
      </c>
      <c r="G34" s="34">
        <v>3.2798112776805416E-2</v>
      </c>
      <c r="H34" s="34">
        <v>3.2798112776805416E-2</v>
      </c>
      <c r="J34" s="1">
        <f t="shared" si="1"/>
        <v>0</v>
      </c>
      <c r="K34" s="1">
        <f t="shared" si="2"/>
        <v>9.8273527842517971E-2</v>
      </c>
      <c r="L34" s="27"/>
      <c r="M34" s="17"/>
      <c r="N34" s="17"/>
      <c r="O34" s="17"/>
      <c r="P34" s="17"/>
      <c r="Q34" s="17"/>
      <c r="R34" s="17"/>
      <c r="BB34" s="33"/>
      <c r="BC34" s="34"/>
      <c r="BD34" s="34"/>
      <c r="BE34" s="34"/>
      <c r="BF34" s="34"/>
      <c r="BG34" s="34"/>
    </row>
    <row r="35" spans="2:59" ht="11.25" customHeight="1" outlineLevel="1" x14ac:dyDescent="0.3">
      <c r="B35" s="22" t="s">
        <v>60</v>
      </c>
      <c r="C35" s="34">
        <v>0.23603941811356172</v>
      </c>
      <c r="D35" s="34">
        <v>0.26079295154185023</v>
      </c>
      <c r="E35" s="34">
        <v>0.21652421652421652</v>
      </c>
      <c r="F35" s="34">
        <v>0.15029821073558647</v>
      </c>
      <c r="G35" s="34">
        <v>0.15029821073558647</v>
      </c>
      <c r="H35" s="34">
        <v>0.15029821073558647</v>
      </c>
      <c r="J35" s="1">
        <f t="shared" si="1"/>
        <v>0</v>
      </c>
      <c r="K35" s="1">
        <f t="shared" si="2"/>
        <v>-0.30585957936590991</v>
      </c>
      <c r="L35" s="27"/>
      <c r="M35" s="17"/>
      <c r="N35" s="17"/>
      <c r="O35" s="17"/>
      <c r="P35" s="17"/>
      <c r="Q35" s="17"/>
      <c r="R35" s="17"/>
      <c r="BB35" s="33"/>
      <c r="BC35" s="34"/>
      <c r="BD35" s="34"/>
      <c r="BE35" s="34"/>
      <c r="BF35" s="34"/>
      <c r="BG35" s="34"/>
    </row>
    <row r="36" spans="2:59" ht="11.25" customHeight="1" outlineLevel="1" x14ac:dyDescent="0.3">
      <c r="B36" s="22" t="s">
        <v>61</v>
      </c>
      <c r="C36" s="34">
        <v>5.4694621695533276E-2</v>
      </c>
      <c r="D36" s="34">
        <v>9.0227651304830653E-2</v>
      </c>
      <c r="E36" s="34">
        <v>0.24323144104803493</v>
      </c>
      <c r="F36" s="34">
        <v>0.12526389866291343</v>
      </c>
      <c r="G36" s="34">
        <v>0.12526389866291343</v>
      </c>
      <c r="H36" s="34">
        <v>0.12526389866291343</v>
      </c>
      <c r="J36" s="1">
        <f t="shared" si="1"/>
        <v>0</v>
      </c>
      <c r="K36" s="1">
        <f t="shared" si="2"/>
        <v>-0.4850012065743774</v>
      </c>
      <c r="L36" s="27"/>
      <c r="M36" s="17"/>
      <c r="N36" s="17"/>
      <c r="O36" s="17"/>
      <c r="P36" s="17"/>
      <c r="Q36" s="17"/>
      <c r="R36" s="17"/>
      <c r="BB36" s="33"/>
      <c r="BC36" s="34"/>
      <c r="BD36" s="34"/>
      <c r="BE36" s="34"/>
      <c r="BF36" s="34"/>
      <c r="BG36" s="34"/>
    </row>
    <row r="37" spans="2:59" ht="11.25" customHeight="1" outlineLevel="1" x14ac:dyDescent="0.3">
      <c r="B37" s="22" t="s">
        <v>62</v>
      </c>
      <c r="C37" s="34">
        <v>2.2782785379244753E-2</v>
      </c>
      <c r="D37" s="34">
        <v>2.2323127267192613E-2</v>
      </c>
      <c r="E37" s="34">
        <v>1.6346032943543316E-2</v>
      </c>
      <c r="F37" s="34">
        <v>2.8493346007604562E-2</v>
      </c>
      <c r="G37" s="34">
        <v>2.8493346007604562E-2</v>
      </c>
      <c r="H37" s="34">
        <v>2.8493346007604562E-2</v>
      </c>
      <c r="J37" s="1">
        <f t="shared" si="1"/>
        <v>0</v>
      </c>
      <c r="K37" s="1">
        <f t="shared" si="2"/>
        <v>0.74313523691137773</v>
      </c>
      <c r="L37" s="27"/>
      <c r="M37" s="17"/>
      <c r="N37" s="17"/>
      <c r="O37" s="17"/>
      <c r="P37" s="17"/>
      <c r="Q37" s="17"/>
      <c r="R37" s="17"/>
      <c r="BB37" s="33"/>
      <c r="BC37" s="34"/>
      <c r="BD37" s="34"/>
      <c r="BE37" s="34"/>
      <c r="BF37" s="34"/>
      <c r="BG37" s="34"/>
    </row>
    <row r="38" spans="2:59" ht="11.25" customHeight="1" x14ac:dyDescent="0.3">
      <c r="M38" s="17"/>
      <c r="N38" s="17"/>
      <c r="O38" s="17"/>
      <c r="P38" s="17"/>
      <c r="Q38" s="17"/>
      <c r="R38" s="17"/>
      <c r="BB38" s="35"/>
      <c r="BC38" s="19"/>
      <c r="BE38" s="19"/>
    </row>
    <row r="39" spans="2:59" ht="11.25" customHeight="1" x14ac:dyDescent="0.3">
      <c r="M39" s="17"/>
      <c r="N39" s="17"/>
      <c r="O39" s="17"/>
      <c r="P39" s="17"/>
      <c r="Q39" s="17"/>
      <c r="R39" s="17"/>
    </row>
    <row r="40" spans="2:59" ht="11.25" customHeight="1" x14ac:dyDescent="0.3">
      <c r="M40" s="17"/>
      <c r="N40" s="17"/>
      <c r="O40" s="17"/>
      <c r="P40" s="17"/>
      <c r="Q40" s="17"/>
      <c r="R40" s="17"/>
    </row>
    <row r="41" spans="2:59" ht="11.25" customHeight="1" x14ac:dyDescent="0.3">
      <c r="M41" s="17"/>
      <c r="N41" s="17"/>
      <c r="O41" s="17"/>
      <c r="P41" s="17"/>
      <c r="Q41" s="17"/>
      <c r="R41" s="17"/>
    </row>
    <row r="42" spans="2:59" ht="11.25" customHeight="1" x14ac:dyDescent="0.3">
      <c r="M42" s="17"/>
      <c r="N42" s="17"/>
      <c r="O42" s="17"/>
      <c r="P42" s="17"/>
      <c r="Q42" s="17"/>
      <c r="R42" s="17"/>
    </row>
    <row r="43" spans="2:59" ht="11.25" customHeight="1" x14ac:dyDescent="0.3">
      <c r="M43" s="17"/>
      <c r="N43" s="17"/>
      <c r="O43" s="17"/>
      <c r="P43" s="17"/>
      <c r="Q43" s="17"/>
      <c r="R43" s="17"/>
    </row>
    <row r="44" spans="2:59" ht="11.25" customHeight="1" x14ac:dyDescent="0.3">
      <c r="M44" s="17"/>
      <c r="N44" s="17"/>
      <c r="O44" s="17"/>
      <c r="P44" s="17"/>
      <c r="Q44" s="17"/>
      <c r="R44" s="17"/>
    </row>
    <row r="45" spans="2:59" ht="11.25" customHeight="1" x14ac:dyDescent="0.3">
      <c r="M45" s="17"/>
      <c r="N45" s="17"/>
      <c r="O45" s="17"/>
      <c r="P45" s="17"/>
      <c r="Q45" s="17"/>
      <c r="R45" s="17"/>
      <c r="BC45" s="9"/>
      <c r="BD45" s="9"/>
    </row>
    <row r="46" spans="2:59" ht="11.25" customHeight="1" x14ac:dyDescent="0.3">
      <c r="M46" s="17"/>
      <c r="N46" s="17"/>
      <c r="O46" s="17"/>
      <c r="P46" s="17"/>
      <c r="Q46" s="17"/>
      <c r="R46" s="17"/>
      <c r="BC46" s="9"/>
      <c r="BD46" s="9"/>
    </row>
    <row r="47" spans="2:59" ht="11.25" customHeight="1" x14ac:dyDescent="0.3">
      <c r="M47" s="17"/>
      <c r="N47" s="17"/>
      <c r="O47" s="17"/>
      <c r="P47" s="17"/>
      <c r="Q47" s="17"/>
      <c r="R47" s="17"/>
    </row>
    <row r="48" spans="2:59" ht="11.25" customHeight="1" x14ac:dyDescent="0.3">
      <c r="M48" s="17"/>
      <c r="N48" s="17"/>
      <c r="O48" s="17"/>
      <c r="P48" s="17"/>
      <c r="Q48" s="17"/>
      <c r="R48" s="17"/>
      <c r="BB48" s="17"/>
      <c r="BC48" s="17"/>
      <c r="BD48" s="17"/>
    </row>
    <row r="49" spans="13:18" ht="11.25" customHeight="1" x14ac:dyDescent="0.3">
      <c r="M49" s="17"/>
      <c r="N49" s="17"/>
      <c r="O49" s="17"/>
      <c r="P49" s="17"/>
      <c r="Q49" s="17"/>
      <c r="R49" s="17"/>
    </row>
    <row r="50" spans="13:18" ht="11.25" customHeight="1" x14ac:dyDescent="0.3">
      <c r="M50" s="17"/>
      <c r="N50" s="17"/>
      <c r="O50" s="17"/>
      <c r="P50" s="17"/>
      <c r="Q50" s="17"/>
      <c r="R50" s="17"/>
    </row>
    <row r="51" spans="13:18" ht="11.25" customHeight="1" x14ac:dyDescent="0.3">
      <c r="M51" s="17"/>
      <c r="N51" s="17"/>
      <c r="O51" s="17"/>
      <c r="P51" s="17"/>
      <c r="Q51" s="17"/>
      <c r="R51" s="17"/>
    </row>
    <row r="52" spans="13:18" ht="11.25" customHeight="1" x14ac:dyDescent="0.3">
      <c r="M52" s="17"/>
      <c r="N52" s="17"/>
      <c r="O52" s="17"/>
      <c r="P52" s="17"/>
      <c r="Q52" s="17"/>
      <c r="R52" s="17"/>
    </row>
    <row r="53" spans="13:18" ht="11.25" customHeight="1" x14ac:dyDescent="0.3">
      <c r="M53" s="17"/>
      <c r="N53" s="17"/>
      <c r="O53" s="17"/>
      <c r="P53" s="17"/>
      <c r="Q53" s="17"/>
      <c r="R53" s="17"/>
    </row>
    <row r="54" spans="13:18" ht="11.25" customHeight="1" x14ac:dyDescent="0.3">
      <c r="M54" s="17"/>
      <c r="N54" s="17"/>
      <c r="O54" s="17"/>
      <c r="P54" s="17"/>
      <c r="Q54" s="17"/>
      <c r="R54" s="17"/>
    </row>
    <row r="55" spans="13:18" ht="11.25" customHeight="1" x14ac:dyDescent="0.3">
      <c r="M55" s="17"/>
      <c r="N55" s="17"/>
      <c r="O55" s="17"/>
      <c r="P55" s="17"/>
      <c r="Q55" s="17"/>
      <c r="R55" s="17"/>
    </row>
    <row r="56" spans="13:18" ht="11.25" customHeight="1" x14ac:dyDescent="0.3">
      <c r="M56" s="17"/>
      <c r="N56" s="17"/>
      <c r="O56" s="17"/>
      <c r="P56" s="17"/>
      <c r="Q56" s="17"/>
      <c r="R56" s="17"/>
    </row>
    <row r="57" spans="13:18" ht="11.25" customHeight="1" x14ac:dyDescent="0.3">
      <c r="M57" s="17"/>
      <c r="N57" s="17"/>
      <c r="O57" s="17"/>
      <c r="P57" s="17"/>
      <c r="Q57" s="17"/>
      <c r="R57" s="17"/>
    </row>
    <row r="58" spans="13:18" ht="11.25" customHeight="1" x14ac:dyDescent="0.3">
      <c r="M58" s="17"/>
      <c r="N58" s="17"/>
      <c r="O58" s="17"/>
      <c r="P58" s="17"/>
      <c r="Q58" s="17"/>
      <c r="R58" s="17"/>
    </row>
    <row r="59" spans="13:18" ht="11.25" customHeight="1" x14ac:dyDescent="0.3">
      <c r="M59" s="17"/>
      <c r="N59" s="17"/>
      <c r="O59" s="17"/>
      <c r="P59" s="17"/>
      <c r="Q59" s="17"/>
      <c r="R59" s="17"/>
    </row>
    <row r="60" spans="13:18" ht="11.25" customHeight="1" x14ac:dyDescent="0.3">
      <c r="M60" s="17"/>
      <c r="N60" s="17"/>
      <c r="O60" s="17"/>
      <c r="P60" s="17"/>
      <c r="Q60" s="17"/>
      <c r="R60" s="17"/>
    </row>
    <row r="61" spans="13:18" ht="11.25" customHeight="1" x14ac:dyDescent="0.3">
      <c r="M61" s="17"/>
      <c r="N61" s="17"/>
      <c r="O61" s="17"/>
      <c r="P61" s="17"/>
      <c r="Q61" s="17"/>
      <c r="R61" s="17"/>
    </row>
    <row r="62" spans="13:18" ht="11.25" customHeight="1" x14ac:dyDescent="0.3">
      <c r="M62" s="17"/>
      <c r="N62" s="17"/>
      <c r="O62" s="17"/>
      <c r="P62" s="17"/>
      <c r="Q62" s="17"/>
      <c r="R62" s="17"/>
    </row>
    <row r="63" spans="13:18" ht="11.25" customHeight="1" x14ac:dyDescent="0.3">
      <c r="M63" s="17"/>
      <c r="N63" s="17"/>
      <c r="O63" s="17"/>
      <c r="P63" s="17"/>
      <c r="Q63" s="17"/>
      <c r="R63" s="17"/>
    </row>
    <row r="64" spans="13:18" ht="11.25" customHeight="1" x14ac:dyDescent="0.3">
      <c r="M64" s="17"/>
      <c r="N64" s="17"/>
      <c r="O64" s="17"/>
      <c r="P64" s="17"/>
      <c r="Q64" s="17"/>
      <c r="R64" s="17"/>
    </row>
    <row r="65" spans="13:18" ht="11.25" customHeight="1" x14ac:dyDescent="0.3">
      <c r="M65" s="17"/>
      <c r="N65" s="17"/>
      <c r="O65" s="17"/>
      <c r="P65" s="17"/>
      <c r="Q65" s="17"/>
      <c r="R65" s="17"/>
    </row>
    <row r="66" spans="13:18" ht="11.25" customHeight="1" x14ac:dyDescent="0.3">
      <c r="M66" s="17"/>
      <c r="N66" s="17"/>
      <c r="O66" s="17"/>
      <c r="P66" s="17"/>
      <c r="Q66" s="17"/>
      <c r="R66" s="17"/>
    </row>
    <row r="67" spans="13:18" ht="11.25" customHeight="1" x14ac:dyDescent="0.3">
      <c r="M67" s="17"/>
      <c r="N67" s="17"/>
      <c r="O67" s="17"/>
      <c r="P67" s="17"/>
      <c r="Q67" s="17"/>
      <c r="R67" s="17"/>
    </row>
    <row r="68" spans="13:18" ht="11.25" customHeight="1" x14ac:dyDescent="0.3">
      <c r="M68" s="17"/>
      <c r="N68" s="17"/>
      <c r="O68" s="17"/>
      <c r="P68" s="17"/>
      <c r="Q68" s="17"/>
      <c r="R68" s="17"/>
    </row>
    <row r="69" spans="13:18" ht="11.25" customHeight="1" x14ac:dyDescent="0.3">
      <c r="M69" s="17"/>
      <c r="N69" s="17"/>
      <c r="O69" s="17"/>
      <c r="P69" s="17"/>
      <c r="Q69" s="17"/>
      <c r="R69" s="17"/>
    </row>
    <row r="70" spans="13:18" ht="11.25" customHeight="1" x14ac:dyDescent="0.3">
      <c r="M70" s="17"/>
      <c r="N70" s="17"/>
      <c r="O70" s="17"/>
      <c r="P70" s="17"/>
      <c r="Q70" s="17"/>
      <c r="R70" s="17"/>
    </row>
    <row r="71" spans="13:18" ht="11.25" customHeight="1" x14ac:dyDescent="0.3">
      <c r="M71" s="17"/>
      <c r="N71" s="17"/>
      <c r="O71" s="17"/>
      <c r="P71" s="17"/>
      <c r="Q71" s="17"/>
      <c r="R71" s="17"/>
    </row>
    <row r="72" spans="13:18" ht="11.25" customHeight="1" x14ac:dyDescent="0.3">
      <c r="M72" s="17"/>
      <c r="N72" s="17"/>
      <c r="O72" s="17"/>
      <c r="P72" s="17"/>
      <c r="Q72" s="17"/>
      <c r="R72" s="17"/>
    </row>
    <row r="73" spans="13:18" ht="11.25" customHeight="1" x14ac:dyDescent="0.3">
      <c r="M73" s="17"/>
      <c r="N73" s="17"/>
      <c r="O73" s="17"/>
      <c r="P73" s="17"/>
      <c r="Q73" s="17"/>
      <c r="R73" s="17"/>
    </row>
    <row r="74" spans="13:18" ht="11.25" customHeight="1" x14ac:dyDescent="0.3">
      <c r="M74" s="17"/>
      <c r="N74" s="17"/>
      <c r="O74" s="17"/>
      <c r="P74" s="17"/>
      <c r="Q74" s="17"/>
      <c r="R74" s="17"/>
    </row>
    <row r="75" spans="13:18" ht="11.25" customHeight="1" x14ac:dyDescent="0.3">
      <c r="M75" s="17"/>
      <c r="N75" s="17"/>
      <c r="O75" s="17"/>
      <c r="P75" s="17"/>
      <c r="Q75" s="17"/>
      <c r="R75" s="17"/>
    </row>
    <row r="76" spans="13:18" ht="11.25" customHeight="1" x14ac:dyDescent="0.3">
      <c r="M76" s="17"/>
      <c r="N76" s="17"/>
      <c r="O76" s="17"/>
      <c r="P76" s="17"/>
      <c r="Q76" s="17"/>
      <c r="R76" s="17"/>
    </row>
    <row r="77" spans="13:18" ht="11.25" customHeight="1" x14ac:dyDescent="0.3">
      <c r="M77" s="17"/>
      <c r="N77" s="17"/>
      <c r="O77" s="17"/>
      <c r="P77" s="17"/>
      <c r="Q77" s="17"/>
      <c r="R77" s="17"/>
    </row>
    <row r="78" spans="13:18" ht="11.25" customHeight="1" x14ac:dyDescent="0.3">
      <c r="M78" s="17"/>
      <c r="N78" s="17"/>
      <c r="O78" s="17"/>
      <c r="P78" s="17"/>
      <c r="Q78" s="17"/>
      <c r="R78" s="17"/>
    </row>
    <row r="79" spans="13:18" ht="11.25" customHeight="1" x14ac:dyDescent="0.3">
      <c r="M79" s="17"/>
      <c r="N79" s="17"/>
      <c r="O79" s="17"/>
      <c r="P79" s="17"/>
      <c r="Q79" s="17"/>
      <c r="R79" s="17"/>
    </row>
    <row r="80" spans="13:18" ht="11.25" customHeight="1" x14ac:dyDescent="0.3">
      <c r="M80" s="17"/>
      <c r="N80" s="17"/>
      <c r="O80" s="17"/>
      <c r="P80" s="17"/>
      <c r="Q80" s="17"/>
      <c r="R80" s="17"/>
    </row>
    <row r="81" spans="13:18" ht="11.25" customHeight="1" x14ac:dyDescent="0.3">
      <c r="M81" s="17"/>
      <c r="N81" s="17"/>
      <c r="O81" s="17"/>
      <c r="P81" s="17"/>
      <c r="Q81" s="17"/>
      <c r="R81" s="17"/>
    </row>
    <row r="82" spans="13:18" ht="11.25" customHeight="1" x14ac:dyDescent="0.3">
      <c r="M82" s="17"/>
      <c r="N82" s="17"/>
      <c r="O82" s="17"/>
      <c r="P82" s="17"/>
      <c r="Q82" s="17"/>
      <c r="R82" s="17"/>
    </row>
    <row r="83" spans="13:18" ht="11.25" customHeight="1" x14ac:dyDescent="0.3">
      <c r="M83" s="17"/>
      <c r="N83" s="17"/>
      <c r="O83" s="17"/>
      <c r="P83" s="17"/>
      <c r="Q83" s="17"/>
      <c r="R83" s="17"/>
    </row>
    <row r="84" spans="13:18" ht="11.25" customHeight="1" x14ac:dyDescent="0.3">
      <c r="M84" s="17"/>
      <c r="N84" s="17"/>
      <c r="O84" s="17"/>
      <c r="P84" s="17"/>
      <c r="Q84" s="17"/>
      <c r="R84" s="17"/>
    </row>
    <row r="85" spans="13:18" ht="11.25" customHeight="1" x14ac:dyDescent="0.3">
      <c r="M85" s="17"/>
      <c r="N85" s="17"/>
      <c r="O85" s="17"/>
      <c r="P85" s="17"/>
      <c r="Q85" s="17"/>
      <c r="R85" s="17"/>
    </row>
    <row r="86" spans="13:18" ht="11.25" customHeight="1" x14ac:dyDescent="0.3">
      <c r="M86" s="17"/>
      <c r="N86" s="17"/>
      <c r="O86" s="17"/>
      <c r="P86" s="17"/>
      <c r="Q86" s="17"/>
      <c r="R86" s="17"/>
    </row>
    <row r="87" spans="13:18" ht="11.25" customHeight="1" x14ac:dyDescent="0.3">
      <c r="M87" s="17"/>
      <c r="N87" s="17"/>
      <c r="O87" s="17"/>
      <c r="P87" s="17"/>
      <c r="Q87" s="17"/>
      <c r="R87" s="17"/>
    </row>
    <row r="88" spans="13:18" ht="11.25" customHeight="1" x14ac:dyDescent="0.3">
      <c r="M88" s="17"/>
      <c r="N88" s="17"/>
      <c r="O88" s="17"/>
      <c r="P88" s="17"/>
      <c r="Q88" s="17"/>
      <c r="R88" s="17"/>
    </row>
    <row r="89" spans="13:18" ht="11.25" customHeight="1" x14ac:dyDescent="0.3">
      <c r="M89" s="17"/>
      <c r="N89" s="17"/>
      <c r="O89" s="17"/>
      <c r="P89" s="17"/>
      <c r="Q89" s="17"/>
      <c r="R89" s="17"/>
    </row>
    <row r="90" spans="13:18" ht="11.25" customHeight="1" x14ac:dyDescent="0.3">
      <c r="M90" s="17"/>
      <c r="N90" s="17"/>
      <c r="O90" s="17"/>
      <c r="P90" s="17"/>
      <c r="Q90" s="17"/>
      <c r="R90" s="17"/>
    </row>
    <row r="91" spans="13:18" ht="11.25" customHeight="1" x14ac:dyDescent="0.3">
      <c r="M91" s="17"/>
      <c r="N91" s="17"/>
      <c r="O91" s="17"/>
      <c r="P91" s="17"/>
      <c r="Q91" s="17"/>
      <c r="R91" s="17"/>
    </row>
    <row r="92" spans="13:18" ht="11.25" customHeight="1" x14ac:dyDescent="0.3">
      <c r="M92" s="17"/>
      <c r="N92" s="17"/>
      <c r="O92" s="17"/>
      <c r="P92" s="17"/>
      <c r="Q92" s="17"/>
      <c r="R92" s="17"/>
    </row>
    <row r="93" spans="13:18" ht="11.25" customHeight="1" x14ac:dyDescent="0.3">
      <c r="M93" s="17"/>
      <c r="N93" s="17"/>
      <c r="O93" s="17"/>
      <c r="P93" s="17"/>
      <c r="Q93" s="17"/>
      <c r="R93" s="17"/>
    </row>
    <row r="94" spans="13:18" ht="11.25" customHeight="1" x14ac:dyDescent="0.3">
      <c r="M94" s="17"/>
      <c r="N94" s="17"/>
      <c r="O94" s="17"/>
      <c r="P94" s="17"/>
      <c r="Q94" s="17"/>
      <c r="R94" s="17"/>
    </row>
    <row r="95" spans="13:18" ht="11.25" customHeight="1" x14ac:dyDescent="0.3">
      <c r="M95" s="17"/>
      <c r="N95" s="17"/>
      <c r="O95" s="17"/>
      <c r="P95" s="17"/>
      <c r="Q95" s="17"/>
      <c r="R95" s="17"/>
    </row>
    <row r="96" spans="13:18" ht="11.25" customHeight="1" x14ac:dyDescent="0.3">
      <c r="M96" s="17"/>
      <c r="N96" s="17"/>
      <c r="O96" s="17"/>
      <c r="P96" s="17"/>
      <c r="Q96" s="17"/>
      <c r="R96" s="17"/>
    </row>
    <row r="97" spans="13:18" ht="11.25" customHeight="1" x14ac:dyDescent="0.3">
      <c r="M97" s="17"/>
      <c r="N97" s="17"/>
      <c r="O97" s="17"/>
      <c r="P97" s="17"/>
      <c r="Q97" s="17"/>
      <c r="R97" s="17"/>
    </row>
    <row r="98" spans="13:18" ht="11.25" customHeight="1" x14ac:dyDescent="0.3">
      <c r="M98" s="17"/>
      <c r="N98" s="17"/>
      <c r="O98" s="17"/>
      <c r="P98" s="17"/>
      <c r="Q98" s="17"/>
      <c r="R98" s="17"/>
    </row>
    <row r="99" spans="13:18" ht="11.25" customHeight="1" x14ac:dyDescent="0.3">
      <c r="M99" s="17"/>
      <c r="N99" s="17"/>
      <c r="O99" s="17"/>
      <c r="P99" s="17"/>
      <c r="Q99" s="17"/>
      <c r="R99" s="17"/>
    </row>
    <row r="100" spans="13:18" ht="11.25" customHeight="1" x14ac:dyDescent="0.3">
      <c r="M100" s="17"/>
      <c r="N100" s="17"/>
      <c r="O100" s="17"/>
      <c r="P100" s="17"/>
      <c r="Q100" s="17"/>
      <c r="R100" s="17"/>
    </row>
    <row r="101" spans="13:18" ht="11.25" customHeight="1" x14ac:dyDescent="0.3">
      <c r="M101" s="17"/>
      <c r="N101" s="17"/>
      <c r="O101" s="17"/>
      <c r="P101" s="17"/>
      <c r="Q101" s="17"/>
      <c r="R101" s="17"/>
    </row>
    <row r="102" spans="13:18" ht="11.25" customHeight="1" x14ac:dyDescent="0.3">
      <c r="M102" s="17"/>
      <c r="N102" s="17"/>
      <c r="O102" s="17"/>
      <c r="P102" s="17"/>
      <c r="Q102" s="17"/>
      <c r="R102" s="17"/>
    </row>
    <row r="103" spans="13:18" ht="11.25" customHeight="1" x14ac:dyDescent="0.3">
      <c r="M103" s="17"/>
      <c r="N103" s="17"/>
      <c r="O103" s="17"/>
      <c r="P103" s="17"/>
      <c r="Q103" s="17"/>
      <c r="R103" s="17"/>
    </row>
    <row r="104" spans="13:18" ht="11.25" customHeight="1" x14ac:dyDescent="0.3">
      <c r="M104" s="17"/>
      <c r="N104" s="17"/>
      <c r="O104" s="17"/>
      <c r="P104" s="17"/>
      <c r="Q104" s="17"/>
      <c r="R104" s="17"/>
    </row>
    <row r="105" spans="13:18" ht="11.25" customHeight="1" x14ac:dyDescent="0.3">
      <c r="M105" s="17"/>
      <c r="N105" s="17"/>
      <c r="O105" s="17"/>
      <c r="P105" s="17"/>
      <c r="Q105" s="17"/>
      <c r="R105" s="17"/>
    </row>
    <row r="106" spans="13:18" ht="11.25" customHeight="1" x14ac:dyDescent="0.3">
      <c r="M106" s="17"/>
      <c r="N106" s="17"/>
      <c r="O106" s="17"/>
      <c r="P106" s="17"/>
      <c r="Q106" s="17"/>
      <c r="R106" s="17"/>
    </row>
    <row r="107" spans="13:18" ht="11.25" customHeight="1" x14ac:dyDescent="0.3">
      <c r="M107" s="17"/>
      <c r="N107" s="17"/>
      <c r="O107" s="17"/>
      <c r="P107" s="17"/>
      <c r="Q107" s="17"/>
      <c r="R107" s="17"/>
    </row>
    <row r="108" spans="13:18" ht="11.25" customHeight="1" x14ac:dyDescent="0.3">
      <c r="M108" s="17"/>
      <c r="N108" s="17"/>
      <c r="O108" s="17"/>
      <c r="P108" s="17"/>
      <c r="Q108" s="17"/>
      <c r="R108" s="17"/>
    </row>
    <row r="109" spans="13:18" ht="11.25" customHeight="1" x14ac:dyDescent="0.3">
      <c r="M109" s="17"/>
      <c r="N109" s="17"/>
      <c r="O109" s="17"/>
      <c r="P109" s="17"/>
      <c r="Q109" s="17"/>
      <c r="R109" s="17"/>
    </row>
    <row r="110" spans="13:18" ht="11.25" customHeight="1" x14ac:dyDescent="0.3">
      <c r="M110" s="17"/>
      <c r="N110" s="17"/>
      <c r="O110" s="17"/>
      <c r="P110" s="17"/>
      <c r="Q110" s="17"/>
      <c r="R110" s="17"/>
    </row>
    <row r="111" spans="13:18" ht="11.25" customHeight="1" x14ac:dyDescent="0.3">
      <c r="M111" s="17"/>
      <c r="N111" s="17"/>
      <c r="O111" s="17"/>
      <c r="P111" s="17"/>
      <c r="Q111" s="17"/>
      <c r="R111" s="17"/>
    </row>
    <row r="112" spans="13:18" ht="11.25" customHeight="1" x14ac:dyDescent="0.3">
      <c r="M112" s="17"/>
      <c r="N112" s="17"/>
      <c r="O112" s="17"/>
      <c r="P112" s="17"/>
      <c r="Q112" s="17"/>
      <c r="R112" s="17"/>
    </row>
    <row r="113" spans="13:18" ht="11.25" customHeight="1" x14ac:dyDescent="0.3">
      <c r="M113" s="17"/>
      <c r="N113" s="17"/>
      <c r="O113" s="17"/>
      <c r="P113" s="17"/>
      <c r="Q113" s="17"/>
      <c r="R113" s="17"/>
    </row>
    <row r="114" spans="13:18" ht="11.25" customHeight="1" x14ac:dyDescent="0.3">
      <c r="M114" s="17"/>
      <c r="N114" s="17"/>
      <c r="O114" s="17"/>
      <c r="P114" s="17"/>
      <c r="Q114" s="17"/>
      <c r="R114" s="17"/>
    </row>
    <row r="115" spans="13:18" ht="11.25" customHeight="1" x14ac:dyDescent="0.3">
      <c r="M115" s="17"/>
      <c r="N115" s="17"/>
      <c r="O115" s="17"/>
      <c r="P115" s="17"/>
      <c r="Q115" s="17"/>
      <c r="R115" s="17"/>
    </row>
    <row r="116" spans="13:18" ht="11.25" customHeight="1" x14ac:dyDescent="0.3">
      <c r="M116" s="17"/>
      <c r="N116" s="17"/>
      <c r="O116" s="17"/>
      <c r="P116" s="17"/>
      <c r="Q116" s="17"/>
      <c r="R116" s="17"/>
    </row>
    <row r="117" spans="13:18" ht="11.25" customHeight="1" x14ac:dyDescent="0.3">
      <c r="M117" s="17"/>
      <c r="N117" s="17"/>
      <c r="O117" s="17"/>
      <c r="P117" s="17"/>
      <c r="Q117" s="17"/>
      <c r="R117" s="17"/>
    </row>
    <row r="118" spans="13:18" ht="11.25" customHeight="1" x14ac:dyDescent="0.3">
      <c r="M118" s="17"/>
      <c r="N118" s="17"/>
      <c r="O118" s="17"/>
      <c r="P118" s="17"/>
      <c r="Q118" s="17"/>
      <c r="R118" s="17"/>
    </row>
    <row r="119" spans="13:18" ht="11.25" customHeight="1" x14ac:dyDescent="0.3">
      <c r="M119" s="17"/>
      <c r="N119" s="17"/>
      <c r="O119" s="17"/>
      <c r="P119" s="17"/>
      <c r="Q119" s="17"/>
      <c r="R119" s="17"/>
    </row>
    <row r="120" spans="13:18" ht="11.25" customHeight="1" x14ac:dyDescent="0.3">
      <c r="M120" s="17"/>
      <c r="N120" s="17"/>
      <c r="O120" s="17"/>
      <c r="P120" s="17"/>
      <c r="Q120" s="17"/>
      <c r="R120" s="17"/>
    </row>
    <row r="121" spans="13:18" ht="11.25" customHeight="1" x14ac:dyDescent="0.3">
      <c r="M121" s="17"/>
      <c r="N121" s="17"/>
      <c r="O121" s="17"/>
      <c r="P121" s="17"/>
      <c r="Q121" s="17"/>
      <c r="R121" s="17"/>
    </row>
    <row r="122" spans="13:18" ht="11.25" customHeight="1" x14ac:dyDescent="0.3">
      <c r="M122" s="17"/>
      <c r="N122" s="17"/>
      <c r="O122" s="17"/>
      <c r="P122" s="17"/>
      <c r="Q122" s="17"/>
      <c r="R122" s="17"/>
    </row>
    <row r="123" spans="13:18" ht="11.25" customHeight="1" x14ac:dyDescent="0.3">
      <c r="M123" s="17"/>
      <c r="N123" s="17"/>
      <c r="O123" s="17"/>
      <c r="P123" s="17"/>
      <c r="Q123" s="17"/>
      <c r="R123" s="17"/>
    </row>
    <row r="124" spans="13:18" ht="11.25" customHeight="1" x14ac:dyDescent="0.3">
      <c r="M124" s="17"/>
      <c r="N124" s="17"/>
      <c r="O124" s="17"/>
      <c r="P124" s="17"/>
      <c r="Q124" s="17"/>
      <c r="R124" s="17"/>
    </row>
    <row r="125" spans="13:18" ht="11.25" customHeight="1" x14ac:dyDescent="0.3">
      <c r="M125" s="17"/>
      <c r="N125" s="17"/>
      <c r="O125" s="17"/>
      <c r="P125" s="17"/>
      <c r="Q125" s="17"/>
      <c r="R125" s="17"/>
    </row>
    <row r="126" spans="13:18" ht="11.25" customHeight="1" x14ac:dyDescent="0.3">
      <c r="M126" s="17"/>
      <c r="N126" s="17"/>
      <c r="O126" s="17"/>
      <c r="P126" s="17"/>
      <c r="Q126" s="17"/>
      <c r="R126" s="17"/>
    </row>
    <row r="127" spans="13:18" ht="11.25" customHeight="1" x14ac:dyDescent="0.3">
      <c r="M127" s="17"/>
      <c r="N127" s="17"/>
      <c r="O127" s="17"/>
      <c r="P127" s="17"/>
      <c r="Q127" s="17"/>
      <c r="R127" s="17"/>
    </row>
    <row r="128" spans="13:18" ht="11.25" customHeight="1" x14ac:dyDescent="0.3">
      <c r="M128" s="17"/>
      <c r="N128" s="17"/>
      <c r="O128" s="17"/>
      <c r="P128" s="17"/>
      <c r="Q128" s="17"/>
      <c r="R128" s="17"/>
    </row>
  </sheetData>
  <conditionalFormatting sqref="J3:K37">
    <cfRule type="containsBlanks" dxfId="93" priority="1">
      <formula>LEN(TRIM(J3))=0</formula>
    </cfRule>
    <cfRule type="cellIs" dxfId="92" priority="2" operator="lessThanOrEqual">
      <formula>-10%</formula>
    </cfRule>
    <cfRule type="cellIs" dxfId="91" priority="3" operator="greaterThanOrEqual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EU176"/>
  <sheetViews>
    <sheetView workbookViewId="0">
      <pane xSplit="1" ySplit="2" topLeftCell="B149" activePane="bottomRight" state="frozen"/>
      <selection pane="topRight" activeCell="B1" sqref="B1"/>
      <selection pane="bottomLeft" activeCell="A3" sqref="A3"/>
      <selection pane="bottomRight" activeCell="C42" sqref="C42:O42"/>
    </sheetView>
  </sheetViews>
  <sheetFormatPr defaultColWidth="9.109375" defaultRowHeight="14.4" outlineLevelRow="2" outlineLevelCol="1" x14ac:dyDescent="0.3"/>
  <cols>
    <col min="1" max="1" width="2.6640625" style="49" customWidth="1"/>
    <col min="2" max="2" width="24.88671875" style="49" customWidth="1"/>
    <col min="3" max="5" width="11" style="49" customWidth="1" outlineLevel="1"/>
    <col min="6" max="6" width="12" style="49" customWidth="1"/>
    <col min="7" max="15" width="9.109375" style="49" customWidth="1"/>
    <col min="16" max="45" width="9.109375" style="49" hidden="1" customWidth="1"/>
    <col min="46" max="46" width="11.109375" style="49" bestFit="1" customWidth="1"/>
    <col min="47" max="47" width="11.33203125" style="49" bestFit="1" customWidth="1"/>
    <col min="48" max="48" width="10.88671875" style="49" bestFit="1" customWidth="1"/>
    <col min="49" max="49" width="9.109375" style="49"/>
    <col min="50" max="50" width="9.5546875" style="49" bestFit="1" customWidth="1"/>
    <col min="51" max="51" width="20.6640625" style="49" bestFit="1" customWidth="1"/>
    <col min="52" max="16384" width="9.109375" style="49"/>
  </cols>
  <sheetData>
    <row r="1" spans="2:51" x14ac:dyDescent="0.3">
      <c r="AX1" s="3" t="s">
        <v>69</v>
      </c>
      <c r="AY1" s="4" t="s">
        <v>70</v>
      </c>
    </row>
    <row r="2" spans="2:51" x14ac:dyDescent="0.3">
      <c r="B2" s="49" t="s">
        <v>29</v>
      </c>
      <c r="C2" s="14" t="s">
        <v>84</v>
      </c>
      <c r="D2" s="14" t="s">
        <v>83</v>
      </c>
      <c r="E2" s="14" t="s">
        <v>82</v>
      </c>
      <c r="F2" s="14">
        <v>41712</v>
      </c>
      <c r="G2" s="62" t="s">
        <v>94</v>
      </c>
      <c r="H2" s="62" t="s">
        <v>95</v>
      </c>
      <c r="I2" s="62" t="s">
        <v>107</v>
      </c>
      <c r="J2" s="62" t="s">
        <v>108</v>
      </c>
      <c r="K2" s="62" t="s">
        <v>109</v>
      </c>
      <c r="L2" s="62" t="s">
        <v>115</v>
      </c>
      <c r="M2" s="62" t="s">
        <v>116</v>
      </c>
      <c r="N2" s="62" t="s">
        <v>119</v>
      </c>
      <c r="O2" s="62" t="s">
        <v>121</v>
      </c>
      <c r="AT2" s="15" t="s">
        <v>66</v>
      </c>
      <c r="AU2" s="15" t="s">
        <v>67</v>
      </c>
      <c r="AV2" s="15" t="s">
        <v>68</v>
      </c>
      <c r="AX2" s="2"/>
      <c r="AY2" s="5" t="s">
        <v>71</v>
      </c>
    </row>
    <row r="3" spans="2:51" hidden="1" x14ac:dyDescent="0.3">
      <c r="B3" s="6" t="s">
        <v>44</v>
      </c>
      <c r="C3" s="36">
        <f t="shared" ref="C3:E3" si="0">IFERROR(SUM(C4:C8),0)</f>
        <v>7143569</v>
      </c>
      <c r="D3" s="36">
        <f t="shared" si="0"/>
        <v>8539631</v>
      </c>
      <c r="E3" s="36">
        <f t="shared" si="0"/>
        <v>22704284</v>
      </c>
      <c r="F3" s="36">
        <f t="shared" ref="F3:O3" si="1">IFERROR(SUM(F4:F8),0)</f>
        <v>109580608</v>
      </c>
      <c r="G3" s="36">
        <f t="shared" si="1"/>
        <v>64216692</v>
      </c>
      <c r="H3" s="36">
        <f t="shared" si="1"/>
        <v>17519897</v>
      </c>
      <c r="I3" s="36">
        <f t="shared" si="1"/>
        <v>18670450</v>
      </c>
      <c r="J3" s="36">
        <f t="shared" si="1"/>
        <v>22098647</v>
      </c>
      <c r="K3" s="36">
        <f t="shared" si="1"/>
        <v>11370408</v>
      </c>
      <c r="L3" s="36">
        <f t="shared" si="1"/>
        <v>22656197</v>
      </c>
      <c r="M3" s="36">
        <f t="shared" si="1"/>
        <v>27898512</v>
      </c>
      <c r="N3" s="36">
        <f>IFERROR(SUM(N4:N8),0)</f>
        <v>13323104</v>
      </c>
      <c r="O3" s="36">
        <f t="shared" si="1"/>
        <v>12057089</v>
      </c>
      <c r="AT3" s="1">
        <f>O3/N3-1</f>
        <v>-9.5024027433847302E-2</v>
      </c>
      <c r="AU3" s="1">
        <f>O3/L3-1</f>
        <v>-0.46782379231607141</v>
      </c>
      <c r="AV3" s="1">
        <f t="shared" ref="AV3:AV34" si="2">IFERROR(HLOOKUP(LARGE($2:$2,1),$C$2:$XFD$210,ROW(AF2),FALSE)/HLOOKUP(SMALL($2:$2,1),$C$2:$XFD$210,ROW(AF2),FALSE)-1,"")</f>
        <v>0</v>
      </c>
    </row>
    <row r="4" spans="2:51" hidden="1" x14ac:dyDescent="0.3">
      <c r="B4" s="7" t="s">
        <v>1</v>
      </c>
      <c r="C4" s="37">
        <v>277086</v>
      </c>
      <c r="D4" s="37">
        <v>331849</v>
      </c>
      <c r="E4" s="37">
        <v>684619</v>
      </c>
      <c r="F4" s="37">
        <v>787598</v>
      </c>
      <c r="G4" s="37">
        <v>728747</v>
      </c>
      <c r="H4" s="37">
        <v>730887</v>
      </c>
      <c r="I4" s="37">
        <v>796706</v>
      </c>
      <c r="J4" s="37">
        <v>767539</v>
      </c>
      <c r="K4" s="37">
        <v>793175</v>
      </c>
      <c r="L4" s="37">
        <v>891441</v>
      </c>
      <c r="M4" s="37">
        <v>932605</v>
      </c>
      <c r="N4" s="37">
        <v>921955</v>
      </c>
      <c r="O4" s="37">
        <v>951268</v>
      </c>
      <c r="AT4" s="1">
        <f t="shared" ref="AT4:AT13" si="3">O4/N4-1</f>
        <v>3.1794393435688351E-2</v>
      </c>
      <c r="AU4" s="1">
        <f t="shared" ref="AU4:AU13" si="4">O4/L4-1</f>
        <v>6.7112686089152218E-2</v>
      </c>
      <c r="AV4" s="1">
        <f t="shared" si="2"/>
        <v>0</v>
      </c>
    </row>
    <row r="5" spans="2:51" hidden="1" x14ac:dyDescent="0.3">
      <c r="B5" s="7" t="s">
        <v>2</v>
      </c>
      <c r="C5" s="37">
        <v>1739035</v>
      </c>
      <c r="D5" s="37">
        <v>307602</v>
      </c>
      <c r="E5" s="37">
        <v>189007</v>
      </c>
      <c r="F5" s="37">
        <v>7757771</v>
      </c>
      <c r="G5" s="37">
        <v>2378725</v>
      </c>
      <c r="H5" s="37">
        <v>0</v>
      </c>
      <c r="I5" s="37">
        <v>227113</v>
      </c>
      <c r="J5" s="37">
        <v>0</v>
      </c>
      <c r="K5" s="37">
        <v>0</v>
      </c>
      <c r="L5" s="37">
        <v>1315831</v>
      </c>
      <c r="M5" s="37">
        <v>0</v>
      </c>
      <c r="N5" s="37">
        <v>0</v>
      </c>
      <c r="O5" s="37">
        <v>0</v>
      </c>
      <c r="AT5" s="1" t="e">
        <f t="shared" si="3"/>
        <v>#DIV/0!</v>
      </c>
      <c r="AU5" s="1">
        <f t="shared" si="4"/>
        <v>-1</v>
      </c>
      <c r="AV5" s="1">
        <f t="shared" si="2"/>
        <v>0</v>
      </c>
    </row>
    <row r="6" spans="2:51" hidden="1" x14ac:dyDescent="0.3">
      <c r="B6" s="7" t="s">
        <v>3</v>
      </c>
      <c r="C6" s="37">
        <v>0</v>
      </c>
      <c r="D6" s="37">
        <v>1055794</v>
      </c>
      <c r="E6" s="37">
        <v>2155704</v>
      </c>
      <c r="F6" s="37">
        <v>9819663</v>
      </c>
      <c r="G6" s="37">
        <v>2244981</v>
      </c>
      <c r="H6" s="37">
        <v>683942</v>
      </c>
      <c r="I6" s="37">
        <v>6796183</v>
      </c>
      <c r="J6" s="37">
        <v>4715238</v>
      </c>
      <c r="K6" s="37">
        <v>266180</v>
      </c>
      <c r="L6" s="37">
        <v>3626240</v>
      </c>
      <c r="M6" s="37">
        <v>7313247</v>
      </c>
      <c r="N6" s="37">
        <v>4166459</v>
      </c>
      <c r="O6" s="37">
        <v>5091476</v>
      </c>
      <c r="AT6" s="1">
        <f t="shared" si="3"/>
        <v>0.22201514523483845</v>
      </c>
      <c r="AU6" s="1">
        <f t="shared" si="4"/>
        <v>0.40406481644899395</v>
      </c>
      <c r="AV6" s="1">
        <f t="shared" si="2"/>
        <v>0</v>
      </c>
    </row>
    <row r="7" spans="2:51" hidden="1" x14ac:dyDescent="0.3">
      <c r="B7" s="7" t="s">
        <v>0</v>
      </c>
      <c r="C7" s="37">
        <v>5127448</v>
      </c>
      <c r="D7" s="37">
        <v>6844386</v>
      </c>
      <c r="E7" s="37">
        <v>8075377</v>
      </c>
      <c r="F7" s="37">
        <v>54272933</v>
      </c>
      <c r="G7" s="37">
        <v>30970852</v>
      </c>
      <c r="H7" s="37">
        <v>3625339</v>
      </c>
      <c r="I7" s="37">
        <v>5591485</v>
      </c>
      <c r="J7" s="37">
        <v>3908069</v>
      </c>
      <c r="K7" s="37">
        <v>1290751</v>
      </c>
      <c r="L7" s="37">
        <v>5463068</v>
      </c>
      <c r="M7" s="37">
        <v>6909954</v>
      </c>
      <c r="N7" s="37">
        <v>198396</v>
      </c>
      <c r="O7" s="37">
        <v>148791</v>
      </c>
      <c r="AT7" s="1">
        <f t="shared" si="3"/>
        <v>-0.25003024254521256</v>
      </c>
      <c r="AU7" s="1">
        <f t="shared" si="4"/>
        <v>-0.97276420502179362</v>
      </c>
      <c r="AV7" s="1">
        <f t="shared" si="2"/>
        <v>0</v>
      </c>
    </row>
    <row r="8" spans="2:51" hidden="1" x14ac:dyDescent="0.3">
      <c r="B8" s="7" t="s">
        <v>17</v>
      </c>
      <c r="C8" s="37">
        <f t="shared" ref="C8" si="5">IFERROR(SUM(C9:C13),0)</f>
        <v>0</v>
      </c>
      <c r="D8" s="37">
        <f t="shared" ref="D8:O8" si="6">IFERROR(SUM(D9:D13),0)</f>
        <v>0</v>
      </c>
      <c r="E8" s="37">
        <f t="shared" si="6"/>
        <v>11599577</v>
      </c>
      <c r="F8" s="37">
        <f t="shared" si="6"/>
        <v>36942643</v>
      </c>
      <c r="G8" s="37">
        <f t="shared" si="6"/>
        <v>27893387</v>
      </c>
      <c r="H8" s="37">
        <f t="shared" si="6"/>
        <v>12479729</v>
      </c>
      <c r="I8" s="37">
        <f t="shared" si="6"/>
        <v>5258963</v>
      </c>
      <c r="J8" s="37">
        <f t="shared" si="6"/>
        <v>12707801</v>
      </c>
      <c r="K8" s="37">
        <f t="shared" si="6"/>
        <v>9020302</v>
      </c>
      <c r="L8" s="37">
        <f t="shared" si="6"/>
        <v>11359617</v>
      </c>
      <c r="M8" s="37">
        <f t="shared" si="6"/>
        <v>12742706</v>
      </c>
      <c r="N8" s="37">
        <f t="shared" si="6"/>
        <v>8036294</v>
      </c>
      <c r="O8" s="37">
        <f t="shared" si="6"/>
        <v>5865554</v>
      </c>
      <c r="AT8" s="1">
        <f t="shared" si="3"/>
        <v>-0.27011704648933954</v>
      </c>
      <c r="AU8" s="1">
        <f t="shared" si="4"/>
        <v>-0.48364861244881763</v>
      </c>
      <c r="AV8" s="1">
        <f t="shared" si="2"/>
        <v>0</v>
      </c>
    </row>
    <row r="9" spans="2:51" hidden="1" x14ac:dyDescent="0.3">
      <c r="B9" s="8" t="s">
        <v>8</v>
      </c>
      <c r="C9" s="37">
        <v>0</v>
      </c>
      <c r="D9" s="37" t="str">
        <f>'[1]Raw Data'!$H$3</f>
        <v>Row Labels</v>
      </c>
      <c r="E9" s="37">
        <v>1696698</v>
      </c>
      <c r="F9" s="37">
        <v>6486289</v>
      </c>
      <c r="G9" s="66">
        <v>4221488</v>
      </c>
      <c r="H9" s="37">
        <v>3593285</v>
      </c>
      <c r="I9" s="37">
        <v>1831162</v>
      </c>
      <c r="J9" s="37">
        <v>2479499</v>
      </c>
      <c r="K9" s="37">
        <v>1857117</v>
      </c>
      <c r="L9" s="37">
        <v>795415</v>
      </c>
      <c r="M9" s="37">
        <v>983289</v>
      </c>
      <c r="N9" s="37">
        <v>1465315</v>
      </c>
      <c r="O9" s="37">
        <v>1859447</v>
      </c>
      <c r="AT9" s="1">
        <f t="shared" si="3"/>
        <v>0.26897424785796908</v>
      </c>
      <c r="AU9" s="1">
        <f t="shared" si="4"/>
        <v>1.3377067317060907</v>
      </c>
      <c r="AV9" s="1">
        <f t="shared" si="2"/>
        <v>0</v>
      </c>
    </row>
    <row r="10" spans="2:51" hidden="1" x14ac:dyDescent="0.3">
      <c r="B10" s="8" t="s">
        <v>7</v>
      </c>
      <c r="C10" s="37">
        <v>0</v>
      </c>
      <c r="D10" s="37">
        <f>IFERROR(GETPIVOTDATA("[Measures].[Sum of Impressions]",'[1]Raw Data'!$H$3,"[Datekey].[YearMonth]","[Datekey].[YearMonth].&amp;["&amp;TEXT(D$2,"yyyy-aa-ggTss:dd:nn")&amp;"]","[Channels].[Channel]","[Channels].[Channel].&amp;["&amp;$B10&amp;"]"),0)</f>
        <v>0</v>
      </c>
      <c r="E10" s="37">
        <v>7951795</v>
      </c>
      <c r="F10" s="37">
        <v>25162753</v>
      </c>
      <c r="G10" s="66">
        <v>20218952</v>
      </c>
      <c r="H10" s="37">
        <v>8886444</v>
      </c>
      <c r="I10" s="37">
        <v>3427801</v>
      </c>
      <c r="J10" s="37">
        <v>10228302</v>
      </c>
      <c r="K10" s="37">
        <v>7154606</v>
      </c>
      <c r="L10" s="37">
        <v>6972250</v>
      </c>
      <c r="M10" s="37">
        <v>7087792</v>
      </c>
      <c r="N10" s="37">
        <v>4694357</v>
      </c>
      <c r="O10" s="37">
        <v>2953659</v>
      </c>
      <c r="AT10" s="1">
        <f t="shared" si="3"/>
        <v>-0.37080648105800218</v>
      </c>
      <c r="AU10" s="1">
        <f t="shared" si="4"/>
        <v>-0.57636932123776408</v>
      </c>
      <c r="AV10" s="1">
        <f t="shared" si="2"/>
        <v>0</v>
      </c>
    </row>
    <row r="11" spans="2:51" hidden="1" x14ac:dyDescent="0.3">
      <c r="B11" s="8" t="s">
        <v>18</v>
      </c>
      <c r="C11" s="37">
        <f>IFERROR(GETPIVOTDATA("[Measures].[Sum of Impressions]",'[1]Raw Data'!$H$3,"[Datekey].[YearMonth]","[Datekey].[YearMonth].&amp;["&amp;TEXT(C$2,"yyyy-aa-ggTss:dd:nn")&amp;"]","[Channels].[Channel]","[Channels].[Channel].&amp;["&amp;$B11&amp;"]"),0)</f>
        <v>0</v>
      </c>
      <c r="D11" s="37">
        <f>IFERROR(GETPIVOTDATA("[Measures].[Sum of Impressions]",'[1]Raw Data'!$H$3,"[Datekey].[YearMonth]","[Datekey].[YearMonth].&amp;["&amp;TEXT(D$2,"yyyy-aa-ggTss:dd:nn")&amp;"]","[Channels].[Channel]","[Channels].[Channel].&amp;["&amp;$B11&amp;"]"),0)</f>
        <v>0</v>
      </c>
      <c r="E11" s="37">
        <f>IFERROR(GETPIVOTDATA("[Measures].[Sum of Impressions]",'[1]Raw Data'!$H$3,"[Datekey].[YearMonth]","[Datekey].[YearMonth].&amp;["&amp;TEXT(E$2,"yyyy-aa-ggTss:dd:nn")&amp;"]","[Channels].[Channel]","[Channels].[Channel].&amp;["&amp;$B11&amp;"]"),0)</f>
        <v>0</v>
      </c>
      <c r="F11" s="37">
        <f>IFERROR(GETPIVOTDATA("[Measures].[Sum of Impressions]",'[1]Raw Data'!$H$3,"[Datekey].[YearMonth]","[Datekey].[YearMonth].&amp;["&amp;TEXT(F$2,"yyyy-aa-ggTss:dd:nn")&amp;"]","[Channels].[Channel]","[Channels].[Channel].&amp;["&amp;$B11&amp;"]"),0)</f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AT11" s="1" t="e">
        <f t="shared" si="3"/>
        <v>#DIV/0!</v>
      </c>
      <c r="AU11" s="1" t="e">
        <f t="shared" si="4"/>
        <v>#DIV/0!</v>
      </c>
      <c r="AV11" s="1" t="str">
        <f t="shared" si="2"/>
        <v/>
      </c>
    </row>
    <row r="12" spans="2:51" hidden="1" x14ac:dyDescent="0.3">
      <c r="B12" s="8" t="s">
        <v>6</v>
      </c>
      <c r="C12" s="37">
        <f>IFERROR(GETPIVOTDATA("[Measures].[Sum of Impressions]",'[1]Raw Data'!$H$3,"[Datekey].[YearMonth]","[Datekey].[YearMonth].&amp;["&amp;TEXT(C$2,"yyyy-aa-ggTss:dd:nn")&amp;"]","[Channels].[Channel]","[Channels].[Channel].&amp;["&amp;$B12&amp;"]"),0)</f>
        <v>0</v>
      </c>
      <c r="D12" s="37">
        <f>IFERROR(GETPIVOTDATA("[Measures].[Sum of Impressions]",'[1]Raw Data'!$H$3,"[Datekey].[YearMonth]","[Datekey].[YearMonth].&amp;["&amp;TEXT(D$2,"yyyy-aa-ggTss:dd:nn")&amp;"]","[Channels].[Channel]","[Channels].[Channel].&amp;["&amp;$B12&amp;"]"),0)</f>
        <v>0</v>
      </c>
      <c r="E12" s="37">
        <v>225324</v>
      </c>
      <c r="F12" s="37">
        <v>1889678</v>
      </c>
      <c r="G12" s="37">
        <v>1457602</v>
      </c>
      <c r="H12" s="37">
        <v>0</v>
      </c>
      <c r="I12" s="37">
        <v>0</v>
      </c>
      <c r="J12" s="37">
        <v>0</v>
      </c>
      <c r="K12" s="37">
        <v>4799</v>
      </c>
      <c r="L12" s="37">
        <v>1929265</v>
      </c>
      <c r="M12" s="37">
        <v>2614687</v>
      </c>
      <c r="N12" s="37">
        <v>1022036</v>
      </c>
      <c r="O12" s="37">
        <v>514759</v>
      </c>
      <c r="AT12" s="1">
        <f t="shared" si="3"/>
        <v>-0.49633965926836232</v>
      </c>
      <c r="AU12" s="1">
        <f t="shared" si="4"/>
        <v>-0.73318388090801423</v>
      </c>
      <c r="AV12" s="1">
        <f t="shared" si="2"/>
        <v>0</v>
      </c>
    </row>
    <row r="13" spans="2:51" hidden="1" x14ac:dyDescent="0.3">
      <c r="B13" s="8" t="s">
        <v>5</v>
      </c>
      <c r="C13" s="37">
        <f>IFERROR(GETPIVOTDATA("[Measures].[Sum of Impressions]",'[1]Raw Data'!$H$3,"[Datekey].[YearMonth]","[Datekey].[YearMonth].&amp;["&amp;TEXT(C$2,"yyyy-aa-ggTss:dd:nn")&amp;"]","[Channels].[Channel]","[Channels].[Channel].&amp;["&amp;$B13&amp;"]"),0)</f>
        <v>0</v>
      </c>
      <c r="D13" s="37">
        <f>IFERROR(GETPIVOTDATA("[Measures].[Sum of Impressions]",'[1]Raw Data'!$H$3,"[Datekey].[YearMonth]","[Datekey].[YearMonth].&amp;["&amp;TEXT(D$2,"yyyy-aa-ggTss:dd:nn")&amp;"]","[Channels].[Channel]","[Channels].[Channel].&amp;["&amp;$B13&amp;"]"),0)</f>
        <v>0</v>
      </c>
      <c r="E13" s="37">
        <v>1725760</v>
      </c>
      <c r="F13" s="37">
        <v>3403923</v>
      </c>
      <c r="G13" s="37">
        <v>1995345</v>
      </c>
      <c r="H13" s="37">
        <v>0</v>
      </c>
      <c r="I13" s="37">
        <v>0</v>
      </c>
      <c r="J13" s="37">
        <v>0</v>
      </c>
      <c r="K13" s="37">
        <v>3780</v>
      </c>
      <c r="L13" s="37">
        <v>1662687</v>
      </c>
      <c r="M13" s="37">
        <v>2056938</v>
      </c>
      <c r="N13" s="37">
        <v>854586</v>
      </c>
      <c r="O13" s="37">
        <v>537689</v>
      </c>
      <c r="AT13" s="1">
        <f t="shared" si="3"/>
        <v>-0.37081932070031576</v>
      </c>
      <c r="AU13" s="1">
        <f t="shared" si="4"/>
        <v>-0.67661441991186555</v>
      </c>
      <c r="AV13" s="1">
        <f t="shared" si="2"/>
        <v>0</v>
      </c>
    </row>
    <row r="14" spans="2:51" hidden="1" x14ac:dyDescent="0.3">
      <c r="B14" s="7" t="s">
        <v>4</v>
      </c>
      <c r="C14" s="38" t="s">
        <v>16</v>
      </c>
      <c r="D14" s="38" t="s">
        <v>16</v>
      </c>
      <c r="E14" s="38" t="s">
        <v>16</v>
      </c>
      <c r="F14" s="38" t="s">
        <v>16</v>
      </c>
      <c r="G14" s="38" t="s">
        <v>16</v>
      </c>
      <c r="H14" s="64" t="s">
        <v>16</v>
      </c>
      <c r="I14" s="64" t="s">
        <v>16</v>
      </c>
      <c r="J14" s="69" t="s">
        <v>16</v>
      </c>
      <c r="K14" s="69" t="s">
        <v>16</v>
      </c>
      <c r="L14" s="69" t="s">
        <v>16</v>
      </c>
      <c r="M14" s="69" t="s">
        <v>16</v>
      </c>
      <c r="N14" s="69" t="s">
        <v>16</v>
      </c>
      <c r="O14" s="69" t="s">
        <v>16</v>
      </c>
      <c r="AT14" s="1"/>
      <c r="AU14" s="1"/>
      <c r="AV14" s="1" t="str">
        <f t="shared" si="2"/>
        <v/>
      </c>
    </row>
    <row r="15" spans="2:51" hidden="1" x14ac:dyDescent="0.3">
      <c r="B15" s="9"/>
      <c r="C15" s="9"/>
      <c r="D15" s="9"/>
      <c r="E15" s="9"/>
      <c r="AT15" s="1"/>
      <c r="AU15" s="1"/>
      <c r="AV15" s="1" t="str">
        <f t="shared" si="2"/>
        <v/>
      </c>
    </row>
    <row r="16" spans="2:51" hidden="1" x14ac:dyDescent="0.3">
      <c r="B16" s="6" t="s">
        <v>30</v>
      </c>
      <c r="C16" s="36">
        <f t="shared" ref="C16:N16" si="7">IFERROR(SUM(C17:C21),0)</f>
        <v>41167</v>
      </c>
      <c r="D16" s="36">
        <f t="shared" si="7"/>
        <v>47055</v>
      </c>
      <c r="E16" s="36">
        <f t="shared" si="7"/>
        <v>154829</v>
      </c>
      <c r="F16" s="36">
        <f t="shared" si="7"/>
        <v>393330</v>
      </c>
      <c r="G16" s="36">
        <f t="shared" si="7"/>
        <v>310425</v>
      </c>
      <c r="H16" s="36">
        <f t="shared" si="7"/>
        <v>173570</v>
      </c>
      <c r="I16" s="36">
        <f t="shared" si="7"/>
        <v>148445</v>
      </c>
      <c r="J16" s="36">
        <f t="shared" si="7"/>
        <v>187647</v>
      </c>
      <c r="K16" s="36">
        <f t="shared" si="7"/>
        <v>201127</v>
      </c>
      <c r="L16" s="36">
        <f t="shared" si="7"/>
        <v>230689</v>
      </c>
      <c r="M16" s="36">
        <f t="shared" si="7"/>
        <v>248836</v>
      </c>
      <c r="N16" s="36">
        <f t="shared" si="7"/>
        <v>229731</v>
      </c>
      <c r="O16" s="36">
        <f>IFERROR(SUM(O17:O21),0)</f>
        <v>213427</v>
      </c>
      <c r="AT16" s="1">
        <f t="shared" ref="AT16:AT27" si="8">O16/N16-1</f>
        <v>-7.0969960519041808E-2</v>
      </c>
      <c r="AU16" s="1">
        <f t="shared" ref="AU16:AU27" si="9">O16/L16-1</f>
        <v>-7.4828015206620191E-2</v>
      </c>
      <c r="AV16" s="1">
        <f t="shared" si="2"/>
        <v>0</v>
      </c>
    </row>
    <row r="17" spans="2:48" hidden="1" x14ac:dyDescent="0.3">
      <c r="B17" s="7" t="s">
        <v>1</v>
      </c>
      <c r="C17" s="37">
        <v>29857</v>
      </c>
      <c r="D17" s="37">
        <v>35000</v>
      </c>
      <c r="E17" s="37">
        <v>75883</v>
      </c>
      <c r="F17" s="37">
        <v>100264</v>
      </c>
      <c r="G17" s="37">
        <v>96490</v>
      </c>
      <c r="H17" s="37">
        <v>86524</v>
      </c>
      <c r="I17" s="37">
        <v>99292</v>
      </c>
      <c r="J17" s="37">
        <v>89663</v>
      </c>
      <c r="K17" s="37">
        <v>100161</v>
      </c>
      <c r="L17" s="37">
        <v>111211</v>
      </c>
      <c r="M17" s="37">
        <v>127979</v>
      </c>
      <c r="N17" s="37">
        <v>132307</v>
      </c>
      <c r="O17" s="37">
        <v>140905</v>
      </c>
      <c r="AT17" s="1">
        <f t="shared" si="8"/>
        <v>6.4985223759891797E-2</v>
      </c>
      <c r="AU17" s="1">
        <f t="shared" si="9"/>
        <v>0.26700596164048518</v>
      </c>
      <c r="AV17" s="1">
        <f t="shared" si="2"/>
        <v>0</v>
      </c>
    </row>
    <row r="18" spans="2:48" hidden="1" x14ac:dyDescent="0.3">
      <c r="B18" s="7" t="s">
        <v>2</v>
      </c>
      <c r="C18" s="37">
        <v>3775</v>
      </c>
      <c r="D18" s="37">
        <v>871</v>
      </c>
      <c r="E18" s="37">
        <v>101</v>
      </c>
      <c r="F18" s="37">
        <v>19049</v>
      </c>
      <c r="G18" s="37">
        <v>5933</v>
      </c>
      <c r="H18" s="37">
        <v>0</v>
      </c>
      <c r="I18" s="37">
        <v>2354</v>
      </c>
      <c r="J18" s="37">
        <v>0</v>
      </c>
      <c r="K18" s="37">
        <v>0</v>
      </c>
      <c r="L18" s="37">
        <v>1639</v>
      </c>
      <c r="M18" s="37">
        <v>0</v>
      </c>
      <c r="N18" s="37">
        <v>0</v>
      </c>
      <c r="O18" s="37">
        <v>0</v>
      </c>
      <c r="AT18" s="1" t="e">
        <f t="shared" si="8"/>
        <v>#DIV/0!</v>
      </c>
      <c r="AU18" s="1">
        <f t="shared" si="9"/>
        <v>-1</v>
      </c>
      <c r="AV18" s="1">
        <f t="shared" si="2"/>
        <v>0</v>
      </c>
    </row>
    <row r="19" spans="2:48" hidden="1" x14ac:dyDescent="0.3">
      <c r="B19" s="7" t="s">
        <v>3</v>
      </c>
      <c r="C19" s="37">
        <v>0</v>
      </c>
      <c r="D19" s="37">
        <v>1135</v>
      </c>
      <c r="E19" s="37">
        <v>2504</v>
      </c>
      <c r="F19" s="37">
        <v>15429</v>
      </c>
      <c r="G19" s="37">
        <v>2456</v>
      </c>
      <c r="H19" s="37">
        <v>802</v>
      </c>
      <c r="I19" s="37">
        <v>7339</v>
      </c>
      <c r="J19" s="37">
        <v>4595</v>
      </c>
      <c r="K19" s="37">
        <v>419</v>
      </c>
      <c r="L19" s="37">
        <v>5712</v>
      </c>
      <c r="M19" s="37">
        <v>13857</v>
      </c>
      <c r="N19" s="37">
        <v>8233</v>
      </c>
      <c r="O19" s="37">
        <v>7430</v>
      </c>
      <c r="AT19" s="1">
        <f t="shared" si="8"/>
        <v>-9.7534313130086203E-2</v>
      </c>
      <c r="AU19" s="1">
        <f t="shared" si="9"/>
        <v>0.30077030812324934</v>
      </c>
      <c r="AV19" s="1">
        <f t="shared" si="2"/>
        <v>0</v>
      </c>
    </row>
    <row r="20" spans="2:48" hidden="1" x14ac:dyDescent="0.3">
      <c r="B20" s="7" t="s">
        <v>0</v>
      </c>
      <c r="C20" s="37">
        <v>7535</v>
      </c>
      <c r="D20" s="37">
        <v>10049</v>
      </c>
      <c r="E20" s="37">
        <v>8377</v>
      </c>
      <c r="F20" s="37">
        <v>38368</v>
      </c>
      <c r="G20" s="37">
        <v>16045</v>
      </c>
      <c r="H20" s="37">
        <v>3206</v>
      </c>
      <c r="I20" s="37">
        <v>9978</v>
      </c>
      <c r="J20" s="37">
        <v>4937</v>
      </c>
      <c r="K20" s="37">
        <v>3024</v>
      </c>
      <c r="L20" s="37">
        <v>16757</v>
      </c>
      <c r="M20" s="37">
        <v>11747</v>
      </c>
      <c r="N20" s="37">
        <v>5306</v>
      </c>
      <c r="O20" s="37">
        <v>4962</v>
      </c>
      <c r="AT20" s="1">
        <f t="shared" si="8"/>
        <v>-6.4832265359969887E-2</v>
      </c>
      <c r="AU20" s="1">
        <f t="shared" si="9"/>
        <v>-0.70388494360565734</v>
      </c>
      <c r="AV20" s="1">
        <f t="shared" si="2"/>
        <v>0</v>
      </c>
    </row>
    <row r="21" spans="2:48" hidden="1" x14ac:dyDescent="0.3">
      <c r="B21" s="7" t="s">
        <v>17</v>
      </c>
      <c r="C21" s="37">
        <f t="shared" ref="C21" si="10">IFERROR(SUM(C22:C26),0)</f>
        <v>0</v>
      </c>
      <c r="D21" s="37">
        <f t="shared" ref="D21:AS21" si="11">IFERROR(SUM(D22:D26),0)</f>
        <v>0</v>
      </c>
      <c r="E21" s="37">
        <f t="shared" si="11"/>
        <v>67964</v>
      </c>
      <c r="F21" s="37">
        <f t="shared" si="11"/>
        <v>220220</v>
      </c>
      <c r="G21" s="37">
        <f t="shared" si="11"/>
        <v>189501</v>
      </c>
      <c r="H21" s="37">
        <f t="shared" si="11"/>
        <v>83038</v>
      </c>
      <c r="I21" s="37">
        <f t="shared" si="11"/>
        <v>29482</v>
      </c>
      <c r="J21" s="37">
        <f t="shared" si="11"/>
        <v>88452</v>
      </c>
      <c r="K21" s="37">
        <f t="shared" si="11"/>
        <v>97523</v>
      </c>
      <c r="L21" s="37">
        <f t="shared" si="11"/>
        <v>95370</v>
      </c>
      <c r="M21" s="37">
        <f t="shared" si="11"/>
        <v>95253</v>
      </c>
      <c r="N21" s="37">
        <f t="shared" si="11"/>
        <v>83885</v>
      </c>
      <c r="O21" s="37">
        <f t="shared" si="11"/>
        <v>60130</v>
      </c>
      <c r="P21" s="37">
        <f t="shared" si="11"/>
        <v>0</v>
      </c>
      <c r="Q21" s="37">
        <f t="shared" si="11"/>
        <v>0</v>
      </c>
      <c r="R21" s="37">
        <f t="shared" si="11"/>
        <v>0</v>
      </c>
      <c r="S21" s="37">
        <f t="shared" si="11"/>
        <v>0</v>
      </c>
      <c r="T21" s="37">
        <f t="shared" si="11"/>
        <v>0</v>
      </c>
      <c r="U21" s="37">
        <f t="shared" si="11"/>
        <v>0</v>
      </c>
      <c r="V21" s="37">
        <f t="shared" si="11"/>
        <v>0</v>
      </c>
      <c r="W21" s="37">
        <f t="shared" si="11"/>
        <v>0</v>
      </c>
      <c r="X21" s="37">
        <f t="shared" si="11"/>
        <v>0</v>
      </c>
      <c r="Y21" s="37">
        <f t="shared" si="11"/>
        <v>0</v>
      </c>
      <c r="Z21" s="37">
        <f t="shared" si="11"/>
        <v>0</v>
      </c>
      <c r="AA21" s="37">
        <f t="shared" si="11"/>
        <v>0</v>
      </c>
      <c r="AB21" s="37">
        <f t="shared" si="11"/>
        <v>0</v>
      </c>
      <c r="AC21" s="37">
        <f t="shared" si="11"/>
        <v>0</v>
      </c>
      <c r="AD21" s="37">
        <f t="shared" si="11"/>
        <v>0</v>
      </c>
      <c r="AE21" s="37">
        <f t="shared" si="11"/>
        <v>0</v>
      </c>
      <c r="AF21" s="37">
        <f t="shared" si="11"/>
        <v>0</v>
      </c>
      <c r="AG21" s="37">
        <f t="shared" si="11"/>
        <v>0</v>
      </c>
      <c r="AH21" s="37">
        <f t="shared" si="11"/>
        <v>0</v>
      </c>
      <c r="AI21" s="37">
        <f t="shared" si="11"/>
        <v>0</v>
      </c>
      <c r="AJ21" s="37">
        <f t="shared" si="11"/>
        <v>0</v>
      </c>
      <c r="AK21" s="37">
        <f t="shared" si="11"/>
        <v>0</v>
      </c>
      <c r="AL21" s="37">
        <f t="shared" si="11"/>
        <v>0</v>
      </c>
      <c r="AM21" s="37">
        <f t="shared" si="11"/>
        <v>0</v>
      </c>
      <c r="AN21" s="37">
        <f t="shared" si="11"/>
        <v>0</v>
      </c>
      <c r="AO21" s="37">
        <f t="shared" si="11"/>
        <v>0</v>
      </c>
      <c r="AP21" s="37">
        <f t="shared" si="11"/>
        <v>0</v>
      </c>
      <c r="AQ21" s="37">
        <f t="shared" si="11"/>
        <v>0</v>
      </c>
      <c r="AR21" s="37">
        <f t="shared" si="11"/>
        <v>0</v>
      </c>
      <c r="AS21" s="37">
        <f t="shared" si="11"/>
        <v>0</v>
      </c>
      <c r="AT21" s="1">
        <f t="shared" si="8"/>
        <v>-0.28318531322644092</v>
      </c>
      <c r="AU21" s="1">
        <f t="shared" si="9"/>
        <v>-0.36950823109992659</v>
      </c>
      <c r="AV21" s="1">
        <f t="shared" si="2"/>
        <v>0</v>
      </c>
    </row>
    <row r="22" spans="2:48" hidden="1" x14ac:dyDescent="0.3">
      <c r="B22" s="8" t="s">
        <v>8</v>
      </c>
      <c r="C22" s="37">
        <v>0</v>
      </c>
      <c r="D22" s="37">
        <f>IFERROR(GETPIVOTDATA("[Measures].[Sum of Clicks]",'[1]Raw Data'!$H$3,"[Datekey].[YearMonth]","[Datekey].[YearMonth].&amp;["&amp;TEXT(D$2,"yyyy-aa-ggTss:dd:nn")&amp;"]","[Channels].[Channel]","[Channels].[Channel].&amp;["&amp;$B22&amp;"]"),0)</f>
        <v>0</v>
      </c>
      <c r="E22" s="37">
        <v>4587</v>
      </c>
      <c r="F22" s="37">
        <v>34184</v>
      </c>
      <c r="G22" s="37">
        <v>25623</v>
      </c>
      <c r="H22" s="37">
        <v>16306</v>
      </c>
      <c r="I22" s="37">
        <v>5846</v>
      </c>
      <c r="J22" s="37">
        <v>2725</v>
      </c>
      <c r="K22" s="37">
        <v>13727</v>
      </c>
      <c r="L22" s="37">
        <v>7815</v>
      </c>
      <c r="M22" s="37">
        <v>16555</v>
      </c>
      <c r="N22" s="37">
        <v>24157</v>
      </c>
      <c r="O22" s="37">
        <v>19952</v>
      </c>
      <c r="AT22" s="1">
        <f t="shared" si="8"/>
        <v>-0.17406962785114044</v>
      </c>
      <c r="AU22" s="1">
        <f t="shared" si="9"/>
        <v>1.5530390275111965</v>
      </c>
      <c r="AV22" s="1">
        <f t="shared" si="2"/>
        <v>0</v>
      </c>
    </row>
    <row r="23" spans="2:48" hidden="1" x14ac:dyDescent="0.3">
      <c r="B23" s="8" t="s">
        <v>7</v>
      </c>
      <c r="C23" s="37">
        <v>0</v>
      </c>
      <c r="D23" s="37">
        <f>IFERROR(GETPIVOTDATA("[Measures].[Sum of Clicks]",'[1]Raw Data'!$H$3,"[Datekey].[YearMonth]","[Datekey].[YearMonth].&amp;["&amp;TEXT(D$2,"yyyy-aa-ggTss:dd:nn")&amp;"]","[Channels].[Channel]","[Channels].[Channel].&amp;["&amp;$B23&amp;"]"),0)</f>
        <v>0</v>
      </c>
      <c r="E23" s="37">
        <v>40301</v>
      </c>
      <c r="F23" s="37">
        <v>139769</v>
      </c>
      <c r="G23" s="37">
        <v>135125</v>
      </c>
      <c r="H23" s="37">
        <v>66732</v>
      </c>
      <c r="I23" s="37">
        <v>23636</v>
      </c>
      <c r="J23" s="37">
        <v>85727</v>
      </c>
      <c r="K23" s="37">
        <v>83660</v>
      </c>
      <c r="L23" s="37">
        <v>69356</v>
      </c>
      <c r="M23" s="37">
        <v>60390</v>
      </c>
      <c r="N23" s="37">
        <v>50856</v>
      </c>
      <c r="O23" s="37">
        <v>33274</v>
      </c>
      <c r="AT23" s="1">
        <f t="shared" si="8"/>
        <v>-0.34572125216297001</v>
      </c>
      <c r="AU23" s="1">
        <f t="shared" si="9"/>
        <v>-0.52024338197127862</v>
      </c>
      <c r="AV23" s="1">
        <f t="shared" si="2"/>
        <v>0</v>
      </c>
    </row>
    <row r="24" spans="2:48" hidden="1" x14ac:dyDescent="0.3">
      <c r="B24" s="8" t="s">
        <v>18</v>
      </c>
      <c r="C24" s="37">
        <f>IFERROR(GETPIVOTDATA("[Measures].[Sum of Clicks]",'[1]Raw Data'!$H$3,"[Datekey].[YearMonth]","[Datekey].[YearMonth].&amp;["&amp;TEXT(C$2,"yyyy-aa-ggTss:dd:nn")&amp;"]","[Channels].[Channel]","[Channels].[Channel].&amp;["&amp;$B24&amp;"]"),0)</f>
        <v>0</v>
      </c>
      <c r="D24" s="37">
        <f>IFERROR(GETPIVOTDATA("[Measures].[Sum of Clicks]",'[1]Raw Data'!$H$3,"[Datekey].[YearMonth]","[Datekey].[YearMonth].&amp;["&amp;TEXT(D$2,"yyyy-aa-ggTss:dd:nn")&amp;"]","[Channels].[Channel]","[Channels].[Channel].&amp;["&amp;$B24&amp;"]"),0)</f>
        <v>0</v>
      </c>
      <c r="E24" s="37">
        <f>IFERROR(GETPIVOTDATA("[Measures].[Sum of Clicks]",'[1]Raw Data'!$H$3,"[Datekey].[YearMonth]","[Datekey].[YearMonth].&amp;["&amp;TEXT(E$2,"yyyy-aa-ggTss:dd:nn")&amp;"]","[Channels].[Channel]","[Channels].[Channel].&amp;["&amp;$B24&amp;"]"),0)</f>
        <v>0</v>
      </c>
      <c r="F24" s="37">
        <f>IFERROR(GETPIVOTDATA("[Measures].[Sum of Clicks]",'[1]Raw Data'!$H$3,"[Datekey].[YearMonth]","[Datekey].[YearMonth].&amp;["&amp;TEXT(F$2,"yyyy-aa-ggTss:dd:nn")&amp;"]","[Channels].[Channel]","[Channels].[Channel].&amp;["&amp;$B24&amp;"]"),0)</f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AT24" s="1" t="e">
        <f t="shared" si="8"/>
        <v>#DIV/0!</v>
      </c>
      <c r="AU24" s="1" t="e">
        <f t="shared" si="9"/>
        <v>#DIV/0!</v>
      </c>
      <c r="AV24" s="1" t="str">
        <f t="shared" si="2"/>
        <v/>
      </c>
    </row>
    <row r="25" spans="2:48" hidden="1" x14ac:dyDescent="0.3">
      <c r="B25" s="8" t="s">
        <v>6</v>
      </c>
      <c r="C25" s="37">
        <f>IFERROR(GETPIVOTDATA("[Measures].[Sum of Clicks]",'[1]Raw Data'!$H$3,"[Datekey].[YearMonth]","[Datekey].[YearMonth].&amp;["&amp;TEXT(C$2,"yyyy-aa-ggTss:dd:nn")&amp;"]","[Channels].[Channel]","[Channels].[Channel].&amp;["&amp;$B25&amp;"]"),0)</f>
        <v>0</v>
      </c>
      <c r="D25" s="37">
        <f>IFERROR(GETPIVOTDATA("[Measures].[Sum of Clicks]",'[1]Raw Data'!$H$3,"[Datekey].[YearMonth]","[Datekey].[YearMonth].&amp;["&amp;TEXT(D$2,"yyyy-aa-ggTss:dd:nn")&amp;"]","[Channels].[Channel]","[Channels].[Channel].&amp;["&amp;$B25&amp;"]"),0)</f>
        <v>0</v>
      </c>
      <c r="E25" s="37">
        <v>2866</v>
      </c>
      <c r="F25" s="37">
        <v>8137</v>
      </c>
      <c r="G25" s="37">
        <v>6176</v>
      </c>
      <c r="H25" s="37">
        <v>0</v>
      </c>
      <c r="I25" s="37">
        <v>0</v>
      </c>
      <c r="J25" s="37">
        <v>0</v>
      </c>
      <c r="K25" s="37">
        <v>56</v>
      </c>
      <c r="L25" s="37">
        <v>6814</v>
      </c>
      <c r="M25" s="37">
        <v>6068</v>
      </c>
      <c r="N25" s="37">
        <v>2669</v>
      </c>
      <c r="O25" s="37">
        <v>2147</v>
      </c>
      <c r="AT25" s="1">
        <f t="shared" si="8"/>
        <v>-0.19557886849007122</v>
      </c>
      <c r="AU25" s="1">
        <f t="shared" si="9"/>
        <v>-0.68491341356031699</v>
      </c>
      <c r="AV25" s="1">
        <f t="shared" si="2"/>
        <v>0</v>
      </c>
    </row>
    <row r="26" spans="2:48" hidden="1" x14ac:dyDescent="0.3">
      <c r="B26" s="8" t="s">
        <v>5</v>
      </c>
      <c r="C26" s="37">
        <f>IFERROR(GETPIVOTDATA("[Measures].[Sum of Clicks]",'[1]Raw Data'!$H$3,"[Datekey].[YearMonth]","[Datekey].[YearMonth].&amp;["&amp;TEXT(C$2,"yyyy-aa-ggTss:dd:nn")&amp;"]","[Channels].[Channel]","[Channels].[Channel].&amp;["&amp;$B26&amp;"]"),0)</f>
        <v>0</v>
      </c>
      <c r="D26" s="37">
        <f>IFERROR(GETPIVOTDATA("[Measures].[Sum of Clicks]",'[1]Raw Data'!$H$3,"[Datekey].[YearMonth]","[Datekey].[YearMonth].&amp;["&amp;TEXT(D$2,"yyyy-aa-ggTss:dd:nn")&amp;"]","[Channels].[Channel]","[Channels].[Channel].&amp;["&amp;$B26&amp;"]"),0)</f>
        <v>0</v>
      </c>
      <c r="E26" s="37">
        <v>20210</v>
      </c>
      <c r="F26" s="37">
        <v>38130</v>
      </c>
      <c r="G26" s="37">
        <v>22577</v>
      </c>
      <c r="H26" s="37">
        <v>0</v>
      </c>
      <c r="I26" s="37">
        <v>0</v>
      </c>
      <c r="J26" s="37">
        <v>0</v>
      </c>
      <c r="K26" s="37">
        <v>80</v>
      </c>
      <c r="L26" s="37">
        <v>11385</v>
      </c>
      <c r="M26" s="37">
        <v>12240</v>
      </c>
      <c r="N26" s="37">
        <v>6203</v>
      </c>
      <c r="O26" s="37">
        <v>4757</v>
      </c>
      <c r="AT26" s="1">
        <f t="shared" si="8"/>
        <v>-0.23311300983395133</v>
      </c>
      <c r="AU26" s="1">
        <f t="shared" si="9"/>
        <v>-0.58216952129995603</v>
      </c>
      <c r="AV26" s="1">
        <f t="shared" si="2"/>
        <v>0</v>
      </c>
    </row>
    <row r="27" spans="2:48" hidden="1" x14ac:dyDescent="0.3">
      <c r="B27" s="7" t="s">
        <v>4</v>
      </c>
      <c r="C27" s="37">
        <f>IFERROR(GETPIVOTDATA("[Measures].[Sum of Visits]",'[1]Raw Data'!$A$3,"[Omniture].[Channel]","[Omniture].[Channel].&amp;["&amp;$B27&amp;"]","[Datekey].[YearMonth]","[Datekey].[YearMonth].&amp;["&amp;TEXT(C$2,"yyyy-aa-ggTss:dd:nn")&amp;"]"),0)</f>
        <v>0</v>
      </c>
      <c r="D27" s="37">
        <f>IFERROR(GETPIVOTDATA("[Measures].[Sum of Visits]",'[1]Raw Data'!$A$3,"[Omniture].[Channel]","[Omniture].[Channel].&amp;["&amp;$B27&amp;"]","[Datekey].[YearMonth]","[Datekey].[YearMonth].&amp;["&amp;TEXT(D$2,"yyyy-aa-ggTss:dd:nn")&amp;"]"),0)</f>
        <v>0</v>
      </c>
      <c r="E27" s="37">
        <f>IFERROR(GETPIVOTDATA("[Measures].[Sum of Visits]",'[1]Raw Data'!$A$3,"[Omniture].[Channel]","[Omniture].[Channel].&amp;["&amp;$B27&amp;"]","[Datekey].[YearMonth]","[Datekey].[YearMonth].&amp;["&amp;TEXT(E$2,"yyyy-aa-ggTss:dd:nn")&amp;"]"),0)</f>
        <v>0</v>
      </c>
      <c r="F27" s="37">
        <f>IFERROR(GETPIVOTDATA("[Measures].[Sum of Visits]",'[1]Raw Data'!$A$3,"[Omniture].[Channel]","[Omniture].[Channel].&amp;["&amp;$B27&amp;"]","[Datekey].[YearMonth]","[Datekey].[YearMonth].&amp;["&amp;TEXT(F$2,"yyyy-aa-ggTss:dd:nn")&amp;"]"),0)</f>
        <v>0</v>
      </c>
      <c r="G27" s="37">
        <f>IFERROR(GETPIVOTDATA("[Measures].[Sum of Visits]",'[1]Raw Data'!$A$3,"[Omniture].[Channel]","[Omniture].[Channel].&amp;["&amp;$B27&amp;"]","[Datekey].[YearMonth]","[Datekey].[YearMonth].&amp;["&amp;TEXT(G$2,"yyyy-aa-ggTss:dd:nn")&amp;"]"),0)</f>
        <v>0</v>
      </c>
      <c r="H27" s="37">
        <f>IFERROR(GETPIVOTDATA("[Measures].[Sum of Visits]",'[1]Raw Data'!$A$3,"[Omniture].[Channel]","[Omniture].[Channel].&amp;["&amp;$B27&amp;"]","[Datekey].[YearMonth]","[Datekey].[YearMonth].&amp;["&amp;TEXT(H$2,"yyyy-aa-ggTss:dd:nn")&amp;"]"),0)</f>
        <v>0</v>
      </c>
      <c r="I27" s="37">
        <f>IFERROR(GETPIVOTDATA("[Measures].[Sum of Visits]",'[1]Raw Data'!$A$3,"[Omniture].[Channel]","[Omniture].[Channel].&amp;["&amp;$B27&amp;"]","[Datekey].[YearMonth]","[Datekey].[YearMonth].&amp;["&amp;TEXT(I$2,"yyyy-aa-ggTss:dd:nn")&amp;"]"),0)</f>
        <v>0</v>
      </c>
      <c r="J27" s="37">
        <f>IFERROR(GETPIVOTDATA("[Measures].[Sum of Visits]",'[1]Raw Data'!$A$3,"[Omniture].[Channel]","[Omniture].[Channel].&amp;["&amp;$B27&amp;"]","[Datekey].[YearMonth]","[Datekey].[YearMonth].&amp;["&amp;TEXT(J$2,"yyyy-aa-ggTss:dd:nn")&amp;"]"),0)</f>
        <v>0</v>
      </c>
      <c r="K27" s="37">
        <f>IFERROR(GETPIVOTDATA("[Measures].[Sum of Visits]",'[1]Raw Data'!$A$3,"[Omniture].[Channel]","[Omniture].[Channel].&amp;["&amp;$B27&amp;"]","[Datekey].[YearMonth]","[Datekey].[YearMonth].&amp;["&amp;TEXT(K$2,"yyyy-aa-ggTss:dd:nn")&amp;"]"),0)</f>
        <v>0</v>
      </c>
      <c r="L27" s="37">
        <f>IFERROR(GETPIVOTDATA("[Measures].[Sum of Visits]",'[1]Raw Data'!$A$3,"[Omniture].[Channel]","[Omniture].[Channel].&amp;["&amp;$B27&amp;"]","[Datekey].[YearMonth]","[Datekey].[YearMonth].&amp;["&amp;TEXT(L$2,"yyyy-aa-ggTss:dd:nn")&amp;"]"),0)</f>
        <v>0</v>
      </c>
      <c r="M27" s="37">
        <f>IFERROR(GETPIVOTDATA("[Measures].[Sum of Visits]",'[1]Raw Data'!$A$3,"[Omniture].[Channel]","[Omniture].[Channel].&amp;["&amp;$B27&amp;"]","[Datekey].[YearMonth]","[Datekey].[YearMonth].&amp;["&amp;TEXT(M$2,"yyyy-aa-ggTss:dd:nn")&amp;"]"),0)</f>
        <v>0</v>
      </c>
      <c r="N27" s="37">
        <f>IFERROR(GETPIVOTDATA("[Measures].[Sum of Visits]",'[1]Raw Data'!$A$3,"[Omniture].[Channel]","[Omniture].[Channel].&amp;["&amp;$B27&amp;"]","[Datekey].[YearMonth]","[Datekey].[YearMonth].&amp;["&amp;TEXT(N$2,"yyyy-aa-ggTss:dd:nn")&amp;"]"),0)</f>
        <v>0</v>
      </c>
      <c r="O27" s="37">
        <f>IFERROR(GETPIVOTDATA("[Measures].[Sum of Visits]",'[1]Raw Data'!$A$3,"[Omniture].[Channel]","[Omniture].[Channel].&amp;["&amp;$B27&amp;"]","[Datekey].[YearMonth]","[Datekey].[YearMonth].&amp;["&amp;TEXT(O$2,"yyyy-aa-ggTss:dd:nn")&amp;"]"),0)</f>
        <v>0</v>
      </c>
      <c r="P27" s="37">
        <f>IFERROR(GETPIVOTDATA("[Measures].[Sum of Visits]",'[1]Raw Data'!$A$3,"[Omniture].[Channel]","[Omniture].[Channel].&amp;["&amp;$B27&amp;"]","[Datekey].[YearMonth]","[Datekey].[YearMonth].&amp;["&amp;TEXT(P$2,"yyyy-aa-ggTss:dd:nn")&amp;"]"),0)</f>
        <v>0</v>
      </c>
      <c r="Q27" s="37">
        <f>IFERROR(GETPIVOTDATA("[Measures].[Sum of Visits]",'[1]Raw Data'!$A$3,"[Omniture].[Channel]","[Omniture].[Channel].&amp;["&amp;$B27&amp;"]","[Datekey].[YearMonth]","[Datekey].[YearMonth].&amp;["&amp;TEXT(Q$2,"yyyy-aa-ggTss:dd:nn")&amp;"]"),0)</f>
        <v>0</v>
      </c>
      <c r="R27" s="37">
        <f>IFERROR(GETPIVOTDATA("[Measures].[Sum of Visits]",'[1]Raw Data'!$A$3,"[Omniture].[Channel]","[Omniture].[Channel].&amp;["&amp;$B27&amp;"]","[Datekey].[YearMonth]","[Datekey].[YearMonth].&amp;["&amp;TEXT(R$2,"yyyy-aa-ggTss:dd:nn")&amp;"]"),0)</f>
        <v>0</v>
      </c>
      <c r="S27" s="37">
        <f>IFERROR(GETPIVOTDATA("[Measures].[Sum of Visits]",'[1]Raw Data'!$A$3,"[Omniture].[Channel]","[Omniture].[Channel].&amp;["&amp;$B27&amp;"]","[Datekey].[YearMonth]","[Datekey].[YearMonth].&amp;["&amp;TEXT(S$2,"yyyy-aa-ggTss:dd:nn")&amp;"]"),0)</f>
        <v>0</v>
      </c>
      <c r="T27" s="37">
        <f>IFERROR(GETPIVOTDATA("[Measures].[Sum of Visits]",'[1]Raw Data'!$A$3,"[Omniture].[Channel]","[Omniture].[Channel].&amp;["&amp;$B27&amp;"]","[Datekey].[YearMonth]","[Datekey].[YearMonth].&amp;["&amp;TEXT(T$2,"yyyy-aa-ggTss:dd:nn")&amp;"]"),0)</f>
        <v>0</v>
      </c>
      <c r="U27" s="37">
        <f>IFERROR(GETPIVOTDATA("[Measures].[Sum of Visits]",'[1]Raw Data'!$A$3,"[Omniture].[Channel]","[Omniture].[Channel].&amp;["&amp;$B27&amp;"]","[Datekey].[YearMonth]","[Datekey].[YearMonth].&amp;["&amp;TEXT(U$2,"yyyy-aa-ggTss:dd:nn")&amp;"]"),0)</f>
        <v>0</v>
      </c>
      <c r="V27" s="37">
        <f>IFERROR(GETPIVOTDATA("[Measures].[Sum of Visits]",'[1]Raw Data'!$A$3,"[Omniture].[Channel]","[Omniture].[Channel].&amp;["&amp;$B27&amp;"]","[Datekey].[YearMonth]","[Datekey].[YearMonth].&amp;["&amp;TEXT(V$2,"yyyy-aa-ggTss:dd:nn")&amp;"]"),0)</f>
        <v>0</v>
      </c>
      <c r="W27" s="37">
        <f>IFERROR(GETPIVOTDATA("[Measures].[Sum of Visits]",'[1]Raw Data'!$A$3,"[Omniture].[Channel]","[Omniture].[Channel].&amp;["&amp;$B27&amp;"]","[Datekey].[YearMonth]","[Datekey].[YearMonth].&amp;["&amp;TEXT(W$2,"yyyy-aa-ggTss:dd:nn")&amp;"]"),0)</f>
        <v>0</v>
      </c>
      <c r="X27" s="37">
        <f>IFERROR(GETPIVOTDATA("[Measures].[Sum of Visits]",'[1]Raw Data'!$A$3,"[Omniture].[Channel]","[Omniture].[Channel].&amp;["&amp;$B27&amp;"]","[Datekey].[YearMonth]","[Datekey].[YearMonth].&amp;["&amp;TEXT(X$2,"yyyy-aa-ggTss:dd:nn")&amp;"]"),0)</f>
        <v>0</v>
      </c>
      <c r="Y27" s="37">
        <f>IFERROR(GETPIVOTDATA("[Measures].[Sum of Visits]",'[1]Raw Data'!$A$3,"[Omniture].[Channel]","[Omniture].[Channel].&amp;["&amp;$B27&amp;"]","[Datekey].[YearMonth]","[Datekey].[YearMonth].&amp;["&amp;TEXT(Y$2,"yyyy-aa-ggTss:dd:nn")&amp;"]"),0)</f>
        <v>0</v>
      </c>
      <c r="Z27" s="37">
        <f>IFERROR(GETPIVOTDATA("[Measures].[Sum of Visits]",'[1]Raw Data'!$A$3,"[Omniture].[Channel]","[Omniture].[Channel].&amp;["&amp;$B27&amp;"]","[Datekey].[YearMonth]","[Datekey].[YearMonth].&amp;["&amp;TEXT(Z$2,"yyyy-aa-ggTss:dd:nn")&amp;"]"),0)</f>
        <v>0</v>
      </c>
      <c r="AA27" s="37">
        <f>IFERROR(GETPIVOTDATA("[Measures].[Sum of Visits]",'[1]Raw Data'!$A$3,"[Omniture].[Channel]","[Omniture].[Channel].&amp;["&amp;$B27&amp;"]","[Datekey].[YearMonth]","[Datekey].[YearMonth].&amp;["&amp;TEXT(AA$2,"yyyy-aa-ggTss:dd:nn")&amp;"]"),0)</f>
        <v>0</v>
      </c>
      <c r="AB27" s="37">
        <f>IFERROR(GETPIVOTDATA("[Measures].[Sum of Visits]",'[1]Raw Data'!$A$3,"[Omniture].[Channel]","[Omniture].[Channel].&amp;["&amp;$B27&amp;"]","[Datekey].[YearMonth]","[Datekey].[YearMonth].&amp;["&amp;TEXT(AB$2,"yyyy-aa-ggTss:dd:nn")&amp;"]"),0)</f>
        <v>0</v>
      </c>
      <c r="AC27" s="37">
        <f>IFERROR(GETPIVOTDATA("[Measures].[Sum of Visits]",'[1]Raw Data'!$A$3,"[Omniture].[Channel]","[Omniture].[Channel].&amp;["&amp;$B27&amp;"]","[Datekey].[YearMonth]","[Datekey].[YearMonth].&amp;["&amp;TEXT(AC$2,"yyyy-aa-ggTss:dd:nn")&amp;"]"),0)</f>
        <v>0</v>
      </c>
      <c r="AD27" s="37">
        <f>IFERROR(GETPIVOTDATA("[Measures].[Sum of Visits]",'[1]Raw Data'!$A$3,"[Omniture].[Channel]","[Omniture].[Channel].&amp;["&amp;$B27&amp;"]","[Datekey].[YearMonth]","[Datekey].[YearMonth].&amp;["&amp;TEXT(AD$2,"yyyy-aa-ggTss:dd:nn")&amp;"]"),0)</f>
        <v>0</v>
      </c>
      <c r="AE27" s="37">
        <f>IFERROR(GETPIVOTDATA("[Measures].[Sum of Visits]",'[1]Raw Data'!$A$3,"[Omniture].[Channel]","[Omniture].[Channel].&amp;["&amp;$B27&amp;"]","[Datekey].[YearMonth]","[Datekey].[YearMonth].&amp;["&amp;TEXT(AE$2,"yyyy-aa-ggTss:dd:nn")&amp;"]"),0)</f>
        <v>0</v>
      </c>
      <c r="AF27" s="37">
        <f>IFERROR(GETPIVOTDATA("[Measures].[Sum of Visits]",'[1]Raw Data'!$A$3,"[Omniture].[Channel]","[Omniture].[Channel].&amp;["&amp;$B27&amp;"]","[Datekey].[YearMonth]","[Datekey].[YearMonth].&amp;["&amp;TEXT(AF$2,"yyyy-aa-ggTss:dd:nn")&amp;"]"),0)</f>
        <v>0</v>
      </c>
      <c r="AG27" s="37">
        <f>IFERROR(GETPIVOTDATA("[Measures].[Sum of Visits]",'[1]Raw Data'!$A$3,"[Omniture].[Channel]","[Omniture].[Channel].&amp;["&amp;$B27&amp;"]","[Datekey].[YearMonth]","[Datekey].[YearMonth].&amp;["&amp;TEXT(AG$2,"yyyy-aa-ggTss:dd:nn")&amp;"]"),0)</f>
        <v>0</v>
      </c>
      <c r="AH27" s="37">
        <f>IFERROR(GETPIVOTDATA("[Measures].[Sum of Visits]",'[1]Raw Data'!$A$3,"[Omniture].[Channel]","[Omniture].[Channel].&amp;["&amp;$B27&amp;"]","[Datekey].[YearMonth]","[Datekey].[YearMonth].&amp;["&amp;TEXT(AH$2,"yyyy-aa-ggTss:dd:nn")&amp;"]"),0)</f>
        <v>0</v>
      </c>
      <c r="AI27" s="37">
        <f>IFERROR(GETPIVOTDATA("[Measures].[Sum of Visits]",'[1]Raw Data'!$A$3,"[Omniture].[Channel]","[Omniture].[Channel].&amp;["&amp;$B27&amp;"]","[Datekey].[YearMonth]","[Datekey].[YearMonth].&amp;["&amp;TEXT(AI$2,"yyyy-aa-ggTss:dd:nn")&amp;"]"),0)</f>
        <v>0</v>
      </c>
      <c r="AJ27" s="37">
        <f>IFERROR(GETPIVOTDATA("[Measures].[Sum of Visits]",'[1]Raw Data'!$A$3,"[Omniture].[Channel]","[Omniture].[Channel].&amp;["&amp;$B27&amp;"]","[Datekey].[YearMonth]","[Datekey].[YearMonth].&amp;["&amp;TEXT(AJ$2,"yyyy-aa-ggTss:dd:nn")&amp;"]"),0)</f>
        <v>0</v>
      </c>
      <c r="AK27" s="37">
        <f>IFERROR(GETPIVOTDATA("[Measures].[Sum of Visits]",'[1]Raw Data'!$A$3,"[Omniture].[Channel]","[Omniture].[Channel].&amp;["&amp;$B27&amp;"]","[Datekey].[YearMonth]","[Datekey].[YearMonth].&amp;["&amp;TEXT(AK$2,"yyyy-aa-ggTss:dd:nn")&amp;"]"),0)</f>
        <v>0</v>
      </c>
      <c r="AL27" s="37">
        <f>IFERROR(GETPIVOTDATA("[Measures].[Sum of Visits]",'[1]Raw Data'!$A$3,"[Omniture].[Channel]","[Omniture].[Channel].&amp;["&amp;$B27&amp;"]","[Datekey].[YearMonth]","[Datekey].[YearMonth].&amp;["&amp;TEXT(AL$2,"yyyy-aa-ggTss:dd:nn")&amp;"]"),0)</f>
        <v>0</v>
      </c>
      <c r="AM27" s="37">
        <f>IFERROR(GETPIVOTDATA("[Measures].[Sum of Visits]",'[1]Raw Data'!$A$3,"[Omniture].[Channel]","[Omniture].[Channel].&amp;["&amp;$B27&amp;"]","[Datekey].[YearMonth]","[Datekey].[YearMonth].&amp;["&amp;TEXT(AM$2,"yyyy-aa-ggTss:dd:nn")&amp;"]"),0)</f>
        <v>0</v>
      </c>
      <c r="AN27" s="37">
        <f>IFERROR(GETPIVOTDATA("[Measures].[Sum of Visits]",'[1]Raw Data'!$A$3,"[Omniture].[Channel]","[Omniture].[Channel].&amp;["&amp;$B27&amp;"]","[Datekey].[YearMonth]","[Datekey].[YearMonth].&amp;["&amp;TEXT(AN$2,"yyyy-aa-ggTss:dd:nn")&amp;"]"),0)</f>
        <v>0</v>
      </c>
      <c r="AO27" s="37">
        <f>IFERROR(GETPIVOTDATA("[Measures].[Sum of Visits]",'[1]Raw Data'!$A$3,"[Omniture].[Channel]","[Omniture].[Channel].&amp;["&amp;$B27&amp;"]","[Datekey].[YearMonth]","[Datekey].[YearMonth].&amp;["&amp;TEXT(AO$2,"yyyy-aa-ggTss:dd:nn")&amp;"]"),0)</f>
        <v>0</v>
      </c>
      <c r="AP27" s="37">
        <f>IFERROR(GETPIVOTDATA("[Measures].[Sum of Visits]",'[1]Raw Data'!$A$3,"[Omniture].[Channel]","[Omniture].[Channel].&amp;["&amp;$B27&amp;"]","[Datekey].[YearMonth]","[Datekey].[YearMonth].&amp;["&amp;TEXT(AP$2,"yyyy-aa-ggTss:dd:nn")&amp;"]"),0)</f>
        <v>0</v>
      </c>
      <c r="AQ27" s="37">
        <f>IFERROR(GETPIVOTDATA("[Measures].[Sum of Visits]",'[1]Raw Data'!$A$3,"[Omniture].[Channel]","[Omniture].[Channel].&amp;["&amp;$B27&amp;"]","[Datekey].[YearMonth]","[Datekey].[YearMonth].&amp;["&amp;TEXT(AQ$2,"yyyy-aa-ggTss:dd:nn")&amp;"]"),0)</f>
        <v>0</v>
      </c>
      <c r="AR27" s="37">
        <f>IFERROR(GETPIVOTDATA("[Measures].[Sum of Visits]",'[1]Raw Data'!$A$3,"[Omniture].[Channel]","[Omniture].[Channel].&amp;["&amp;$B27&amp;"]","[Datekey].[YearMonth]","[Datekey].[YearMonth].&amp;["&amp;TEXT(AR$2,"yyyy-aa-ggTss:dd:nn")&amp;"]"),0)</f>
        <v>0</v>
      </c>
      <c r="AS27" s="37">
        <f>IFERROR(GETPIVOTDATA("[Measures].[Sum of Visits]",'[1]Raw Data'!$A$3,"[Omniture].[Channel]","[Omniture].[Channel].&amp;["&amp;$B27&amp;"]","[Datekey].[YearMonth]","[Datekey].[YearMonth].&amp;["&amp;TEXT(AS$2,"yyyy-aa-ggTss:dd:nn")&amp;"]"),0)</f>
        <v>0</v>
      </c>
      <c r="AT27" s="1" t="e">
        <f t="shared" si="8"/>
        <v>#DIV/0!</v>
      </c>
      <c r="AU27" s="1" t="e">
        <f t="shared" si="9"/>
        <v>#DIV/0!</v>
      </c>
      <c r="AV27" s="1" t="str">
        <f t="shared" si="2"/>
        <v/>
      </c>
    </row>
    <row r="28" spans="2:48" hidden="1" x14ac:dyDescent="0.3">
      <c r="B28" s="9"/>
      <c r="C28" s="9"/>
      <c r="D28" s="9"/>
      <c r="E28" s="9"/>
      <c r="AT28" s="1"/>
      <c r="AU28" s="1"/>
      <c r="AV28" s="1" t="str">
        <f t="shared" si="2"/>
        <v/>
      </c>
    </row>
    <row r="29" spans="2:48" hidden="1" x14ac:dyDescent="0.3">
      <c r="B29" s="6" t="s">
        <v>31</v>
      </c>
      <c r="C29" s="39">
        <f t="shared" ref="C29:E39" si="12">IFERROR(C16/C3,0)</f>
        <v>5.7628056787860519E-3</v>
      </c>
      <c r="D29" s="39">
        <f t="shared" si="12"/>
        <v>5.5101912483103777E-3</v>
      </c>
      <c r="E29" s="39">
        <f t="shared" si="12"/>
        <v>6.8193738239003708E-3</v>
      </c>
      <c r="F29" s="39">
        <f t="shared" ref="F29:O29" si="13">IFERROR(F16/F3,0)</f>
        <v>3.589412462467812E-3</v>
      </c>
      <c r="G29" s="39">
        <f t="shared" si="13"/>
        <v>4.8340235277145698E-3</v>
      </c>
      <c r="H29" s="39">
        <f t="shared" si="13"/>
        <v>9.907021713655052E-3</v>
      </c>
      <c r="I29" s="39">
        <f t="shared" si="13"/>
        <v>7.950799257650458E-3</v>
      </c>
      <c r="J29" s="39">
        <f t="shared" si="13"/>
        <v>8.4913343337264038E-3</v>
      </c>
      <c r="K29" s="39">
        <f t="shared" si="13"/>
        <v>1.7688635271487181E-2</v>
      </c>
      <c r="L29" s="39">
        <f t="shared" si="13"/>
        <v>1.0182158991643655E-2</v>
      </c>
      <c r="M29" s="39">
        <f t="shared" si="13"/>
        <v>8.9193287441280029E-3</v>
      </c>
      <c r="N29" s="39">
        <f t="shared" si="13"/>
        <v>1.7243053870929777E-2</v>
      </c>
      <c r="O29" s="39">
        <f t="shared" si="13"/>
        <v>1.7701370538112476E-2</v>
      </c>
      <c r="AT29" s="1">
        <f t="shared" ref="AT29:AT39" si="14">O29/N29-1</f>
        <v>2.6579785147883728E-2</v>
      </c>
      <c r="AU29" s="1">
        <f t="shared" ref="AU29:AU39" si="15">O29/L29-1</f>
        <v>0.73846927283690289</v>
      </c>
      <c r="AV29" s="1">
        <f t="shared" si="2"/>
        <v>0</v>
      </c>
    </row>
    <row r="30" spans="2:48" hidden="1" x14ac:dyDescent="0.3">
      <c r="B30" s="7" t="s">
        <v>1</v>
      </c>
      <c r="C30" s="40">
        <f t="shared" si="12"/>
        <v>0.10775354943952418</v>
      </c>
      <c r="D30" s="40">
        <f t="shared" si="12"/>
        <v>0.10546965637985951</v>
      </c>
      <c r="E30" s="40">
        <f t="shared" si="12"/>
        <v>0.11083975174513123</v>
      </c>
      <c r="F30" s="40">
        <f t="shared" ref="F30:O30" si="16">IFERROR(F17/F4,0)</f>
        <v>0.12730352286318655</v>
      </c>
      <c r="G30" s="40">
        <f t="shared" si="16"/>
        <v>0.13240534780932203</v>
      </c>
      <c r="H30" s="40">
        <f t="shared" si="16"/>
        <v>0.11838218493419639</v>
      </c>
      <c r="I30" s="40">
        <f t="shared" si="16"/>
        <v>0.12462815643411748</v>
      </c>
      <c r="J30" s="40">
        <f t="shared" si="16"/>
        <v>0.11681881963001228</v>
      </c>
      <c r="K30" s="40">
        <f t="shared" si="16"/>
        <v>0.12627856399911747</v>
      </c>
      <c r="L30" s="40">
        <f t="shared" si="16"/>
        <v>0.12475419012587485</v>
      </c>
      <c r="M30" s="40">
        <f t="shared" si="16"/>
        <v>0.13722744355863414</v>
      </c>
      <c r="N30" s="40">
        <f t="shared" si="16"/>
        <v>0.14350700413794598</v>
      </c>
      <c r="O30" s="40">
        <f t="shared" si="16"/>
        <v>0.14812334694323787</v>
      </c>
      <c r="AT30" s="1">
        <f t="shared" si="14"/>
        <v>3.2168066172257648E-2</v>
      </c>
      <c r="AU30" s="1">
        <f t="shared" si="15"/>
        <v>0.18732161856675056</v>
      </c>
      <c r="AV30" s="1">
        <f t="shared" si="2"/>
        <v>0</v>
      </c>
    </row>
    <row r="31" spans="2:48" hidden="1" x14ac:dyDescent="0.3">
      <c r="B31" s="7" t="s">
        <v>2</v>
      </c>
      <c r="C31" s="40">
        <f t="shared" si="12"/>
        <v>2.1707441195835623E-3</v>
      </c>
      <c r="D31" s="40">
        <f t="shared" si="12"/>
        <v>2.8315810690437643E-3</v>
      </c>
      <c r="E31" s="40">
        <f t="shared" si="12"/>
        <v>5.3437174284550306E-4</v>
      </c>
      <c r="F31" s="40">
        <f t="shared" ref="F31:AS31" si="17">IFERROR(F18/F5,0)</f>
        <v>2.4554733569732853E-3</v>
      </c>
      <c r="G31" s="40">
        <f t="shared" si="17"/>
        <v>2.4941933178488475E-3</v>
      </c>
      <c r="H31" s="40">
        <f t="shared" si="17"/>
        <v>0</v>
      </c>
      <c r="I31" s="40">
        <f t="shared" si="17"/>
        <v>1.0364884440784984E-2</v>
      </c>
      <c r="J31" s="40">
        <f t="shared" si="17"/>
        <v>0</v>
      </c>
      <c r="K31" s="40">
        <f t="shared" si="17"/>
        <v>0</v>
      </c>
      <c r="L31" s="40">
        <f t="shared" si="17"/>
        <v>1.2456006888422601E-3</v>
      </c>
      <c r="M31" s="40">
        <f t="shared" si="17"/>
        <v>0</v>
      </c>
      <c r="N31" s="40">
        <f t="shared" si="17"/>
        <v>0</v>
      </c>
      <c r="O31" s="40">
        <f t="shared" si="17"/>
        <v>0</v>
      </c>
      <c r="P31" s="40">
        <f t="shared" si="17"/>
        <v>0</v>
      </c>
      <c r="Q31" s="40">
        <f t="shared" si="17"/>
        <v>0</v>
      </c>
      <c r="R31" s="40">
        <f t="shared" si="17"/>
        <v>0</v>
      </c>
      <c r="S31" s="40">
        <f t="shared" si="17"/>
        <v>0</v>
      </c>
      <c r="T31" s="40">
        <f t="shared" si="17"/>
        <v>0</v>
      </c>
      <c r="U31" s="40">
        <f t="shared" si="17"/>
        <v>0</v>
      </c>
      <c r="V31" s="40">
        <f t="shared" si="17"/>
        <v>0</v>
      </c>
      <c r="W31" s="40">
        <f t="shared" si="17"/>
        <v>0</v>
      </c>
      <c r="X31" s="40">
        <f t="shared" si="17"/>
        <v>0</v>
      </c>
      <c r="Y31" s="40">
        <f t="shared" si="17"/>
        <v>0</v>
      </c>
      <c r="Z31" s="40">
        <f t="shared" si="17"/>
        <v>0</v>
      </c>
      <c r="AA31" s="40">
        <f t="shared" si="17"/>
        <v>0</v>
      </c>
      <c r="AB31" s="40">
        <f t="shared" si="17"/>
        <v>0</v>
      </c>
      <c r="AC31" s="40">
        <f t="shared" si="17"/>
        <v>0</v>
      </c>
      <c r="AD31" s="40">
        <f t="shared" si="17"/>
        <v>0</v>
      </c>
      <c r="AE31" s="40">
        <f t="shared" si="17"/>
        <v>0</v>
      </c>
      <c r="AF31" s="40">
        <f t="shared" si="17"/>
        <v>0</v>
      </c>
      <c r="AG31" s="40">
        <f t="shared" si="17"/>
        <v>0</v>
      </c>
      <c r="AH31" s="40">
        <f t="shared" si="17"/>
        <v>0</v>
      </c>
      <c r="AI31" s="40">
        <f t="shared" si="17"/>
        <v>0</v>
      </c>
      <c r="AJ31" s="40">
        <f t="shared" si="17"/>
        <v>0</v>
      </c>
      <c r="AK31" s="40">
        <f t="shared" si="17"/>
        <v>0</v>
      </c>
      <c r="AL31" s="40">
        <f t="shared" si="17"/>
        <v>0</v>
      </c>
      <c r="AM31" s="40">
        <f t="shared" si="17"/>
        <v>0</v>
      </c>
      <c r="AN31" s="40">
        <f t="shared" si="17"/>
        <v>0</v>
      </c>
      <c r="AO31" s="40">
        <f t="shared" si="17"/>
        <v>0</v>
      </c>
      <c r="AP31" s="40">
        <f t="shared" si="17"/>
        <v>0</v>
      </c>
      <c r="AQ31" s="40">
        <f t="shared" si="17"/>
        <v>0</v>
      </c>
      <c r="AR31" s="40">
        <f t="shared" si="17"/>
        <v>0</v>
      </c>
      <c r="AS31" s="40">
        <f t="shared" si="17"/>
        <v>0</v>
      </c>
      <c r="AT31" s="1" t="e">
        <f t="shared" si="14"/>
        <v>#DIV/0!</v>
      </c>
      <c r="AU31" s="1">
        <f t="shared" si="15"/>
        <v>-1</v>
      </c>
      <c r="AV31" s="1">
        <f t="shared" si="2"/>
        <v>0</v>
      </c>
    </row>
    <row r="32" spans="2:48" hidden="1" x14ac:dyDescent="0.3">
      <c r="B32" s="7" t="s">
        <v>3</v>
      </c>
      <c r="C32" s="40">
        <f t="shared" si="12"/>
        <v>0</v>
      </c>
      <c r="D32" s="40">
        <f t="shared" si="12"/>
        <v>1.0750203164632494E-3</v>
      </c>
      <c r="E32" s="40">
        <f t="shared" si="12"/>
        <v>1.1615694919154022E-3</v>
      </c>
      <c r="F32" s="40">
        <f t="shared" ref="F32:AS32" si="18">IFERROR(F19/F6,0)</f>
        <v>1.5712351839365568E-3</v>
      </c>
      <c r="G32" s="40">
        <f t="shared" si="18"/>
        <v>1.0939958957336387E-3</v>
      </c>
      <c r="H32" s="40">
        <f t="shared" si="18"/>
        <v>1.1726140520687428E-3</v>
      </c>
      <c r="I32" s="40">
        <f t="shared" si="18"/>
        <v>1.0798708628063723E-3</v>
      </c>
      <c r="J32" s="40">
        <f t="shared" si="18"/>
        <v>9.7450012067259388E-4</v>
      </c>
      <c r="K32" s="40">
        <f t="shared" si="18"/>
        <v>1.5741227740626643E-3</v>
      </c>
      <c r="L32" s="40">
        <f t="shared" si="18"/>
        <v>1.5751853159195199E-3</v>
      </c>
      <c r="M32" s="40">
        <f t="shared" si="18"/>
        <v>1.894780799828038E-3</v>
      </c>
      <c r="N32" s="40">
        <f t="shared" si="18"/>
        <v>1.9760184847612806E-3</v>
      </c>
      <c r="O32" s="40">
        <f t="shared" si="18"/>
        <v>1.4593017820372716E-3</v>
      </c>
      <c r="P32" s="40">
        <f t="shared" si="18"/>
        <v>0</v>
      </c>
      <c r="Q32" s="40">
        <f t="shared" si="18"/>
        <v>0</v>
      </c>
      <c r="R32" s="40">
        <f t="shared" si="18"/>
        <v>0</v>
      </c>
      <c r="S32" s="40">
        <f t="shared" si="18"/>
        <v>0</v>
      </c>
      <c r="T32" s="40">
        <f t="shared" si="18"/>
        <v>0</v>
      </c>
      <c r="U32" s="40">
        <f t="shared" si="18"/>
        <v>0</v>
      </c>
      <c r="V32" s="40">
        <f t="shared" si="18"/>
        <v>0</v>
      </c>
      <c r="W32" s="40">
        <f t="shared" si="18"/>
        <v>0</v>
      </c>
      <c r="X32" s="40">
        <f t="shared" si="18"/>
        <v>0</v>
      </c>
      <c r="Y32" s="40">
        <f t="shared" si="18"/>
        <v>0</v>
      </c>
      <c r="Z32" s="40">
        <f t="shared" si="18"/>
        <v>0</v>
      </c>
      <c r="AA32" s="40">
        <f t="shared" si="18"/>
        <v>0</v>
      </c>
      <c r="AB32" s="40">
        <f t="shared" si="18"/>
        <v>0</v>
      </c>
      <c r="AC32" s="40">
        <f t="shared" si="18"/>
        <v>0</v>
      </c>
      <c r="AD32" s="40">
        <f t="shared" si="18"/>
        <v>0</v>
      </c>
      <c r="AE32" s="40">
        <f t="shared" si="18"/>
        <v>0</v>
      </c>
      <c r="AF32" s="40">
        <f t="shared" si="18"/>
        <v>0</v>
      </c>
      <c r="AG32" s="40">
        <f t="shared" si="18"/>
        <v>0</v>
      </c>
      <c r="AH32" s="40">
        <f t="shared" si="18"/>
        <v>0</v>
      </c>
      <c r="AI32" s="40">
        <f t="shared" si="18"/>
        <v>0</v>
      </c>
      <c r="AJ32" s="40">
        <f t="shared" si="18"/>
        <v>0</v>
      </c>
      <c r="AK32" s="40">
        <f t="shared" si="18"/>
        <v>0</v>
      </c>
      <c r="AL32" s="40">
        <f t="shared" si="18"/>
        <v>0</v>
      </c>
      <c r="AM32" s="40">
        <f t="shared" si="18"/>
        <v>0</v>
      </c>
      <c r="AN32" s="40">
        <f t="shared" si="18"/>
        <v>0</v>
      </c>
      <c r="AO32" s="40">
        <f t="shared" si="18"/>
        <v>0</v>
      </c>
      <c r="AP32" s="40">
        <f t="shared" si="18"/>
        <v>0</v>
      </c>
      <c r="AQ32" s="40">
        <f t="shared" si="18"/>
        <v>0</v>
      </c>
      <c r="AR32" s="40">
        <f t="shared" si="18"/>
        <v>0</v>
      </c>
      <c r="AS32" s="40">
        <f t="shared" si="18"/>
        <v>0</v>
      </c>
      <c r="AT32" s="1">
        <f t="shared" si="14"/>
        <v>-0.26149386086660653</v>
      </c>
      <c r="AU32" s="1">
        <f t="shared" si="15"/>
        <v>-7.3568190809727652E-2</v>
      </c>
      <c r="AV32" s="1">
        <f t="shared" si="2"/>
        <v>0</v>
      </c>
    </row>
    <row r="33" spans="2:48" hidden="1" x14ac:dyDescent="0.3">
      <c r="B33" s="7" t="s">
        <v>0</v>
      </c>
      <c r="C33" s="40">
        <f t="shared" si="12"/>
        <v>1.4695419631754433E-3</v>
      </c>
      <c r="D33" s="40">
        <f t="shared" si="12"/>
        <v>1.468210588941068E-3</v>
      </c>
      <c r="E33" s="40">
        <f t="shared" si="12"/>
        <v>1.037350949683216E-3</v>
      </c>
      <c r="F33" s="40">
        <f t="shared" ref="F33:AS33" si="19">IFERROR(F20/F7,0)</f>
        <v>7.0694539394065912E-4</v>
      </c>
      <c r="G33" s="40">
        <f t="shared" si="19"/>
        <v>5.1806776255299664E-4</v>
      </c>
      <c r="H33" s="40">
        <f t="shared" si="19"/>
        <v>8.8433109289917438E-4</v>
      </c>
      <c r="I33" s="40">
        <f t="shared" si="19"/>
        <v>1.7844991089129274E-3</v>
      </c>
      <c r="J33" s="40">
        <f t="shared" si="19"/>
        <v>1.2632837342431774E-3</v>
      </c>
      <c r="K33" s="40">
        <f t="shared" si="19"/>
        <v>2.3428221244841184E-3</v>
      </c>
      <c r="L33" s="40">
        <f t="shared" si="19"/>
        <v>3.0673240750435471E-3</v>
      </c>
      <c r="M33" s="40">
        <f t="shared" si="19"/>
        <v>1.7000113170073201E-3</v>
      </c>
      <c r="N33" s="40">
        <f t="shared" si="19"/>
        <v>2.6744490816347104E-2</v>
      </c>
      <c r="O33" s="40">
        <f t="shared" si="19"/>
        <v>3.3348791257535738E-2</v>
      </c>
      <c r="P33" s="40">
        <f t="shared" si="19"/>
        <v>0</v>
      </c>
      <c r="Q33" s="40">
        <f t="shared" si="19"/>
        <v>0</v>
      </c>
      <c r="R33" s="40">
        <f t="shared" si="19"/>
        <v>0</v>
      </c>
      <c r="S33" s="40">
        <f t="shared" si="19"/>
        <v>0</v>
      </c>
      <c r="T33" s="40">
        <f t="shared" si="19"/>
        <v>0</v>
      </c>
      <c r="U33" s="40">
        <f t="shared" si="19"/>
        <v>0</v>
      </c>
      <c r="V33" s="40">
        <f t="shared" si="19"/>
        <v>0</v>
      </c>
      <c r="W33" s="40">
        <f t="shared" si="19"/>
        <v>0</v>
      </c>
      <c r="X33" s="40">
        <f t="shared" si="19"/>
        <v>0</v>
      </c>
      <c r="Y33" s="40">
        <f t="shared" si="19"/>
        <v>0</v>
      </c>
      <c r="Z33" s="40">
        <f t="shared" si="19"/>
        <v>0</v>
      </c>
      <c r="AA33" s="40">
        <f t="shared" si="19"/>
        <v>0</v>
      </c>
      <c r="AB33" s="40">
        <f t="shared" si="19"/>
        <v>0</v>
      </c>
      <c r="AC33" s="40">
        <f t="shared" si="19"/>
        <v>0</v>
      </c>
      <c r="AD33" s="40">
        <f t="shared" si="19"/>
        <v>0</v>
      </c>
      <c r="AE33" s="40">
        <f t="shared" si="19"/>
        <v>0</v>
      </c>
      <c r="AF33" s="40">
        <f t="shared" si="19"/>
        <v>0</v>
      </c>
      <c r="AG33" s="40">
        <f t="shared" si="19"/>
        <v>0</v>
      </c>
      <c r="AH33" s="40">
        <f t="shared" si="19"/>
        <v>0</v>
      </c>
      <c r="AI33" s="40">
        <f t="shared" si="19"/>
        <v>0</v>
      </c>
      <c r="AJ33" s="40">
        <f t="shared" si="19"/>
        <v>0</v>
      </c>
      <c r="AK33" s="40">
        <f t="shared" si="19"/>
        <v>0</v>
      </c>
      <c r="AL33" s="40">
        <f t="shared" si="19"/>
        <v>0</v>
      </c>
      <c r="AM33" s="40">
        <f t="shared" si="19"/>
        <v>0</v>
      </c>
      <c r="AN33" s="40">
        <f t="shared" si="19"/>
        <v>0</v>
      </c>
      <c r="AO33" s="40">
        <f t="shared" si="19"/>
        <v>0</v>
      </c>
      <c r="AP33" s="40">
        <f t="shared" si="19"/>
        <v>0</v>
      </c>
      <c r="AQ33" s="40">
        <f t="shared" si="19"/>
        <v>0</v>
      </c>
      <c r="AR33" s="40">
        <f t="shared" si="19"/>
        <v>0</v>
      </c>
      <c r="AS33" s="40">
        <f t="shared" si="19"/>
        <v>0</v>
      </c>
      <c r="AT33" s="1">
        <f t="shared" si="14"/>
        <v>0.2469405937297513</v>
      </c>
      <c r="AU33" s="1">
        <f t="shared" si="15"/>
        <v>9.8722751302573997</v>
      </c>
      <c r="AV33" s="1">
        <f t="shared" si="2"/>
        <v>0</v>
      </c>
    </row>
    <row r="34" spans="2:48" hidden="1" x14ac:dyDescent="0.3">
      <c r="B34" s="7" t="s">
        <v>17</v>
      </c>
      <c r="C34" s="40">
        <f t="shared" si="12"/>
        <v>0</v>
      </c>
      <c r="D34" s="40">
        <f t="shared" si="12"/>
        <v>0</v>
      </c>
      <c r="E34" s="40">
        <f t="shared" si="12"/>
        <v>5.8591791752406145E-3</v>
      </c>
      <c r="F34" s="40">
        <f t="shared" ref="F34:AS34" si="20">IFERROR(F21/F8,0)</f>
        <v>5.9611327754757557E-3</v>
      </c>
      <c r="G34" s="40">
        <f t="shared" si="20"/>
        <v>6.7937608294037577E-3</v>
      </c>
      <c r="H34" s="40">
        <f t="shared" si="20"/>
        <v>6.6538303836565678E-3</v>
      </c>
      <c r="I34" s="40">
        <f t="shared" si="20"/>
        <v>5.6060481885877502E-3</v>
      </c>
      <c r="J34" s="40">
        <f t="shared" si="20"/>
        <v>6.9604489399857613E-3</v>
      </c>
      <c r="K34" s="40">
        <f t="shared" si="20"/>
        <v>1.0811500546212311E-2</v>
      </c>
      <c r="L34" s="40">
        <f t="shared" si="20"/>
        <v>8.3955295323777206E-3</v>
      </c>
      <c r="M34" s="40">
        <f t="shared" si="20"/>
        <v>7.4750998728213619E-3</v>
      </c>
      <c r="N34" s="40">
        <f t="shared" si="20"/>
        <v>1.0438269182287258E-2</v>
      </c>
      <c r="O34" s="40">
        <f t="shared" si="20"/>
        <v>1.0251376084850638E-2</v>
      </c>
      <c r="P34" s="40">
        <f t="shared" si="20"/>
        <v>0</v>
      </c>
      <c r="Q34" s="40">
        <f t="shared" si="20"/>
        <v>0</v>
      </c>
      <c r="R34" s="40">
        <f t="shared" si="20"/>
        <v>0</v>
      </c>
      <c r="S34" s="40">
        <f t="shared" si="20"/>
        <v>0</v>
      </c>
      <c r="T34" s="40">
        <f t="shared" si="20"/>
        <v>0</v>
      </c>
      <c r="U34" s="40">
        <f t="shared" si="20"/>
        <v>0</v>
      </c>
      <c r="V34" s="40">
        <f t="shared" si="20"/>
        <v>0</v>
      </c>
      <c r="W34" s="40">
        <f t="shared" si="20"/>
        <v>0</v>
      </c>
      <c r="X34" s="40">
        <f t="shared" si="20"/>
        <v>0</v>
      </c>
      <c r="Y34" s="40">
        <f t="shared" si="20"/>
        <v>0</v>
      </c>
      <c r="Z34" s="40">
        <f t="shared" si="20"/>
        <v>0</v>
      </c>
      <c r="AA34" s="40">
        <f t="shared" si="20"/>
        <v>0</v>
      </c>
      <c r="AB34" s="40">
        <f t="shared" si="20"/>
        <v>0</v>
      </c>
      <c r="AC34" s="40">
        <f t="shared" si="20"/>
        <v>0</v>
      </c>
      <c r="AD34" s="40">
        <f t="shared" si="20"/>
        <v>0</v>
      </c>
      <c r="AE34" s="40">
        <f t="shared" si="20"/>
        <v>0</v>
      </c>
      <c r="AF34" s="40">
        <f t="shared" si="20"/>
        <v>0</v>
      </c>
      <c r="AG34" s="40">
        <f t="shared" si="20"/>
        <v>0</v>
      </c>
      <c r="AH34" s="40">
        <f t="shared" si="20"/>
        <v>0</v>
      </c>
      <c r="AI34" s="40">
        <f t="shared" si="20"/>
        <v>0</v>
      </c>
      <c r="AJ34" s="40">
        <f t="shared" si="20"/>
        <v>0</v>
      </c>
      <c r="AK34" s="40">
        <f t="shared" si="20"/>
        <v>0</v>
      </c>
      <c r="AL34" s="40">
        <f t="shared" si="20"/>
        <v>0</v>
      </c>
      <c r="AM34" s="40">
        <f t="shared" si="20"/>
        <v>0</v>
      </c>
      <c r="AN34" s="40">
        <f t="shared" si="20"/>
        <v>0</v>
      </c>
      <c r="AO34" s="40">
        <f t="shared" si="20"/>
        <v>0</v>
      </c>
      <c r="AP34" s="40">
        <f t="shared" si="20"/>
        <v>0</v>
      </c>
      <c r="AQ34" s="40">
        <f t="shared" si="20"/>
        <v>0</v>
      </c>
      <c r="AR34" s="40">
        <f t="shared" si="20"/>
        <v>0</v>
      </c>
      <c r="AS34" s="40">
        <f t="shared" si="20"/>
        <v>0</v>
      </c>
      <c r="AT34" s="1">
        <f t="shared" si="14"/>
        <v>-1.7904606038878557E-2</v>
      </c>
      <c r="AU34" s="1">
        <f t="shared" si="15"/>
        <v>0.22105175680887856</v>
      </c>
      <c r="AV34" s="1">
        <f t="shared" si="2"/>
        <v>0</v>
      </c>
    </row>
    <row r="35" spans="2:48" hidden="1" x14ac:dyDescent="0.3">
      <c r="B35" s="8" t="s">
        <v>8</v>
      </c>
      <c r="C35" s="40">
        <f t="shared" si="12"/>
        <v>0</v>
      </c>
      <c r="D35" s="40">
        <f t="shared" si="12"/>
        <v>0</v>
      </c>
      <c r="E35" s="40">
        <f t="shared" si="12"/>
        <v>2.703486418914857E-3</v>
      </c>
      <c r="F35" s="40">
        <f t="shared" ref="F35:AS35" si="21">IFERROR(F22/F9,0)</f>
        <v>5.2701937887750612E-3</v>
      </c>
      <c r="G35" s="40">
        <f t="shared" si="21"/>
        <v>6.0696607452159048E-3</v>
      </c>
      <c r="H35" s="40">
        <f t="shared" si="21"/>
        <v>4.5379089050826748E-3</v>
      </c>
      <c r="I35" s="40">
        <f t="shared" si="21"/>
        <v>3.1925083635418383E-3</v>
      </c>
      <c r="J35" s="40">
        <f t="shared" si="21"/>
        <v>1.099012340799492E-3</v>
      </c>
      <c r="K35" s="40">
        <f t="shared" si="21"/>
        <v>7.3915644517819823E-3</v>
      </c>
      <c r="L35" s="40">
        <f t="shared" si="21"/>
        <v>9.8250598744051842E-3</v>
      </c>
      <c r="M35" s="40">
        <f t="shared" si="21"/>
        <v>1.6836352283001232E-2</v>
      </c>
      <c r="N35" s="40">
        <f t="shared" si="21"/>
        <v>1.6485875050757003E-2</v>
      </c>
      <c r="O35" s="40">
        <f t="shared" si="21"/>
        <v>1.0730071897720128E-2</v>
      </c>
      <c r="P35" s="40">
        <f t="shared" si="21"/>
        <v>0</v>
      </c>
      <c r="Q35" s="40">
        <f t="shared" si="21"/>
        <v>0</v>
      </c>
      <c r="R35" s="40">
        <f t="shared" si="21"/>
        <v>0</v>
      </c>
      <c r="S35" s="40">
        <f t="shared" si="21"/>
        <v>0</v>
      </c>
      <c r="T35" s="40">
        <f t="shared" si="21"/>
        <v>0</v>
      </c>
      <c r="U35" s="40">
        <f t="shared" si="21"/>
        <v>0</v>
      </c>
      <c r="V35" s="40">
        <f t="shared" si="21"/>
        <v>0</v>
      </c>
      <c r="W35" s="40">
        <f t="shared" si="21"/>
        <v>0</v>
      </c>
      <c r="X35" s="40">
        <f t="shared" si="21"/>
        <v>0</v>
      </c>
      <c r="Y35" s="40">
        <f t="shared" si="21"/>
        <v>0</v>
      </c>
      <c r="Z35" s="40">
        <f t="shared" si="21"/>
        <v>0</v>
      </c>
      <c r="AA35" s="40">
        <f t="shared" si="21"/>
        <v>0</v>
      </c>
      <c r="AB35" s="40">
        <f t="shared" si="21"/>
        <v>0</v>
      </c>
      <c r="AC35" s="40">
        <f t="shared" si="21"/>
        <v>0</v>
      </c>
      <c r="AD35" s="40">
        <f t="shared" si="21"/>
        <v>0</v>
      </c>
      <c r="AE35" s="40">
        <f t="shared" si="21"/>
        <v>0</v>
      </c>
      <c r="AF35" s="40">
        <f t="shared" si="21"/>
        <v>0</v>
      </c>
      <c r="AG35" s="40">
        <f t="shared" si="21"/>
        <v>0</v>
      </c>
      <c r="AH35" s="40">
        <f t="shared" si="21"/>
        <v>0</v>
      </c>
      <c r="AI35" s="40">
        <f t="shared" si="21"/>
        <v>0</v>
      </c>
      <c r="AJ35" s="40">
        <f t="shared" si="21"/>
        <v>0</v>
      </c>
      <c r="AK35" s="40">
        <f t="shared" si="21"/>
        <v>0</v>
      </c>
      <c r="AL35" s="40">
        <f t="shared" si="21"/>
        <v>0</v>
      </c>
      <c r="AM35" s="40">
        <f t="shared" si="21"/>
        <v>0</v>
      </c>
      <c r="AN35" s="40">
        <f t="shared" si="21"/>
        <v>0</v>
      </c>
      <c r="AO35" s="40">
        <f t="shared" si="21"/>
        <v>0</v>
      </c>
      <c r="AP35" s="40">
        <f t="shared" si="21"/>
        <v>0</v>
      </c>
      <c r="AQ35" s="40">
        <f t="shared" si="21"/>
        <v>0</v>
      </c>
      <c r="AR35" s="40">
        <f t="shared" si="21"/>
        <v>0</v>
      </c>
      <c r="AS35" s="40">
        <f t="shared" si="21"/>
        <v>0</v>
      </c>
      <c r="AT35" s="1">
        <f t="shared" si="14"/>
        <v>-0.34913543474737052</v>
      </c>
      <c r="AU35" s="1">
        <f t="shared" si="15"/>
        <v>9.2112621692265639E-2</v>
      </c>
      <c r="AV35" s="1">
        <f t="shared" ref="AV35:AV58" si="22">IFERROR(HLOOKUP(LARGE($2:$2,1),$C$2:$XFD$210,ROW(AF34),FALSE)/HLOOKUP(SMALL($2:$2,1),$C$2:$XFD$210,ROW(AF34),FALSE)-1,"")</f>
        <v>0</v>
      </c>
    </row>
    <row r="36" spans="2:48" hidden="1" x14ac:dyDescent="0.3">
      <c r="B36" s="8" t="s">
        <v>7</v>
      </c>
      <c r="C36" s="40">
        <f t="shared" si="12"/>
        <v>0</v>
      </c>
      <c r="D36" s="40">
        <f t="shared" si="12"/>
        <v>0</v>
      </c>
      <c r="E36" s="40">
        <f t="shared" si="12"/>
        <v>5.0681638548277464E-3</v>
      </c>
      <c r="F36" s="40">
        <f t="shared" ref="F36:AS36" si="23">IFERROR(F23/F10,0)</f>
        <v>5.5545988946440004E-3</v>
      </c>
      <c r="G36" s="40">
        <f t="shared" si="23"/>
        <v>6.6830862450239755E-3</v>
      </c>
      <c r="H36" s="40">
        <f t="shared" si="23"/>
        <v>7.5094154647235723E-3</v>
      </c>
      <c r="I36" s="40">
        <f t="shared" si="23"/>
        <v>6.8953827833062656E-3</v>
      </c>
      <c r="J36" s="40">
        <f t="shared" si="23"/>
        <v>8.3813520562846106E-3</v>
      </c>
      <c r="K36" s="40">
        <f t="shared" si="23"/>
        <v>1.1693166611830197E-2</v>
      </c>
      <c r="L36" s="40">
        <f t="shared" si="23"/>
        <v>9.94743447237262E-3</v>
      </c>
      <c r="M36" s="40">
        <f t="shared" si="23"/>
        <v>8.5202838909493959E-3</v>
      </c>
      <c r="N36" s="40">
        <f t="shared" si="23"/>
        <v>1.0833432565950991E-2</v>
      </c>
      <c r="O36" s="40">
        <f t="shared" si="23"/>
        <v>1.1265349182150004E-2</v>
      </c>
      <c r="P36" s="40">
        <f t="shared" si="23"/>
        <v>0</v>
      </c>
      <c r="Q36" s="40">
        <f t="shared" si="23"/>
        <v>0</v>
      </c>
      <c r="R36" s="40">
        <f t="shared" si="23"/>
        <v>0</v>
      </c>
      <c r="S36" s="40">
        <f t="shared" si="23"/>
        <v>0</v>
      </c>
      <c r="T36" s="40">
        <f t="shared" si="23"/>
        <v>0</v>
      </c>
      <c r="U36" s="40">
        <f t="shared" si="23"/>
        <v>0</v>
      </c>
      <c r="V36" s="40">
        <f t="shared" si="23"/>
        <v>0</v>
      </c>
      <c r="W36" s="40">
        <f t="shared" si="23"/>
        <v>0</v>
      </c>
      <c r="X36" s="40">
        <f t="shared" si="23"/>
        <v>0</v>
      </c>
      <c r="Y36" s="40">
        <f t="shared" si="23"/>
        <v>0</v>
      </c>
      <c r="Z36" s="40">
        <f t="shared" si="23"/>
        <v>0</v>
      </c>
      <c r="AA36" s="40">
        <f t="shared" si="23"/>
        <v>0</v>
      </c>
      <c r="AB36" s="40">
        <f t="shared" si="23"/>
        <v>0</v>
      </c>
      <c r="AC36" s="40">
        <f t="shared" si="23"/>
        <v>0</v>
      </c>
      <c r="AD36" s="40">
        <f t="shared" si="23"/>
        <v>0</v>
      </c>
      <c r="AE36" s="40">
        <f t="shared" si="23"/>
        <v>0</v>
      </c>
      <c r="AF36" s="40">
        <f t="shared" si="23"/>
        <v>0</v>
      </c>
      <c r="AG36" s="40">
        <f t="shared" si="23"/>
        <v>0</v>
      </c>
      <c r="AH36" s="40">
        <f t="shared" si="23"/>
        <v>0</v>
      </c>
      <c r="AI36" s="40">
        <f t="shared" si="23"/>
        <v>0</v>
      </c>
      <c r="AJ36" s="40">
        <f t="shared" si="23"/>
        <v>0</v>
      </c>
      <c r="AK36" s="40">
        <f t="shared" si="23"/>
        <v>0</v>
      </c>
      <c r="AL36" s="40">
        <f t="shared" si="23"/>
        <v>0</v>
      </c>
      <c r="AM36" s="40">
        <f t="shared" si="23"/>
        <v>0</v>
      </c>
      <c r="AN36" s="40">
        <f t="shared" si="23"/>
        <v>0</v>
      </c>
      <c r="AO36" s="40">
        <f t="shared" si="23"/>
        <v>0</v>
      </c>
      <c r="AP36" s="40">
        <f t="shared" si="23"/>
        <v>0</v>
      </c>
      <c r="AQ36" s="40">
        <f t="shared" si="23"/>
        <v>0</v>
      </c>
      <c r="AR36" s="40">
        <f t="shared" si="23"/>
        <v>0</v>
      </c>
      <c r="AS36" s="40">
        <f t="shared" si="23"/>
        <v>0</v>
      </c>
      <c r="AT36" s="1">
        <f t="shared" si="14"/>
        <v>3.9868860914545889E-2</v>
      </c>
      <c r="AU36" s="1">
        <f t="shared" si="15"/>
        <v>0.13248790061776017</v>
      </c>
      <c r="AV36" s="1">
        <f t="shared" si="22"/>
        <v>0</v>
      </c>
    </row>
    <row r="37" spans="2:48" hidden="1" x14ac:dyDescent="0.3">
      <c r="B37" s="8" t="s">
        <v>18</v>
      </c>
      <c r="C37" s="40">
        <f t="shared" si="12"/>
        <v>0</v>
      </c>
      <c r="D37" s="40">
        <f t="shared" si="12"/>
        <v>0</v>
      </c>
      <c r="E37" s="40">
        <f t="shared" si="12"/>
        <v>0</v>
      </c>
      <c r="F37" s="40">
        <f t="shared" ref="F37:AS37" si="24">IFERROR(F24/F11,0)</f>
        <v>0</v>
      </c>
      <c r="G37" s="40">
        <f t="shared" si="24"/>
        <v>0</v>
      </c>
      <c r="H37" s="40">
        <f t="shared" si="24"/>
        <v>0</v>
      </c>
      <c r="I37" s="40">
        <f t="shared" si="24"/>
        <v>0</v>
      </c>
      <c r="J37" s="40">
        <f t="shared" si="24"/>
        <v>0</v>
      </c>
      <c r="K37" s="40">
        <f t="shared" si="24"/>
        <v>0</v>
      </c>
      <c r="L37" s="40">
        <f t="shared" si="24"/>
        <v>0</v>
      </c>
      <c r="M37" s="40">
        <f t="shared" si="24"/>
        <v>0</v>
      </c>
      <c r="N37" s="40">
        <f t="shared" si="24"/>
        <v>0</v>
      </c>
      <c r="O37" s="40">
        <f t="shared" si="24"/>
        <v>0</v>
      </c>
      <c r="P37" s="40">
        <f t="shared" si="24"/>
        <v>0</v>
      </c>
      <c r="Q37" s="40">
        <f t="shared" si="24"/>
        <v>0</v>
      </c>
      <c r="R37" s="40">
        <f t="shared" si="24"/>
        <v>0</v>
      </c>
      <c r="S37" s="40">
        <f t="shared" si="24"/>
        <v>0</v>
      </c>
      <c r="T37" s="40">
        <f t="shared" si="24"/>
        <v>0</v>
      </c>
      <c r="U37" s="40">
        <f t="shared" si="24"/>
        <v>0</v>
      </c>
      <c r="V37" s="40">
        <f t="shared" si="24"/>
        <v>0</v>
      </c>
      <c r="W37" s="40">
        <f t="shared" si="24"/>
        <v>0</v>
      </c>
      <c r="X37" s="40">
        <f t="shared" si="24"/>
        <v>0</v>
      </c>
      <c r="Y37" s="40">
        <f t="shared" si="24"/>
        <v>0</v>
      </c>
      <c r="Z37" s="40">
        <f t="shared" si="24"/>
        <v>0</v>
      </c>
      <c r="AA37" s="40">
        <f t="shared" si="24"/>
        <v>0</v>
      </c>
      <c r="AB37" s="40">
        <f t="shared" si="24"/>
        <v>0</v>
      </c>
      <c r="AC37" s="40">
        <f t="shared" si="24"/>
        <v>0</v>
      </c>
      <c r="AD37" s="40">
        <f t="shared" si="24"/>
        <v>0</v>
      </c>
      <c r="AE37" s="40">
        <f t="shared" si="24"/>
        <v>0</v>
      </c>
      <c r="AF37" s="40">
        <f t="shared" si="24"/>
        <v>0</v>
      </c>
      <c r="AG37" s="40">
        <f t="shared" si="24"/>
        <v>0</v>
      </c>
      <c r="AH37" s="40">
        <f t="shared" si="24"/>
        <v>0</v>
      </c>
      <c r="AI37" s="40">
        <f t="shared" si="24"/>
        <v>0</v>
      </c>
      <c r="AJ37" s="40">
        <f t="shared" si="24"/>
        <v>0</v>
      </c>
      <c r="AK37" s="40">
        <f t="shared" si="24"/>
        <v>0</v>
      </c>
      <c r="AL37" s="40">
        <f t="shared" si="24"/>
        <v>0</v>
      </c>
      <c r="AM37" s="40">
        <f t="shared" si="24"/>
        <v>0</v>
      </c>
      <c r="AN37" s="40">
        <f t="shared" si="24"/>
        <v>0</v>
      </c>
      <c r="AO37" s="40">
        <f t="shared" si="24"/>
        <v>0</v>
      </c>
      <c r="AP37" s="40">
        <f t="shared" si="24"/>
        <v>0</v>
      </c>
      <c r="AQ37" s="40">
        <f t="shared" si="24"/>
        <v>0</v>
      </c>
      <c r="AR37" s="40">
        <f t="shared" si="24"/>
        <v>0</v>
      </c>
      <c r="AS37" s="40">
        <f t="shared" si="24"/>
        <v>0</v>
      </c>
      <c r="AT37" s="1" t="e">
        <f t="shared" si="14"/>
        <v>#DIV/0!</v>
      </c>
      <c r="AU37" s="1" t="e">
        <f t="shared" si="15"/>
        <v>#DIV/0!</v>
      </c>
      <c r="AV37" s="1" t="str">
        <f t="shared" si="22"/>
        <v/>
      </c>
    </row>
    <row r="38" spans="2:48" hidden="1" x14ac:dyDescent="0.3">
      <c r="B38" s="8" t="s">
        <v>6</v>
      </c>
      <c r="C38" s="40">
        <f t="shared" si="12"/>
        <v>0</v>
      </c>
      <c r="D38" s="40">
        <f t="shared" si="12"/>
        <v>0</v>
      </c>
      <c r="E38" s="40">
        <f t="shared" si="12"/>
        <v>1.2719461752853668E-2</v>
      </c>
      <c r="F38" s="40">
        <f t="shared" ref="F38:AS38" si="25">IFERROR(F25/F12,0)</f>
        <v>4.3060246243010712E-3</v>
      </c>
      <c r="G38" s="40">
        <f t="shared" si="25"/>
        <v>4.2370962718218004E-3</v>
      </c>
      <c r="H38" s="40">
        <f t="shared" si="25"/>
        <v>0</v>
      </c>
      <c r="I38" s="40">
        <f t="shared" si="25"/>
        <v>0</v>
      </c>
      <c r="J38" s="40">
        <f t="shared" si="25"/>
        <v>0</v>
      </c>
      <c r="K38" s="40">
        <f t="shared" si="25"/>
        <v>1.1669097728693479E-2</v>
      </c>
      <c r="L38" s="40">
        <f t="shared" si="25"/>
        <v>3.531915003900449E-3</v>
      </c>
      <c r="M38" s="40">
        <f t="shared" si="25"/>
        <v>2.3207366694369155E-3</v>
      </c>
      <c r="N38" s="40">
        <f t="shared" si="25"/>
        <v>2.6114539996634168E-3</v>
      </c>
      <c r="O38" s="40">
        <f t="shared" si="25"/>
        <v>4.1708838505009138E-3</v>
      </c>
      <c r="P38" s="40">
        <f t="shared" si="25"/>
        <v>0</v>
      </c>
      <c r="Q38" s="40">
        <f t="shared" si="25"/>
        <v>0</v>
      </c>
      <c r="R38" s="40">
        <f t="shared" si="25"/>
        <v>0</v>
      </c>
      <c r="S38" s="40">
        <f t="shared" si="25"/>
        <v>0</v>
      </c>
      <c r="T38" s="40">
        <f t="shared" si="25"/>
        <v>0</v>
      </c>
      <c r="U38" s="40">
        <f t="shared" si="25"/>
        <v>0</v>
      </c>
      <c r="V38" s="40">
        <f t="shared" si="25"/>
        <v>0</v>
      </c>
      <c r="W38" s="40">
        <f t="shared" si="25"/>
        <v>0</v>
      </c>
      <c r="X38" s="40">
        <f t="shared" si="25"/>
        <v>0</v>
      </c>
      <c r="Y38" s="40">
        <f t="shared" si="25"/>
        <v>0</v>
      </c>
      <c r="Z38" s="40">
        <f t="shared" si="25"/>
        <v>0</v>
      </c>
      <c r="AA38" s="40">
        <f t="shared" si="25"/>
        <v>0</v>
      </c>
      <c r="AB38" s="40">
        <f t="shared" si="25"/>
        <v>0</v>
      </c>
      <c r="AC38" s="40">
        <f t="shared" si="25"/>
        <v>0</v>
      </c>
      <c r="AD38" s="40">
        <f t="shared" si="25"/>
        <v>0</v>
      </c>
      <c r="AE38" s="40">
        <f t="shared" si="25"/>
        <v>0</v>
      </c>
      <c r="AF38" s="40">
        <f t="shared" si="25"/>
        <v>0</v>
      </c>
      <c r="AG38" s="40">
        <f t="shared" si="25"/>
        <v>0</v>
      </c>
      <c r="AH38" s="40">
        <f t="shared" si="25"/>
        <v>0</v>
      </c>
      <c r="AI38" s="40">
        <f t="shared" si="25"/>
        <v>0</v>
      </c>
      <c r="AJ38" s="40">
        <f t="shared" si="25"/>
        <v>0</v>
      </c>
      <c r="AK38" s="40">
        <f t="shared" si="25"/>
        <v>0</v>
      </c>
      <c r="AL38" s="40">
        <f t="shared" si="25"/>
        <v>0</v>
      </c>
      <c r="AM38" s="40">
        <f t="shared" si="25"/>
        <v>0</v>
      </c>
      <c r="AN38" s="40">
        <f t="shared" si="25"/>
        <v>0</v>
      </c>
      <c r="AO38" s="40">
        <f t="shared" si="25"/>
        <v>0</v>
      </c>
      <c r="AP38" s="40">
        <f t="shared" si="25"/>
        <v>0</v>
      </c>
      <c r="AQ38" s="40">
        <f t="shared" si="25"/>
        <v>0</v>
      </c>
      <c r="AR38" s="40">
        <f t="shared" si="25"/>
        <v>0</v>
      </c>
      <c r="AS38" s="40">
        <f t="shared" si="25"/>
        <v>0</v>
      </c>
      <c r="AT38" s="1">
        <f t="shared" si="14"/>
        <v>0.5971500363546467</v>
      </c>
      <c r="AU38" s="1">
        <f t="shared" si="15"/>
        <v>0.18091286055718303</v>
      </c>
      <c r="AV38" s="1">
        <f t="shared" si="22"/>
        <v>0</v>
      </c>
    </row>
    <row r="39" spans="2:48" hidden="1" x14ac:dyDescent="0.3">
      <c r="B39" s="8" t="s">
        <v>5</v>
      </c>
      <c r="C39" s="40">
        <f t="shared" si="12"/>
        <v>0</v>
      </c>
      <c r="D39" s="40">
        <f t="shared" si="12"/>
        <v>0</v>
      </c>
      <c r="E39" s="40">
        <f t="shared" si="12"/>
        <v>1.1710782495827925E-2</v>
      </c>
      <c r="F39" s="40">
        <f t="shared" ref="F39:AS39" si="26">IFERROR(F26/F13,0)</f>
        <v>1.120178100385937E-2</v>
      </c>
      <c r="G39" s="40">
        <f t="shared" si="26"/>
        <v>1.1314835279112133E-2</v>
      </c>
      <c r="H39" s="40">
        <f t="shared" si="26"/>
        <v>0</v>
      </c>
      <c r="I39" s="40">
        <f t="shared" si="26"/>
        <v>0</v>
      </c>
      <c r="J39" s="40">
        <f t="shared" si="26"/>
        <v>0</v>
      </c>
      <c r="K39" s="40">
        <f t="shared" si="26"/>
        <v>2.1164021164021163E-2</v>
      </c>
      <c r="L39" s="40">
        <f t="shared" si="26"/>
        <v>6.847350102574928E-3</v>
      </c>
      <c r="M39" s="40">
        <f t="shared" si="26"/>
        <v>5.9505925798444097E-3</v>
      </c>
      <c r="N39" s="40">
        <f t="shared" si="26"/>
        <v>7.2584853952674163E-3</v>
      </c>
      <c r="O39" s="40">
        <f t="shared" si="26"/>
        <v>8.8471216632663111E-3</v>
      </c>
      <c r="P39" s="40">
        <f t="shared" si="26"/>
        <v>0</v>
      </c>
      <c r="Q39" s="40">
        <f t="shared" si="26"/>
        <v>0</v>
      </c>
      <c r="R39" s="40">
        <f t="shared" si="26"/>
        <v>0</v>
      </c>
      <c r="S39" s="40">
        <f t="shared" si="26"/>
        <v>0</v>
      </c>
      <c r="T39" s="40">
        <f t="shared" si="26"/>
        <v>0</v>
      </c>
      <c r="U39" s="40">
        <f t="shared" si="26"/>
        <v>0</v>
      </c>
      <c r="V39" s="40">
        <f t="shared" si="26"/>
        <v>0</v>
      </c>
      <c r="W39" s="40">
        <f t="shared" si="26"/>
        <v>0</v>
      </c>
      <c r="X39" s="40">
        <f t="shared" si="26"/>
        <v>0</v>
      </c>
      <c r="Y39" s="40">
        <f t="shared" si="26"/>
        <v>0</v>
      </c>
      <c r="Z39" s="40">
        <f t="shared" si="26"/>
        <v>0</v>
      </c>
      <c r="AA39" s="40">
        <f t="shared" si="26"/>
        <v>0</v>
      </c>
      <c r="AB39" s="40">
        <f t="shared" si="26"/>
        <v>0</v>
      </c>
      <c r="AC39" s="40">
        <f t="shared" si="26"/>
        <v>0</v>
      </c>
      <c r="AD39" s="40">
        <f t="shared" si="26"/>
        <v>0</v>
      </c>
      <c r="AE39" s="40">
        <f t="shared" si="26"/>
        <v>0</v>
      </c>
      <c r="AF39" s="40">
        <f t="shared" si="26"/>
        <v>0</v>
      </c>
      <c r="AG39" s="40">
        <f t="shared" si="26"/>
        <v>0</v>
      </c>
      <c r="AH39" s="40">
        <f t="shared" si="26"/>
        <v>0</v>
      </c>
      <c r="AI39" s="40">
        <f t="shared" si="26"/>
        <v>0</v>
      </c>
      <c r="AJ39" s="40">
        <f t="shared" si="26"/>
        <v>0</v>
      </c>
      <c r="AK39" s="40">
        <f t="shared" si="26"/>
        <v>0</v>
      </c>
      <c r="AL39" s="40">
        <f t="shared" si="26"/>
        <v>0</v>
      </c>
      <c r="AM39" s="40">
        <f t="shared" si="26"/>
        <v>0</v>
      </c>
      <c r="AN39" s="40">
        <f t="shared" si="26"/>
        <v>0</v>
      </c>
      <c r="AO39" s="40">
        <f t="shared" si="26"/>
        <v>0</v>
      </c>
      <c r="AP39" s="40">
        <f t="shared" si="26"/>
        <v>0</v>
      </c>
      <c r="AQ39" s="40">
        <f t="shared" si="26"/>
        <v>0</v>
      </c>
      <c r="AR39" s="40">
        <f t="shared" si="26"/>
        <v>0</v>
      </c>
      <c r="AS39" s="40">
        <f t="shared" si="26"/>
        <v>0</v>
      </c>
      <c r="AT39" s="1">
        <f t="shared" si="14"/>
        <v>0.21886608314107736</v>
      </c>
      <c r="AU39" s="1">
        <f t="shared" si="15"/>
        <v>0.29205043275637022</v>
      </c>
      <c r="AV39" s="1">
        <f t="shared" si="22"/>
        <v>0</v>
      </c>
    </row>
    <row r="40" spans="2:48" hidden="1" x14ac:dyDescent="0.3">
      <c r="B40" s="7" t="s">
        <v>4</v>
      </c>
      <c r="C40" s="41" t="s">
        <v>16</v>
      </c>
      <c r="D40" s="41" t="s">
        <v>16</v>
      </c>
      <c r="E40" s="41" t="s">
        <v>16</v>
      </c>
      <c r="F40" s="41" t="s">
        <v>16</v>
      </c>
      <c r="G40" s="41" t="s">
        <v>16</v>
      </c>
      <c r="H40" s="68" t="s">
        <v>16</v>
      </c>
      <c r="I40" s="68" t="s">
        <v>16</v>
      </c>
      <c r="J40" s="68" t="s">
        <v>16</v>
      </c>
      <c r="K40" s="68" t="s">
        <v>16</v>
      </c>
      <c r="L40" s="68" t="s">
        <v>16</v>
      </c>
      <c r="M40" s="68" t="s">
        <v>16</v>
      </c>
      <c r="N40" s="68" t="s">
        <v>16</v>
      </c>
      <c r="O40" s="68"/>
      <c r="AT40" s="1"/>
      <c r="AU40" s="1"/>
      <c r="AV40" s="1" t="str">
        <f t="shared" si="22"/>
        <v/>
      </c>
    </row>
    <row r="41" spans="2:48" x14ac:dyDescent="0.3">
      <c r="B41" s="9"/>
      <c r="C41" s="9"/>
      <c r="D41" s="9"/>
      <c r="E41" s="9"/>
      <c r="AT41" s="1"/>
      <c r="AU41" s="1"/>
      <c r="AV41" s="1" t="str">
        <f t="shared" si="22"/>
        <v/>
      </c>
    </row>
    <row r="42" spans="2:48" x14ac:dyDescent="0.3">
      <c r="B42" s="6" t="s">
        <v>90</v>
      </c>
      <c r="C42" s="51">
        <f t="shared" ref="C42" si="27">IFERROR(SUM(C43:C53)-SUM(C48:C52),0)</f>
        <v>8987.3599999999988</v>
      </c>
      <c r="D42" s="51">
        <f t="shared" ref="D42:E42" si="28">IFERROR(SUM(D43:D53)-SUM(D48:D52),0)</f>
        <v>8912.99</v>
      </c>
      <c r="E42" s="51">
        <f t="shared" si="28"/>
        <v>23963.45</v>
      </c>
      <c r="F42" s="51">
        <f t="shared" ref="F42:N42" si="29">IFERROR(SUM(F43:F53)-SUM(F48:F52),0)</f>
        <v>46465.69</v>
      </c>
      <c r="G42" s="51">
        <f t="shared" si="29"/>
        <v>34161.249999999993</v>
      </c>
      <c r="H42" s="51">
        <f t="shared" si="29"/>
        <v>24221.479999999996</v>
      </c>
      <c r="I42" s="51">
        <f t="shared" si="29"/>
        <v>35297.43</v>
      </c>
      <c r="J42" s="51">
        <f t="shared" si="29"/>
        <v>32500.13</v>
      </c>
      <c r="K42" s="51">
        <f t="shared" si="29"/>
        <v>29613.720000000008</v>
      </c>
      <c r="L42" s="51">
        <f t="shared" si="29"/>
        <v>42914.67</v>
      </c>
      <c r="M42" s="51">
        <f t="shared" si="29"/>
        <v>52046.549999999988</v>
      </c>
      <c r="N42" s="51">
        <f t="shared" si="29"/>
        <v>44187.99</v>
      </c>
      <c r="O42" s="51">
        <f>IFERROR(SUM(O43:O53)-SUM(O48:O52),0)</f>
        <v>49834.01</v>
      </c>
      <c r="AT42" s="1">
        <f t="shared" ref="AT42:AT50" si="30">O42/N42-1</f>
        <v>0.12777272738588019</v>
      </c>
      <c r="AU42" s="1">
        <f t="shared" ref="AU42:AU50" si="31">O42/L42-1</f>
        <v>0.16123484113940534</v>
      </c>
      <c r="AV42" s="1">
        <f t="shared" si="22"/>
        <v>0</v>
      </c>
    </row>
    <row r="43" spans="2:48" x14ac:dyDescent="0.3">
      <c r="B43" s="7" t="s">
        <v>1</v>
      </c>
      <c r="C43" s="52">
        <v>7933.32</v>
      </c>
      <c r="D43" s="52">
        <v>8188.3</v>
      </c>
      <c r="E43" s="52">
        <v>19010.55</v>
      </c>
      <c r="F43" s="52">
        <v>27291.21</v>
      </c>
      <c r="G43" s="52">
        <v>24786.87</v>
      </c>
      <c r="H43" s="52">
        <v>22318.98</v>
      </c>
      <c r="I43" s="52">
        <v>31377.16</v>
      </c>
      <c r="J43" s="52">
        <v>28759.22</v>
      </c>
      <c r="K43" s="52">
        <v>27839.49</v>
      </c>
      <c r="L43" s="52">
        <v>34282.17</v>
      </c>
      <c r="M43" s="52">
        <v>40336.46</v>
      </c>
      <c r="N43" s="52">
        <v>38279.25</v>
      </c>
      <c r="O43" s="52">
        <v>45533</v>
      </c>
      <c r="AT43" s="1">
        <f t="shared" si="30"/>
        <v>0.18949561446475571</v>
      </c>
      <c r="AU43" s="1">
        <f t="shared" si="31"/>
        <v>0.32818313426483803</v>
      </c>
      <c r="AV43" s="1">
        <f t="shared" si="22"/>
        <v>0</v>
      </c>
    </row>
    <row r="44" spans="2:48" x14ac:dyDescent="0.3">
      <c r="B44" s="7" t="s">
        <v>2</v>
      </c>
      <c r="C44" s="52">
        <v>775.13</v>
      </c>
      <c r="D44" s="52">
        <v>142.41999999999999</v>
      </c>
      <c r="E44" s="52">
        <v>27.1</v>
      </c>
      <c r="F44" s="52">
        <v>1407.01</v>
      </c>
      <c r="G44" s="52">
        <v>422.8</v>
      </c>
      <c r="H44" s="52">
        <v>0</v>
      </c>
      <c r="I44" s="52">
        <v>1011.9</v>
      </c>
      <c r="J44" s="52">
        <v>0</v>
      </c>
      <c r="K44" s="52">
        <v>0</v>
      </c>
      <c r="L44" s="52">
        <v>126.79</v>
      </c>
      <c r="M44" s="52">
        <v>0</v>
      </c>
      <c r="N44" s="52">
        <v>0</v>
      </c>
      <c r="O44" s="52">
        <v>0</v>
      </c>
      <c r="AT44" s="1" t="e">
        <f t="shared" si="30"/>
        <v>#DIV/0!</v>
      </c>
      <c r="AU44" s="1">
        <f t="shared" si="31"/>
        <v>-1</v>
      </c>
      <c r="AV44" s="1">
        <f t="shared" si="22"/>
        <v>0</v>
      </c>
    </row>
    <row r="45" spans="2:48" x14ac:dyDescent="0.3">
      <c r="B45" s="7" t="s">
        <v>3</v>
      </c>
      <c r="C45" s="52">
        <f>IFERROR(GETPIVOTDATA("[Measures].[Sum of Cost]",'[1]Raw Data'!$H$3,"[Datekey].[YearMonth]","[Datekey].[YearMonth].&amp;["&amp;TEXT(C$2,"yyyy-aa-ggTss:dd:nn")&amp;"]","[Channels].[Channel]","[Channels].[Channel].&amp;["&amp;$B45&amp;"]"),0)</f>
        <v>0</v>
      </c>
      <c r="D45" s="52">
        <v>127.16</v>
      </c>
      <c r="E45" s="52">
        <v>427.33</v>
      </c>
      <c r="F45" s="52">
        <v>2073.38</v>
      </c>
      <c r="G45" s="52">
        <v>537.78</v>
      </c>
      <c r="H45" s="52">
        <v>123.6</v>
      </c>
      <c r="I45" s="52">
        <v>984.59</v>
      </c>
      <c r="J45" s="52">
        <v>1593.95</v>
      </c>
      <c r="K45" s="52">
        <v>108.81</v>
      </c>
      <c r="L45" s="52">
        <v>1654.21</v>
      </c>
      <c r="M45" s="52">
        <v>3200.82</v>
      </c>
      <c r="N45" s="52">
        <v>1825.85</v>
      </c>
      <c r="O45" s="52">
        <v>1824</v>
      </c>
      <c r="AT45" s="1">
        <f t="shared" si="30"/>
        <v>-1.0132267163238673E-3</v>
      </c>
      <c r="AU45" s="1">
        <f t="shared" si="31"/>
        <v>0.10264113987945911</v>
      </c>
      <c r="AV45" s="1">
        <f t="shared" si="22"/>
        <v>0</v>
      </c>
    </row>
    <row r="46" spans="2:48" x14ac:dyDescent="0.3">
      <c r="B46" s="7" t="s">
        <v>0</v>
      </c>
      <c r="C46" s="52">
        <v>278.91000000000003</v>
      </c>
      <c r="D46" s="52">
        <v>455.11</v>
      </c>
      <c r="E46" s="52">
        <v>585.97</v>
      </c>
      <c r="F46" s="52">
        <v>2935.03</v>
      </c>
      <c r="G46" s="52">
        <v>1440.71</v>
      </c>
      <c r="H46" s="52">
        <v>217.11</v>
      </c>
      <c r="I46" s="52">
        <v>1440.79</v>
      </c>
      <c r="J46" s="52">
        <v>668.16</v>
      </c>
      <c r="K46" s="52">
        <v>187.33</v>
      </c>
      <c r="L46" s="52">
        <v>1299.73</v>
      </c>
      <c r="M46" s="52">
        <v>1202.6099999999999</v>
      </c>
      <c r="N46" s="52">
        <v>272.5</v>
      </c>
      <c r="O46" s="52">
        <v>295</v>
      </c>
      <c r="AT46" s="1">
        <f t="shared" si="30"/>
        <v>8.256880733944949E-2</v>
      </c>
      <c r="AU46" s="1">
        <f t="shared" si="31"/>
        <v>-0.77302978310879955</v>
      </c>
      <c r="AV46" s="1">
        <f t="shared" si="22"/>
        <v>0</v>
      </c>
    </row>
    <row r="47" spans="2:48" x14ac:dyDescent="0.3">
      <c r="B47" s="7" t="s">
        <v>17</v>
      </c>
      <c r="C47" s="52">
        <f t="shared" ref="C47" si="32">IFERROR(SUM(C48:C52),0)</f>
        <v>0</v>
      </c>
      <c r="D47" s="52">
        <f t="shared" ref="D47:E47" si="33">IFERROR(SUM(D48:D52),0)</f>
        <v>0</v>
      </c>
      <c r="E47" s="52">
        <f t="shared" si="33"/>
        <v>3625.5</v>
      </c>
      <c r="F47" s="52">
        <f t="shared" ref="F47:N47" si="34">IFERROR(SUM(F48:F52),0)</f>
        <v>12444.060000000001</v>
      </c>
      <c r="G47" s="52">
        <f t="shared" si="34"/>
        <v>6940.1399999999994</v>
      </c>
      <c r="H47" s="52">
        <f t="shared" si="34"/>
        <v>1519.1</v>
      </c>
      <c r="I47" s="52">
        <f t="shared" si="34"/>
        <v>428.53999999999996</v>
      </c>
      <c r="J47" s="52">
        <f t="shared" si="34"/>
        <v>1398.62</v>
      </c>
      <c r="K47" s="52">
        <f t="shared" si="34"/>
        <v>1441.43</v>
      </c>
      <c r="L47" s="52">
        <f t="shared" si="34"/>
        <v>5486.5199999999995</v>
      </c>
      <c r="M47" s="52">
        <f t="shared" si="34"/>
        <v>7258.48</v>
      </c>
      <c r="N47" s="52">
        <f t="shared" si="34"/>
        <v>3746.9300000000003</v>
      </c>
      <c r="O47" s="52">
        <f>IFERROR(SUM(O48:O52),0)</f>
        <v>2099.4499999999998</v>
      </c>
      <c r="AT47" s="1">
        <f t="shared" si="30"/>
        <v>-0.43968795787484694</v>
      </c>
      <c r="AU47" s="1">
        <f t="shared" si="31"/>
        <v>-0.61734396302209782</v>
      </c>
      <c r="AV47" s="1">
        <f t="shared" si="22"/>
        <v>0</v>
      </c>
    </row>
    <row r="48" spans="2:48" x14ac:dyDescent="0.3">
      <c r="B48" s="8" t="s">
        <v>8</v>
      </c>
      <c r="C48" s="52">
        <f>IFERROR(GETPIVOTDATA("[Measures].[Sum of Cost]",'[1]Raw Data'!$H$3,"[Datekey].[YearMonth]","[Datekey].[YearMonth].&amp;["&amp;TEXT(C$2,"yyyy-aa-ggTss:dd:nn")&amp;"]","[Channels].[Channel]","[Channels].[Channel].&amp;["&amp;$B48&amp;"]"),0)</f>
        <v>0</v>
      </c>
      <c r="D48" s="52">
        <f>IFERROR(GETPIVOTDATA("[Measures].[Sum of Cost]",'[1]Raw Data'!$H$3,"[Datekey].[YearMonth]","[Datekey].[YearMonth].&amp;["&amp;TEXT(D$2,"yyyy-aa-ggTss:dd:nn")&amp;"]","[Channels].[Channel]","[Channels].[Channel].&amp;["&amp;$B48&amp;"]"),0)</f>
        <v>0</v>
      </c>
      <c r="E48" s="52">
        <v>506.18</v>
      </c>
      <c r="F48" s="52">
        <v>1029.95</v>
      </c>
      <c r="G48" s="52">
        <v>434.53</v>
      </c>
      <c r="H48" s="52">
        <v>255.76</v>
      </c>
      <c r="I48" s="52">
        <v>79.400000000000006</v>
      </c>
      <c r="J48" s="52">
        <v>130.59</v>
      </c>
      <c r="K48" s="52">
        <v>203.81</v>
      </c>
      <c r="L48" s="52">
        <v>159.74</v>
      </c>
      <c r="M48" s="52">
        <v>321.42</v>
      </c>
      <c r="N48" s="52">
        <v>408.47</v>
      </c>
      <c r="O48" s="52">
        <v>336</v>
      </c>
      <c r="AT48" s="1">
        <f t="shared" si="30"/>
        <v>-0.1774181702450609</v>
      </c>
      <c r="AU48" s="1">
        <f t="shared" si="31"/>
        <v>1.1034180543382996</v>
      </c>
      <c r="AV48" s="1">
        <f t="shared" si="22"/>
        <v>0</v>
      </c>
    </row>
    <row r="49" spans="2:48" x14ac:dyDescent="0.3">
      <c r="B49" s="8" t="s">
        <v>7</v>
      </c>
      <c r="C49" s="52">
        <f>IFERROR(GETPIVOTDATA("[Measures].[Sum of Cost]",'[1]Raw Data'!$H$3,"[Datekey].[YearMonth]","[Datekey].[YearMonth].&amp;["&amp;TEXT(C$2,"yyyy-aa-ggTss:dd:nn")&amp;"]","[Channels].[Channel]","[Channels].[Channel].&amp;["&amp;$B49&amp;"]"),0)</f>
        <v>0</v>
      </c>
      <c r="D49" s="52">
        <f>IFERROR(GETPIVOTDATA("[Measures].[Sum of Cost]",'[1]Raw Data'!$H$3,"[Datekey].[YearMonth]","[Datekey].[YearMonth].&amp;["&amp;TEXT(D$2,"yyyy-aa-ggTss:dd:nn")&amp;"]","[Channels].[Channel]","[Channels].[Channel].&amp;["&amp;$B49&amp;"]"),0)</f>
        <v>0</v>
      </c>
      <c r="E49" s="52">
        <v>1543.61</v>
      </c>
      <c r="F49" s="52">
        <v>4254.03</v>
      </c>
      <c r="G49" s="52">
        <v>2533.42</v>
      </c>
      <c r="H49" s="52">
        <v>1263.3399999999999</v>
      </c>
      <c r="I49" s="52">
        <v>349.14</v>
      </c>
      <c r="J49" s="52">
        <v>1268.03</v>
      </c>
      <c r="K49" s="52">
        <v>1226.2</v>
      </c>
      <c r="L49" s="52">
        <v>1030</v>
      </c>
      <c r="M49" s="52">
        <v>835.64</v>
      </c>
      <c r="N49" s="52">
        <v>696</v>
      </c>
      <c r="O49" s="52">
        <v>455</v>
      </c>
      <c r="AT49" s="1">
        <f t="shared" si="30"/>
        <v>-0.34626436781609193</v>
      </c>
      <c r="AU49" s="1">
        <f t="shared" si="31"/>
        <v>-0.55825242718446599</v>
      </c>
      <c r="AV49" s="1">
        <f t="shared" si="22"/>
        <v>0</v>
      </c>
    </row>
    <row r="50" spans="2:48" x14ac:dyDescent="0.3">
      <c r="B50" s="8" t="s">
        <v>18</v>
      </c>
      <c r="C50" s="52">
        <f>IFERROR(GETPIVOTDATA("[Measures].[Sum of Cost]",'[1]Raw Data'!$H$3,"[Datekey].[YearMonth]","[Datekey].[YearMonth].&amp;["&amp;TEXT(C$2,"yyyy-aa-ggTss:dd:nn")&amp;"]","[Channels].[Channel]","[Channels].[Channel].&amp;["&amp;$B50&amp;"]"),0)</f>
        <v>0</v>
      </c>
      <c r="D50" s="52">
        <f>IFERROR(GETPIVOTDATA("[Measures].[Sum of Cost]",'[1]Raw Data'!$H$3,"[Datekey].[YearMonth]","[Datekey].[YearMonth].&amp;["&amp;TEXT(D$2,"yyyy-aa-ggTss:dd:nn")&amp;"]","[Channels].[Channel]","[Channels].[Channel].&amp;["&amp;$B50&amp;"]"),0)</f>
        <v>0</v>
      </c>
      <c r="E50" s="52">
        <f>IFERROR(GETPIVOTDATA("[Measures].[Sum of Cost]",'[1]Raw Data'!$H$3,"[Datekey].[YearMonth]","[Datekey].[YearMonth].&amp;["&amp;TEXT(E$2,"yyyy-aa-ggTss:dd:nn")&amp;"]","[Channels].[Channel]","[Channels].[Channel].&amp;["&amp;$B50&amp;"]"),0)</f>
        <v>0</v>
      </c>
      <c r="F50" s="52">
        <f>IFERROR(GETPIVOTDATA("[Measures].[Sum of Cost]",'[1]Raw Data'!$H$3,"[Datekey].[YearMonth]","[Datekey].[YearMonth].&amp;["&amp;TEXT(F$2,"yyyy-aa-ggTss:dd:nn")&amp;"]","[Channels].[Channel]","[Channels].[Channel].&amp;["&amp;$B50&amp;"]"),0)</f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AT50" s="1" t="e">
        <f t="shared" si="30"/>
        <v>#DIV/0!</v>
      </c>
      <c r="AU50" s="1" t="e">
        <f t="shared" si="31"/>
        <v>#DIV/0!</v>
      </c>
      <c r="AV50" s="1" t="str">
        <f t="shared" si="22"/>
        <v/>
      </c>
    </row>
    <row r="51" spans="2:48" x14ac:dyDescent="0.3">
      <c r="B51" s="8" t="s">
        <v>6</v>
      </c>
      <c r="C51" s="52">
        <f>IFERROR(GETPIVOTDATA("[Measures].[Sum of Cost]",'[1]Raw Data'!$H$3,"[Datekey].[YearMonth]","[Datekey].[YearMonth].&amp;["&amp;TEXT(C$2,"yyyy-aa-ggTss:dd:nn")&amp;"]","[Channels].[Channel]","[Channels].[Channel].&amp;["&amp;$B51&amp;"]"),0)</f>
        <v>0</v>
      </c>
      <c r="D51" s="52">
        <f>IFERROR(GETPIVOTDATA("[Measures].[Sum of Cost]",'[1]Raw Data'!$H$3,"[Datekey].[YearMonth]","[Datekey].[YearMonth].&amp;["&amp;TEXT(D$2,"yyyy-aa-ggTss:dd:nn")&amp;"]","[Channels].[Channel]","[Channels].[Channel].&amp;["&amp;$B51&amp;"]"),0)</f>
        <v>0</v>
      </c>
      <c r="E51" s="52">
        <v>144.44999999999999</v>
      </c>
      <c r="F51" s="52">
        <v>2815.61</v>
      </c>
      <c r="G51" s="52">
        <v>1585.5</v>
      </c>
      <c r="H51" s="52">
        <v>0</v>
      </c>
      <c r="I51" s="52">
        <v>0</v>
      </c>
      <c r="J51" s="52">
        <v>0</v>
      </c>
      <c r="K51" s="52">
        <v>5.72</v>
      </c>
      <c r="L51" s="52">
        <v>2147.9499999999998</v>
      </c>
      <c r="M51" s="52">
        <v>3040.6</v>
      </c>
      <c r="N51" s="52">
        <v>1321.46</v>
      </c>
      <c r="O51" s="52">
        <v>654.19000000000005</v>
      </c>
      <c r="AT51" s="1">
        <f>O51/N51-1</f>
        <v>-0.50494907148154311</v>
      </c>
      <c r="AU51" s="1">
        <f>O51/L51-1</f>
        <v>-0.69543518238320257</v>
      </c>
      <c r="AV51" s="1">
        <f t="shared" si="22"/>
        <v>0</v>
      </c>
    </row>
    <row r="52" spans="2:48" x14ac:dyDescent="0.3">
      <c r="B52" s="8" t="s">
        <v>5</v>
      </c>
      <c r="C52" s="52">
        <f>IFERROR(GETPIVOTDATA("[Measures].[Sum of Cost]",'[1]Raw Data'!$H$3,"[Datekey].[YearMonth]","[Datekey].[YearMonth].&amp;["&amp;TEXT(C$2,"yyyy-aa-ggTss:dd:nn")&amp;"]","[Channels].[Channel]","[Channels].[Channel].&amp;["&amp;$B52&amp;"]"),0)</f>
        <v>0</v>
      </c>
      <c r="D52" s="52">
        <f>IFERROR(GETPIVOTDATA("[Measures].[Sum of Cost]",'[1]Raw Data'!$H$3,"[Datekey].[YearMonth]","[Datekey].[YearMonth].&amp;["&amp;TEXT(D$2,"yyyy-aa-ggTss:dd:nn")&amp;"]","[Channels].[Channel]","[Channels].[Channel].&amp;["&amp;$B52&amp;"]"),0)</f>
        <v>0</v>
      </c>
      <c r="E52" s="52">
        <v>1431.26</v>
      </c>
      <c r="F52" s="52">
        <v>4344.47</v>
      </c>
      <c r="G52" s="52">
        <v>2386.69</v>
      </c>
      <c r="H52" s="52">
        <v>0</v>
      </c>
      <c r="I52" s="52">
        <v>0</v>
      </c>
      <c r="J52" s="52">
        <v>0</v>
      </c>
      <c r="K52" s="52">
        <v>5.7</v>
      </c>
      <c r="L52" s="52">
        <v>2148.83</v>
      </c>
      <c r="M52" s="52">
        <v>3060.82</v>
      </c>
      <c r="N52" s="52">
        <v>1321</v>
      </c>
      <c r="O52" s="74">
        <v>654.26</v>
      </c>
      <c r="AT52" s="1">
        <f>O52/N52-1</f>
        <v>-0.50472369417108254</v>
      </c>
      <c r="AU52" s="1">
        <f>O52/L52-1</f>
        <v>-0.69552733347914919</v>
      </c>
      <c r="AV52" s="1">
        <f t="shared" si="22"/>
        <v>0</v>
      </c>
    </row>
    <row r="53" spans="2:48" x14ac:dyDescent="0.3">
      <c r="B53" s="7" t="s">
        <v>4</v>
      </c>
      <c r="C53" s="52">
        <f t="shared" ref="C53:E53" si="35">IFERROR(7*C129,0)</f>
        <v>0</v>
      </c>
      <c r="D53" s="52">
        <f t="shared" si="35"/>
        <v>0</v>
      </c>
      <c r="E53" s="52">
        <f t="shared" si="35"/>
        <v>287</v>
      </c>
      <c r="F53" s="52">
        <f t="shared" ref="F53" si="36">IFERROR(7*F129,0)</f>
        <v>315</v>
      </c>
      <c r="G53" s="63">
        <v>32.950000000000003</v>
      </c>
      <c r="H53" s="63">
        <v>42.69</v>
      </c>
      <c r="I53" s="63">
        <v>54.45</v>
      </c>
      <c r="J53" s="63">
        <v>80.180000000000007</v>
      </c>
      <c r="K53" s="63">
        <v>36.659999999999997</v>
      </c>
      <c r="L53" s="63">
        <v>65.25</v>
      </c>
      <c r="M53" s="63">
        <v>48.18</v>
      </c>
      <c r="N53" s="74">
        <v>63.46</v>
      </c>
      <c r="O53" s="74">
        <v>82.56</v>
      </c>
      <c r="AT53" s="1">
        <f>O53/N53-1</f>
        <v>0.30097699338165773</v>
      </c>
      <c r="AU53" s="1">
        <f>O53/L53-1</f>
        <v>0.2652873563218392</v>
      </c>
      <c r="AV53" s="1">
        <f t="shared" si="22"/>
        <v>0</v>
      </c>
    </row>
    <row r="54" spans="2:48" x14ac:dyDescent="0.3">
      <c r="B54" s="9"/>
      <c r="C54" s="52"/>
      <c r="D54" s="52"/>
      <c r="E54" s="52"/>
      <c r="AT54" s="1"/>
      <c r="AU54" s="1"/>
      <c r="AV54" s="1" t="str">
        <f t="shared" si="22"/>
        <v/>
      </c>
    </row>
    <row r="55" spans="2:48" x14ac:dyDescent="0.3">
      <c r="B55" s="6" t="s">
        <v>91</v>
      </c>
      <c r="C55" s="51">
        <f t="shared" ref="C55:E65" si="37">IFERROR(C42/C16,0)</f>
        <v>0.218314669516846</v>
      </c>
      <c r="D55" s="51">
        <f t="shared" si="37"/>
        <v>0.18941642758474125</v>
      </c>
      <c r="E55" s="51">
        <f t="shared" si="37"/>
        <v>0.15477365351452249</v>
      </c>
      <c r="F55" s="51">
        <f t="shared" ref="F55:L55" si="38">IFERROR(F42/F16,0)</f>
        <v>0.11813411130602802</v>
      </c>
      <c r="G55" s="51">
        <f t="shared" si="38"/>
        <v>0.11004671015543205</v>
      </c>
      <c r="H55" s="51">
        <f t="shared" si="38"/>
        <v>0.13954876994872384</v>
      </c>
      <c r="I55" s="51">
        <f t="shared" si="38"/>
        <v>0.23778119842365861</v>
      </c>
      <c r="J55" s="51">
        <f t="shared" si="38"/>
        <v>0.17319823924709696</v>
      </c>
      <c r="K55" s="51">
        <f t="shared" si="38"/>
        <v>0.14723890874919832</v>
      </c>
      <c r="L55" s="51">
        <f t="shared" si="38"/>
        <v>0.18602824582013011</v>
      </c>
      <c r="M55" s="51">
        <f t="shared" ref="M55:N55" si="39">IFERROR(M42/M16,0)</f>
        <v>0.20916004918902406</v>
      </c>
      <c r="N55" s="51">
        <f t="shared" si="39"/>
        <v>0.19234665761259909</v>
      </c>
      <c r="O55" s="51">
        <f t="shared" ref="O55" si="40">IFERROR(O42/O16,0)</f>
        <v>0.23349440323857806</v>
      </c>
      <c r="AT55" s="1">
        <f t="shared" ref="AT55:AT66" si="41">O55/N55-1</f>
        <v>0.21392493187406303</v>
      </c>
      <c r="AU55" s="1">
        <f t="shared" ref="AU55:AU66" si="42">O55/L55-1</f>
        <v>0.2551556469781624</v>
      </c>
      <c r="AV55" s="1">
        <f t="shared" si="22"/>
        <v>0</v>
      </c>
    </row>
    <row r="56" spans="2:48" x14ac:dyDescent="0.3">
      <c r="B56" s="7" t="s">
        <v>1</v>
      </c>
      <c r="C56" s="52">
        <f t="shared" si="37"/>
        <v>0.26571055363901264</v>
      </c>
      <c r="D56" s="52">
        <f t="shared" si="37"/>
        <v>0.23395142857142859</v>
      </c>
      <c r="E56" s="52">
        <f t="shared" si="37"/>
        <v>0.25052449165162155</v>
      </c>
      <c r="F56" s="52">
        <f t="shared" ref="F56:I56" si="43">IFERROR(F43/F17,0)</f>
        <v>0.27219350913588125</v>
      </c>
      <c r="G56" s="52">
        <f t="shared" si="43"/>
        <v>0.25688537672297646</v>
      </c>
      <c r="H56" s="52">
        <f t="shared" si="43"/>
        <v>0.25795131986500852</v>
      </c>
      <c r="I56" s="52">
        <f t="shared" si="43"/>
        <v>0.31600894331869639</v>
      </c>
      <c r="J56" s="52">
        <f t="shared" ref="J56" si="44">IFERROR(J43/J17,0)</f>
        <v>0.32074791162463895</v>
      </c>
      <c r="K56" s="52">
        <f t="shared" ref="K56:L56" si="45">IFERROR(K43/K17,0)</f>
        <v>0.27794740467846768</v>
      </c>
      <c r="L56" s="52">
        <f t="shared" si="45"/>
        <v>0.30826240210051165</v>
      </c>
      <c r="M56" s="52">
        <f t="shared" ref="M56:N56" si="46">IFERROR(M43/M17,0)</f>
        <v>0.31518030301846395</v>
      </c>
      <c r="N56" s="52">
        <f t="shared" si="46"/>
        <v>0.28932142668188382</v>
      </c>
      <c r="O56" s="52">
        <f t="shared" ref="O56" si="47">IFERROR(O43/O17,0)</f>
        <v>0.32314680103615911</v>
      </c>
      <c r="AT56" s="1">
        <f t="shared" si="41"/>
        <v>0.11691278707631692</v>
      </c>
      <c r="AU56" s="1">
        <f t="shared" si="42"/>
        <v>4.8284834070663862E-2</v>
      </c>
      <c r="AV56" s="1">
        <f t="shared" si="22"/>
        <v>0</v>
      </c>
    </row>
    <row r="57" spans="2:48" x14ac:dyDescent="0.3">
      <c r="B57" s="7" t="s">
        <v>2</v>
      </c>
      <c r="C57" s="52">
        <f t="shared" si="37"/>
        <v>0.20533245033112582</v>
      </c>
      <c r="D57" s="52">
        <f t="shared" si="37"/>
        <v>0.16351320321469573</v>
      </c>
      <c r="E57" s="52">
        <f t="shared" si="37"/>
        <v>0.26831683168316833</v>
      </c>
      <c r="F57" s="52">
        <f t="shared" ref="F57:I57" si="48">IFERROR(F44/F18,0)</f>
        <v>7.3862669956428165E-2</v>
      </c>
      <c r="G57" s="52">
        <f t="shared" si="48"/>
        <v>7.1262430473622115E-2</v>
      </c>
      <c r="H57" s="52">
        <f t="shared" si="48"/>
        <v>0</v>
      </c>
      <c r="I57" s="52">
        <f t="shared" si="48"/>
        <v>0.42986406117247239</v>
      </c>
      <c r="J57" s="52">
        <f t="shared" ref="J57" si="49">IFERROR(J44/J18,0)</f>
        <v>0</v>
      </c>
      <c r="K57" s="52">
        <f t="shared" ref="K57:L57" si="50">IFERROR(K44/K18,0)</f>
        <v>0</v>
      </c>
      <c r="L57" s="52">
        <f t="shared" si="50"/>
        <v>7.7358145210494209E-2</v>
      </c>
      <c r="M57" s="52">
        <f t="shared" ref="M57:N57" si="51">IFERROR(M44/M18,0)</f>
        <v>0</v>
      </c>
      <c r="N57" s="52">
        <f t="shared" si="51"/>
        <v>0</v>
      </c>
      <c r="O57" s="52">
        <f t="shared" ref="O57" si="52">IFERROR(O44/O18,0)</f>
        <v>0</v>
      </c>
      <c r="AT57" s="1" t="e">
        <f t="shared" si="41"/>
        <v>#DIV/0!</v>
      </c>
      <c r="AU57" s="1">
        <f t="shared" si="42"/>
        <v>-1</v>
      </c>
      <c r="AV57" s="1">
        <f t="shared" si="22"/>
        <v>0</v>
      </c>
    </row>
    <row r="58" spans="2:48" x14ac:dyDescent="0.3">
      <c r="B58" s="7" t="s">
        <v>3</v>
      </c>
      <c r="C58" s="52">
        <f t="shared" si="37"/>
        <v>0</v>
      </c>
      <c r="D58" s="52">
        <f t="shared" si="37"/>
        <v>0.11203524229074889</v>
      </c>
      <c r="E58" s="52">
        <f t="shared" si="37"/>
        <v>0.17065894568690096</v>
      </c>
      <c r="F58" s="52">
        <f t="shared" ref="F58:I58" si="53">IFERROR(F45/F19,0)</f>
        <v>0.13438200790718777</v>
      </c>
      <c r="G58" s="52">
        <f t="shared" si="53"/>
        <v>0.21896579804560259</v>
      </c>
      <c r="H58" s="52">
        <f t="shared" si="53"/>
        <v>0.15411471321695761</v>
      </c>
      <c r="I58" s="52">
        <f t="shared" si="53"/>
        <v>0.13415860471453878</v>
      </c>
      <c r="J58" s="52">
        <f t="shared" ref="J58" si="54">IFERROR(J45/J19,0)</f>
        <v>0.3468879216539717</v>
      </c>
      <c r="K58" s="52">
        <f t="shared" ref="K58:L58" si="55">IFERROR(K45/K19,0)</f>
        <v>0.25968973747016705</v>
      </c>
      <c r="L58" s="52">
        <f t="shared" si="55"/>
        <v>0.28960259103641456</v>
      </c>
      <c r="M58" s="52">
        <f t="shared" ref="M58:N58" si="56">IFERROR(M45/M19,0)</f>
        <v>0.23098939164321283</v>
      </c>
      <c r="N58" s="52">
        <f t="shared" si="56"/>
        <v>0.22177213652374589</v>
      </c>
      <c r="O58" s="52">
        <f t="shared" ref="O58" si="57">IFERROR(O45/O19,0)</f>
        <v>0.24549125168236877</v>
      </c>
      <c r="AT58" s="1">
        <f t="shared" si="41"/>
        <v>0.10695263855242332</v>
      </c>
      <c r="AU58" s="1">
        <f t="shared" si="42"/>
        <v>-0.15231679798230546</v>
      </c>
      <c r="AV58" s="1">
        <f t="shared" si="22"/>
        <v>0</v>
      </c>
    </row>
    <row r="59" spans="2:48" x14ac:dyDescent="0.3">
      <c r="B59" s="7" t="s">
        <v>0</v>
      </c>
      <c r="C59" s="52">
        <f t="shared" si="37"/>
        <v>3.7015262110152623E-2</v>
      </c>
      <c r="D59" s="52">
        <f t="shared" si="37"/>
        <v>4.5289083490894617E-2</v>
      </c>
      <c r="E59" s="52">
        <f t="shared" si="37"/>
        <v>6.9949862719350608E-2</v>
      </c>
      <c r="F59" s="52">
        <f t="shared" ref="F59:I59" si="58">IFERROR(F46/F20,0)</f>
        <v>7.6496820266889073E-2</v>
      </c>
      <c r="G59" s="52">
        <f t="shared" si="58"/>
        <v>8.9791835462760983E-2</v>
      </c>
      <c r="H59" s="52">
        <f t="shared" si="58"/>
        <v>6.7719900187149101E-2</v>
      </c>
      <c r="I59" s="52">
        <f t="shared" si="58"/>
        <v>0.14439667267989575</v>
      </c>
      <c r="J59" s="52">
        <f t="shared" ref="J59" si="59">IFERROR(J46/J20,0)</f>
        <v>0.13533724934170549</v>
      </c>
      <c r="K59" s="52">
        <f t="shared" ref="K59:L59" si="60">IFERROR(K46/K20,0)</f>
        <v>6.1947751322751328E-2</v>
      </c>
      <c r="L59" s="52">
        <f t="shared" si="60"/>
        <v>7.7563406337649937E-2</v>
      </c>
      <c r="M59" s="52">
        <f t="shared" ref="M59:N59" si="61">IFERROR(M46/M20,0)</f>
        <v>0.10237592576828125</v>
      </c>
      <c r="N59" s="52">
        <f t="shared" si="61"/>
        <v>5.1356954391255184E-2</v>
      </c>
      <c r="O59" s="52">
        <f t="shared" ref="O59" si="62">IFERROR(O46/O20,0)</f>
        <v>5.9451833937928251E-2</v>
      </c>
      <c r="AT59" s="1">
        <f t="shared" si="41"/>
        <v>0.15761992981521944</v>
      </c>
      <c r="AU59" s="1">
        <f t="shared" si="42"/>
        <v>-0.23350666577068802</v>
      </c>
      <c r="AV59" s="1">
        <f>IFERROR(HLOOKUP(LARGE($2:$2,1),$C$2:$XFD$210,ROW(AF57),FALSE)/HLOOKUP(SMALL($2:$2,1),$C$2:$XFD$210,ROW(AF57),FALSE)-1,"")</f>
        <v>0</v>
      </c>
    </row>
    <row r="60" spans="2:48" x14ac:dyDescent="0.3">
      <c r="B60" s="7" t="s">
        <v>17</v>
      </c>
      <c r="C60" s="52">
        <f t="shared" si="37"/>
        <v>0</v>
      </c>
      <c r="D60" s="52">
        <f t="shared" si="37"/>
        <v>0</v>
      </c>
      <c r="E60" s="52">
        <f t="shared" si="37"/>
        <v>5.334441763286446E-2</v>
      </c>
      <c r="F60" s="52">
        <f t="shared" ref="F60:I60" si="63">IFERROR(F47/F21,0)</f>
        <v>5.6507401689219874E-2</v>
      </c>
      <c r="G60" s="52">
        <f t="shared" si="63"/>
        <v>3.6623236816692259E-2</v>
      </c>
      <c r="H60" s="52">
        <f t="shared" si="63"/>
        <v>1.8294034056696933E-2</v>
      </c>
      <c r="I60" s="52">
        <f t="shared" si="63"/>
        <v>1.4535648870497251E-2</v>
      </c>
      <c r="J60" s="52">
        <f t="shared" ref="J60" si="64">IFERROR(J47/J21,0)</f>
        <v>1.5812191923303034E-2</v>
      </c>
      <c r="K60" s="52">
        <f t="shared" ref="K60:L60" si="65">IFERROR(K47/K21,0)</f>
        <v>1.4780410774894129E-2</v>
      </c>
      <c r="L60" s="52">
        <f t="shared" si="65"/>
        <v>5.7528782636049068E-2</v>
      </c>
      <c r="M60" s="52">
        <f t="shared" ref="M60:N60" si="66">IFERROR(M47/M21,0)</f>
        <v>7.6202114369101237E-2</v>
      </c>
      <c r="N60" s="52">
        <f t="shared" si="66"/>
        <v>4.4667461405495622E-2</v>
      </c>
      <c r="O60" s="52">
        <f t="shared" ref="O60" si="67">IFERROR(O47/O21,0)</f>
        <v>3.4915183768501577E-2</v>
      </c>
      <c r="AT60" s="1">
        <f t="shared" si="41"/>
        <v>-0.21833068927875499</v>
      </c>
      <c r="AU60" s="1">
        <f t="shared" si="42"/>
        <v>-0.39308321558984649</v>
      </c>
      <c r="AV60" s="1">
        <f>IFERROR(HLOOKUP(LARGE($2:$2,1),$C$2:$XFD$210,ROW(AF58),FALSE)/HLOOKUP(SMALL($2:$2,1),$C$2:$XFD$210,ROW(AF58),FALSE)-1,"")</f>
        <v>0</v>
      </c>
    </row>
    <row r="61" spans="2:48" x14ac:dyDescent="0.3">
      <c r="B61" s="8" t="s">
        <v>8</v>
      </c>
      <c r="C61" s="52">
        <f t="shared" si="37"/>
        <v>0</v>
      </c>
      <c r="D61" s="52">
        <f t="shared" si="37"/>
        <v>0</v>
      </c>
      <c r="E61" s="52">
        <f t="shared" si="37"/>
        <v>0.11035099193372574</v>
      </c>
      <c r="F61" s="52">
        <f t="shared" ref="F61:I61" si="68">IFERROR(F48/F22,0)</f>
        <v>3.0129592791949451E-2</v>
      </c>
      <c r="G61" s="52">
        <f t="shared" si="68"/>
        <v>1.695859189009874E-2</v>
      </c>
      <c r="H61" s="52">
        <f t="shared" si="68"/>
        <v>1.5685023917576351E-2</v>
      </c>
      <c r="I61" s="52">
        <f t="shared" si="68"/>
        <v>1.3581936366746494E-2</v>
      </c>
      <c r="J61" s="52">
        <f t="shared" ref="J61" si="69">IFERROR(J48/J22,0)</f>
        <v>4.7922935779816517E-2</v>
      </c>
      <c r="K61" s="52">
        <f t="shared" ref="K61:L61" si="70">IFERROR(K48/K22,0)</f>
        <v>1.4847381073796169E-2</v>
      </c>
      <c r="L61" s="52">
        <f t="shared" si="70"/>
        <v>2.0440179142674344E-2</v>
      </c>
      <c r="M61" s="52">
        <f t="shared" ref="M61:N61" si="71">IFERROR(M48/M22,0)</f>
        <v>1.941528239202658E-2</v>
      </c>
      <c r="N61" s="52">
        <f t="shared" si="71"/>
        <v>1.6908970484745624E-2</v>
      </c>
      <c r="O61" s="52">
        <f t="shared" ref="O61" si="72">IFERROR(O48/O22,0)</f>
        <v>1.6840417000801924E-2</v>
      </c>
      <c r="AT61" s="1">
        <f t="shared" si="41"/>
        <v>-4.0542671717089807E-3</v>
      </c>
      <c r="AU61" s="1">
        <f t="shared" si="42"/>
        <v>-0.17611206422144088</v>
      </c>
      <c r="AV61" s="1">
        <f t="shared" ref="AV61:AV72" si="73">IFERROR(HLOOKUP(LARGE($2:$2,1),$C$2:$XFD$210,ROW(AF60),FALSE)/HLOOKUP(SMALL($2:$2,1),$C$2:$XFD$210,ROW(AF60),FALSE)-1,"")</f>
        <v>0</v>
      </c>
    </row>
    <row r="62" spans="2:48" x14ac:dyDescent="0.3">
      <c r="B62" s="8" t="s">
        <v>7</v>
      </c>
      <c r="C62" s="52">
        <f t="shared" ref="C62:E65" si="74">IFERROR(C49/C23,0)</f>
        <v>0</v>
      </c>
      <c r="D62" s="52">
        <f t="shared" si="37"/>
        <v>0</v>
      </c>
      <c r="E62" s="52">
        <f t="shared" si="74"/>
        <v>3.830202724498151E-2</v>
      </c>
      <c r="F62" s="52">
        <f t="shared" ref="F62:AS62" si="75">IFERROR(F49/F23,0)</f>
        <v>3.0436148215984945E-2</v>
      </c>
      <c r="G62" s="52">
        <f t="shared" si="75"/>
        <v>1.8748714153561517E-2</v>
      </c>
      <c r="H62" s="52">
        <f t="shared" si="75"/>
        <v>1.8931547083857816E-2</v>
      </c>
      <c r="I62" s="52">
        <f t="shared" si="75"/>
        <v>1.4771534946691487E-2</v>
      </c>
      <c r="J62" s="52">
        <f t="shared" ref="J62" si="76">IFERROR(J49/J23,0)</f>
        <v>1.4791489262426074E-2</v>
      </c>
      <c r="K62" s="52">
        <f t="shared" ref="K62" si="77">IFERROR(K49/K23,0)</f>
        <v>1.4656944776476213E-2</v>
      </c>
      <c r="L62" s="52">
        <f t="shared" si="75"/>
        <v>1.4850914124228617E-2</v>
      </c>
      <c r="M62" s="52">
        <f t="shared" ref="M62:N62" si="78">IFERROR(M49/M23,0)</f>
        <v>1.3837390296406689E-2</v>
      </c>
      <c r="N62" s="52">
        <f t="shared" si="78"/>
        <v>1.368570080226522E-2</v>
      </c>
      <c r="O62" s="52">
        <f t="shared" ref="O62" si="79">IFERROR(O49/O23,0)</f>
        <v>1.3674340325779888E-2</v>
      </c>
      <c r="P62" s="52">
        <f t="shared" si="75"/>
        <v>0</v>
      </c>
      <c r="Q62" s="52">
        <f t="shared" si="75"/>
        <v>0</v>
      </c>
      <c r="R62" s="52">
        <f t="shared" si="75"/>
        <v>0</v>
      </c>
      <c r="S62" s="52">
        <f t="shared" si="75"/>
        <v>0</v>
      </c>
      <c r="T62" s="52">
        <f t="shared" si="75"/>
        <v>0</v>
      </c>
      <c r="U62" s="52">
        <f t="shared" si="75"/>
        <v>0</v>
      </c>
      <c r="V62" s="52">
        <f t="shared" si="75"/>
        <v>0</v>
      </c>
      <c r="W62" s="52">
        <f t="shared" si="75"/>
        <v>0</v>
      </c>
      <c r="X62" s="52">
        <f t="shared" si="75"/>
        <v>0</v>
      </c>
      <c r="Y62" s="52">
        <f t="shared" si="75"/>
        <v>0</v>
      </c>
      <c r="Z62" s="52">
        <f t="shared" si="75"/>
        <v>0</v>
      </c>
      <c r="AA62" s="52">
        <f t="shared" si="75"/>
        <v>0</v>
      </c>
      <c r="AB62" s="52">
        <f t="shared" si="75"/>
        <v>0</v>
      </c>
      <c r="AC62" s="52">
        <f t="shared" si="75"/>
        <v>0</v>
      </c>
      <c r="AD62" s="52">
        <f t="shared" si="75"/>
        <v>0</v>
      </c>
      <c r="AE62" s="52">
        <f t="shared" si="75"/>
        <v>0</v>
      </c>
      <c r="AF62" s="52">
        <f t="shared" si="75"/>
        <v>0</v>
      </c>
      <c r="AG62" s="52">
        <f t="shared" si="75"/>
        <v>0</v>
      </c>
      <c r="AH62" s="52">
        <f t="shared" si="75"/>
        <v>0</v>
      </c>
      <c r="AI62" s="52">
        <f t="shared" si="75"/>
        <v>0</v>
      </c>
      <c r="AJ62" s="52">
        <f t="shared" si="75"/>
        <v>0</v>
      </c>
      <c r="AK62" s="52">
        <f t="shared" si="75"/>
        <v>0</v>
      </c>
      <c r="AL62" s="52">
        <f t="shared" si="75"/>
        <v>0</v>
      </c>
      <c r="AM62" s="52">
        <f t="shared" si="75"/>
        <v>0</v>
      </c>
      <c r="AN62" s="52">
        <f t="shared" si="75"/>
        <v>0</v>
      </c>
      <c r="AO62" s="52">
        <f t="shared" si="75"/>
        <v>0</v>
      </c>
      <c r="AP62" s="52">
        <f t="shared" si="75"/>
        <v>0</v>
      </c>
      <c r="AQ62" s="52">
        <f t="shared" si="75"/>
        <v>0</v>
      </c>
      <c r="AR62" s="52">
        <f t="shared" si="75"/>
        <v>0</v>
      </c>
      <c r="AS62" s="52">
        <f t="shared" si="75"/>
        <v>0</v>
      </c>
      <c r="AT62" s="1">
        <f t="shared" si="41"/>
        <v>-8.300982645661481E-4</v>
      </c>
      <c r="AU62" s="1">
        <f t="shared" si="42"/>
        <v>-7.9225681907970968E-2</v>
      </c>
      <c r="AV62" s="1">
        <f t="shared" si="73"/>
        <v>0</v>
      </c>
    </row>
    <row r="63" spans="2:48" x14ac:dyDescent="0.3">
      <c r="B63" s="8" t="s">
        <v>18</v>
      </c>
      <c r="C63" s="52">
        <f t="shared" si="74"/>
        <v>0</v>
      </c>
      <c r="D63" s="52">
        <f t="shared" si="37"/>
        <v>0</v>
      </c>
      <c r="E63" s="52">
        <f t="shared" si="74"/>
        <v>0</v>
      </c>
      <c r="F63" s="52">
        <f t="shared" ref="F63:I63" si="80">IFERROR(F50/F24,0)</f>
        <v>0</v>
      </c>
      <c r="G63" s="52">
        <f t="shared" si="80"/>
        <v>0</v>
      </c>
      <c r="H63" s="52">
        <f t="shared" si="80"/>
        <v>0</v>
      </c>
      <c r="I63" s="52">
        <f t="shared" si="80"/>
        <v>0</v>
      </c>
      <c r="J63" s="52">
        <f t="shared" ref="J63" si="81">IFERROR(J50/J24,0)</f>
        <v>0</v>
      </c>
      <c r="K63" s="52">
        <f t="shared" ref="K63:L63" si="82">IFERROR(K50/K24,0)</f>
        <v>0</v>
      </c>
      <c r="L63" s="52">
        <f t="shared" si="82"/>
        <v>0</v>
      </c>
      <c r="M63" s="52">
        <f t="shared" ref="M63:N63" si="83">IFERROR(M50/M24,0)</f>
        <v>0</v>
      </c>
      <c r="N63" s="52">
        <f t="shared" si="83"/>
        <v>0</v>
      </c>
      <c r="O63" s="52">
        <f t="shared" ref="O63" si="84">IFERROR(O50/O24,0)</f>
        <v>0</v>
      </c>
      <c r="AT63" s="1" t="e">
        <f t="shared" si="41"/>
        <v>#DIV/0!</v>
      </c>
      <c r="AU63" s="1" t="e">
        <f t="shared" si="42"/>
        <v>#DIV/0!</v>
      </c>
      <c r="AV63" s="1" t="str">
        <f t="shared" si="73"/>
        <v/>
      </c>
    </row>
    <row r="64" spans="2:48" x14ac:dyDescent="0.3">
      <c r="B64" s="8" t="s">
        <v>6</v>
      </c>
      <c r="C64" s="52">
        <f t="shared" si="74"/>
        <v>0</v>
      </c>
      <c r="D64" s="52">
        <f t="shared" si="37"/>
        <v>0</v>
      </c>
      <c r="E64" s="52">
        <f t="shared" si="74"/>
        <v>5.0401256106071178E-2</v>
      </c>
      <c r="F64" s="52">
        <f t="shared" ref="F64:I64" si="85">IFERROR(F51/F25,0)</f>
        <v>0.3460255622465282</v>
      </c>
      <c r="G64" s="52">
        <f t="shared" si="85"/>
        <v>0.25671955958549225</v>
      </c>
      <c r="H64" s="52">
        <f t="shared" si="85"/>
        <v>0</v>
      </c>
      <c r="I64" s="52">
        <f t="shared" si="85"/>
        <v>0</v>
      </c>
      <c r="J64" s="52">
        <f t="shared" ref="J64" si="86">IFERROR(J51/J25,0)</f>
        <v>0</v>
      </c>
      <c r="K64" s="52">
        <f t="shared" ref="K64:L64" si="87">IFERROR(K51/K25,0)</f>
        <v>0.10214285714285713</v>
      </c>
      <c r="L64" s="52">
        <f t="shared" si="87"/>
        <v>0.31522600528324035</v>
      </c>
      <c r="M64" s="52">
        <f t="shared" ref="M64:N64" si="88">IFERROR(M51/M25,0)</f>
        <v>0.50108767303889257</v>
      </c>
      <c r="N64" s="52">
        <f t="shared" si="88"/>
        <v>0.49511427500936683</v>
      </c>
      <c r="O64" s="52">
        <f>IFERROR(O51/O25,0)</f>
        <v>0.30469958081043319</v>
      </c>
      <c r="AT64" s="1">
        <f t="shared" si="41"/>
        <v>-0.38458736459442877</v>
      </c>
      <c r="AU64" s="1">
        <f t="shared" si="42"/>
        <v>-3.339326164841272E-2</v>
      </c>
      <c r="AV64" s="1">
        <f t="shared" si="73"/>
        <v>0</v>
      </c>
    </row>
    <row r="65" spans="2:48 16374:16375" ht="11.25" customHeight="1" outlineLevel="2" x14ac:dyDescent="0.3">
      <c r="B65" s="8" t="s">
        <v>5</v>
      </c>
      <c r="C65" s="52">
        <f t="shared" si="74"/>
        <v>0</v>
      </c>
      <c r="D65" s="52">
        <f t="shared" si="37"/>
        <v>0</v>
      </c>
      <c r="E65" s="52">
        <f t="shared" si="74"/>
        <v>7.0819396338446319E-2</v>
      </c>
      <c r="F65" s="52">
        <f t="shared" ref="F65:U66" si="89">IFERROR(F52/F26,0)</f>
        <v>0.1139383687385261</v>
      </c>
      <c r="G65" s="52">
        <f t="shared" ref="G65:I65" si="90">IFERROR(G52/G26,0)</f>
        <v>0.10571333658147673</v>
      </c>
      <c r="H65" s="52">
        <f t="shared" si="90"/>
        <v>0</v>
      </c>
      <c r="I65" s="52">
        <f t="shared" si="90"/>
        <v>0</v>
      </c>
      <c r="J65" s="52">
        <f t="shared" ref="J65" si="91">IFERROR(J52/J26,0)</f>
        <v>0</v>
      </c>
      <c r="K65" s="52">
        <f t="shared" ref="K65:L65" si="92">IFERROR(K52/K26,0)</f>
        <v>7.1250000000000008E-2</v>
      </c>
      <c r="L65" s="52">
        <f t="shared" si="92"/>
        <v>0.18874220465524813</v>
      </c>
      <c r="M65" s="52">
        <f t="shared" ref="M65:N65" si="93">IFERROR(M52/M26,0)</f>
        <v>0.25006699346405231</v>
      </c>
      <c r="N65" s="52">
        <f t="shared" si="93"/>
        <v>0.21296147025632758</v>
      </c>
      <c r="O65" s="52">
        <f>IFERROR(O52/O26,0)</f>
        <v>0.13753626235022073</v>
      </c>
      <c r="AT65" s="1">
        <f t="shared" si="41"/>
        <v>-0.35417302395274852</v>
      </c>
      <c r="AU65" s="1">
        <f t="shared" si="42"/>
        <v>-0.27130096524282377</v>
      </c>
      <c r="AV65" s="1">
        <f t="shared" si="73"/>
        <v>0</v>
      </c>
    </row>
    <row r="66" spans="2:48 16374:16375" ht="11.25" customHeight="1" outlineLevel="1" x14ac:dyDescent="0.3">
      <c r="B66" s="7" t="s">
        <v>4</v>
      </c>
      <c r="C66" s="52">
        <f t="shared" ref="C66:D66" si="94">IFERROR(C53/C27,0)</f>
        <v>0</v>
      </c>
      <c r="D66" s="52">
        <f t="shared" si="94"/>
        <v>0</v>
      </c>
      <c r="E66" s="52">
        <f>IFERROR(E53/E27,0)</f>
        <v>0</v>
      </c>
      <c r="F66" s="52">
        <f t="shared" si="89"/>
        <v>0</v>
      </c>
      <c r="G66" s="63">
        <f t="shared" si="89"/>
        <v>0</v>
      </c>
      <c r="H66" s="52">
        <f t="shared" si="89"/>
        <v>0</v>
      </c>
      <c r="I66" s="52">
        <f t="shared" si="89"/>
        <v>0</v>
      </c>
      <c r="J66" s="52">
        <f t="shared" ref="J66" si="95">IFERROR(J53/J27,0)</f>
        <v>0</v>
      </c>
      <c r="K66" s="52">
        <f t="shared" ref="K66" si="96">IFERROR(K53/K27,0)</f>
        <v>0</v>
      </c>
      <c r="L66" s="52">
        <f t="shared" si="89"/>
        <v>0</v>
      </c>
      <c r="M66" s="52">
        <f t="shared" ref="M66:N66" si="97">IFERROR(M53/M27,0)</f>
        <v>0</v>
      </c>
      <c r="N66" s="52">
        <f t="shared" si="97"/>
        <v>0</v>
      </c>
      <c r="O66" s="52">
        <f>IFERROR(O53/O27,0)</f>
        <v>0</v>
      </c>
      <c r="P66" s="52">
        <f t="shared" si="89"/>
        <v>0</v>
      </c>
      <c r="Q66" s="52">
        <f t="shared" si="89"/>
        <v>0</v>
      </c>
      <c r="R66" s="52">
        <f t="shared" si="89"/>
        <v>0</v>
      </c>
      <c r="S66" s="52">
        <f t="shared" si="89"/>
        <v>0</v>
      </c>
      <c r="T66" s="52">
        <f t="shared" si="89"/>
        <v>0</v>
      </c>
      <c r="U66" s="52">
        <f t="shared" si="89"/>
        <v>0</v>
      </c>
      <c r="V66" s="52">
        <f t="shared" ref="V66:AS66" si="98">IFERROR(V53/V27,0)</f>
        <v>0</v>
      </c>
      <c r="W66" s="52">
        <f t="shared" si="98"/>
        <v>0</v>
      </c>
      <c r="X66" s="52">
        <f t="shared" si="98"/>
        <v>0</v>
      </c>
      <c r="Y66" s="52">
        <f t="shared" si="98"/>
        <v>0</v>
      </c>
      <c r="Z66" s="52">
        <f t="shared" si="98"/>
        <v>0</v>
      </c>
      <c r="AA66" s="52">
        <f t="shared" si="98"/>
        <v>0</v>
      </c>
      <c r="AB66" s="52">
        <f t="shared" si="98"/>
        <v>0</v>
      </c>
      <c r="AC66" s="52">
        <f t="shared" si="98"/>
        <v>0</v>
      </c>
      <c r="AD66" s="52">
        <f t="shared" si="98"/>
        <v>0</v>
      </c>
      <c r="AE66" s="52">
        <f t="shared" si="98"/>
        <v>0</v>
      </c>
      <c r="AF66" s="52">
        <f t="shared" si="98"/>
        <v>0</v>
      </c>
      <c r="AG66" s="52">
        <f t="shared" si="98"/>
        <v>0</v>
      </c>
      <c r="AH66" s="52">
        <f t="shared" si="98"/>
        <v>0</v>
      </c>
      <c r="AI66" s="52">
        <f t="shared" si="98"/>
        <v>0</v>
      </c>
      <c r="AJ66" s="52">
        <f t="shared" si="98"/>
        <v>0</v>
      </c>
      <c r="AK66" s="52">
        <f t="shared" si="98"/>
        <v>0</v>
      </c>
      <c r="AL66" s="52">
        <f t="shared" si="98"/>
        <v>0</v>
      </c>
      <c r="AM66" s="52">
        <f t="shared" si="98"/>
        <v>0</v>
      </c>
      <c r="AN66" s="52">
        <f t="shared" si="98"/>
        <v>0</v>
      </c>
      <c r="AO66" s="52">
        <f t="shared" si="98"/>
        <v>0</v>
      </c>
      <c r="AP66" s="52">
        <f t="shared" si="98"/>
        <v>0</v>
      </c>
      <c r="AQ66" s="52">
        <f t="shared" si="98"/>
        <v>0</v>
      </c>
      <c r="AR66" s="52">
        <f t="shared" si="98"/>
        <v>0</v>
      </c>
      <c r="AS66" s="52">
        <f t="shared" si="98"/>
        <v>0</v>
      </c>
      <c r="AT66" s="1" t="e">
        <f t="shared" si="41"/>
        <v>#DIV/0!</v>
      </c>
      <c r="AU66" s="1" t="e">
        <f t="shared" si="42"/>
        <v>#DIV/0!</v>
      </c>
      <c r="AV66" s="1" t="str">
        <f t="shared" si="73"/>
        <v/>
      </c>
    </row>
    <row r="67" spans="2:48 16374:16375" ht="3" customHeight="1" x14ac:dyDescent="0.3">
      <c r="B67" s="9"/>
      <c r="C67" s="9"/>
      <c r="D67" s="9"/>
      <c r="E67" s="9"/>
      <c r="F67" s="9"/>
      <c r="AT67" s="1"/>
      <c r="AU67" s="1"/>
      <c r="AV67" s="1" t="str">
        <f t="shared" si="73"/>
        <v/>
      </c>
    </row>
    <row r="68" spans="2:48 16374:16375" ht="11.25" customHeight="1" outlineLevel="1" x14ac:dyDescent="0.3">
      <c r="B68" s="6" t="s">
        <v>32</v>
      </c>
      <c r="C68" s="42">
        <f t="shared" ref="C68" si="99">IFERROR(SUM(C69:C72),0)</f>
        <v>1949</v>
      </c>
      <c r="D68" s="42">
        <f t="shared" ref="D68:E68" si="100">IFERROR(SUM(D69:D72),0)</f>
        <v>2090</v>
      </c>
      <c r="E68" s="42">
        <f t="shared" si="100"/>
        <v>3882</v>
      </c>
      <c r="F68" s="42">
        <f t="shared" ref="F68:O68" si="101">IFERROR(SUM(F69:F72),0)</f>
        <v>5782</v>
      </c>
      <c r="G68" s="42">
        <f t="shared" si="101"/>
        <v>4777</v>
      </c>
      <c r="H68" s="42">
        <f t="shared" si="101"/>
        <v>4456</v>
      </c>
      <c r="I68" s="42">
        <f t="shared" si="101"/>
        <v>6205</v>
      </c>
      <c r="J68" s="42">
        <f t="shared" si="101"/>
        <v>4841</v>
      </c>
      <c r="K68" s="42">
        <f t="shared" si="101"/>
        <v>4708</v>
      </c>
      <c r="L68" s="42">
        <f t="shared" si="101"/>
        <v>10531</v>
      </c>
      <c r="M68" s="42">
        <f t="shared" si="101"/>
        <v>9186</v>
      </c>
      <c r="N68" s="42">
        <f t="shared" si="101"/>
        <v>10983</v>
      </c>
      <c r="O68" s="42">
        <f t="shared" si="101"/>
        <v>10393</v>
      </c>
      <c r="AT68" s="1">
        <f t="shared" ref="AT68:AT72" si="102">O68/N68-1</f>
        <v>-5.3719384503323364E-2</v>
      </c>
      <c r="AU68" s="1">
        <f t="shared" ref="AU68:AU72" si="103">O68/L68-1</f>
        <v>-1.3104168644953007E-2</v>
      </c>
      <c r="AV68" s="1">
        <f t="shared" si="73"/>
        <v>0</v>
      </c>
    </row>
    <row r="69" spans="2:48 16374:16375" ht="11.25" customHeight="1" outlineLevel="1" x14ac:dyDescent="0.3">
      <c r="B69" s="10" t="s">
        <v>33</v>
      </c>
      <c r="C69" s="42">
        <v>1949</v>
      </c>
      <c r="D69" s="42">
        <v>2090</v>
      </c>
      <c r="E69" s="42">
        <v>3194</v>
      </c>
      <c r="F69" s="42">
        <v>3986</v>
      </c>
      <c r="G69" s="42">
        <v>3710</v>
      </c>
      <c r="H69" s="42">
        <v>3796</v>
      </c>
      <c r="I69" s="42">
        <v>4923</v>
      </c>
      <c r="J69" s="42">
        <v>4202</v>
      </c>
      <c r="K69" s="42">
        <v>4041</v>
      </c>
      <c r="L69" s="42">
        <v>7245</v>
      </c>
      <c r="M69" s="42">
        <v>6605</v>
      </c>
      <c r="N69" s="42">
        <v>8682</v>
      </c>
      <c r="O69" s="42">
        <v>8255</v>
      </c>
      <c r="AT69" s="1">
        <f t="shared" si="102"/>
        <v>-4.9182216079244445E-2</v>
      </c>
      <c r="AU69" s="1">
        <f t="shared" si="103"/>
        <v>0.13940648723257421</v>
      </c>
      <c r="AV69" s="1">
        <f t="shared" si="73"/>
        <v>0</v>
      </c>
      <c r="XET69" s="9" t="s">
        <v>19</v>
      </c>
      <c r="XEU69" s="9" t="s">
        <v>12</v>
      </c>
    </row>
    <row r="70" spans="2:48 16374:16375" ht="11.25" customHeight="1" outlineLevel="1" x14ac:dyDescent="0.3">
      <c r="B70" s="10" t="s">
        <v>34</v>
      </c>
      <c r="C70" s="42">
        <f>IFERROR(GETPIVOTDATA("[Measures].[Sum of Unique Customer]",'[1]Raw Data'!$S$3,"[Registration].[YearMonth]","[Registration].[YearMonth].&amp;["&amp;TEXT(C$2,"yyyy-aa-ggTss:dd:nn")&amp;"]","[Registration].[Reg# Channel]","[Registration].[Reg# Channel].&amp;["&amp;$XEU70&amp;"]"),0)</f>
        <v>0</v>
      </c>
      <c r="D70" s="42">
        <f>IFERROR(GETPIVOTDATA("[Measures].[Sum of Unique Customer]",'[1]Raw Data'!$S$3,"[Registration].[YearMonth]","[Registration].[YearMonth].&amp;["&amp;TEXT(D$2,"yyyy-aa-ggTss:dd:nn")&amp;"]","[Registration].[Reg# Channel]","[Registration].[Reg# Channel].&amp;["&amp;$XEU70&amp;"]"),0)</f>
        <v>0</v>
      </c>
      <c r="E70" s="42">
        <f>IFERROR(GETPIVOTDATA("[Measures].[Sum of Unique Customer]",'[1]Raw Data'!$S$3,"[Registration].[YearMonth]","[Registration].[YearMonth].&amp;["&amp;TEXT(E$2,"yyyy-aa-ggTss:dd:nn")&amp;"]","[Registration].[Reg# Channel]","[Registration].[Reg# Channel].&amp;["&amp;$XEU70&amp;"]"),0)</f>
        <v>0</v>
      </c>
      <c r="F70" s="42">
        <f>IFERROR(GETPIVOTDATA("[Measures].[Sum of Unique Customer]",'[1]Raw Data'!$S$3,"[Registration].[YearMonth]","[Registration].[YearMonth].&amp;["&amp;TEXT(F$2,"yyyy-aa-ggTss:dd:nn")&amp;"]","[Registration].[Reg# Channel]","[Registration].[Reg# Channel].&amp;["&amp;$XEU70&amp;"]"),0)</f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AT70" s="1" t="e">
        <f t="shared" si="102"/>
        <v>#DIV/0!</v>
      </c>
      <c r="AU70" s="1" t="e">
        <f t="shared" si="103"/>
        <v>#DIV/0!</v>
      </c>
      <c r="AV70" s="1" t="str">
        <f t="shared" si="73"/>
        <v/>
      </c>
      <c r="XET70" s="9" t="s">
        <v>20</v>
      </c>
      <c r="XEU70" s="9" t="s">
        <v>11</v>
      </c>
    </row>
    <row r="71" spans="2:48 16374:16375" ht="11.25" customHeight="1" outlineLevel="1" x14ac:dyDescent="0.3">
      <c r="B71" s="10" t="s">
        <v>35</v>
      </c>
      <c r="C71" s="42">
        <f>IFERROR(GETPIVOTDATA("[Measures].[Sum of Unique Customer]",'[1]Raw Data'!$S$3,"[Registration].[YearMonth]","[Registration].[YearMonth].&amp;["&amp;TEXT(C$2,"yyyy-aa-ggTss:dd:nn")&amp;"]","[Registration].[Reg# Channel]","[Registration].[Reg# Channel].&amp;["&amp;$XEU71&amp;"]"),0)</f>
        <v>0</v>
      </c>
      <c r="D71" s="42">
        <f>IFERROR(GETPIVOTDATA("[Measures].[Sum of Unique Customer]",'[1]Raw Data'!$S$3,"[Registration].[YearMonth]","[Registration].[YearMonth].&amp;["&amp;TEXT(D$2,"yyyy-aa-ggTss:dd:nn")&amp;"]","[Registration].[Reg# Channel]","[Registration].[Reg# Channel].&amp;["&amp;$XEU71&amp;"]"),0)</f>
        <v>0</v>
      </c>
      <c r="E71" s="42">
        <v>76</v>
      </c>
      <c r="F71" s="42">
        <v>704</v>
      </c>
      <c r="G71" s="42">
        <v>323</v>
      </c>
      <c r="H71" s="42">
        <v>245</v>
      </c>
      <c r="I71" s="42">
        <v>461</v>
      </c>
      <c r="J71" s="42">
        <v>241</v>
      </c>
      <c r="K71" s="42">
        <v>227</v>
      </c>
      <c r="L71" s="42">
        <v>1210</v>
      </c>
      <c r="M71" s="42">
        <v>927</v>
      </c>
      <c r="N71" s="42">
        <v>827</v>
      </c>
      <c r="O71" s="42">
        <v>757</v>
      </c>
      <c r="AT71" s="1">
        <f t="shared" si="102"/>
        <v>-8.4643288996372412E-2</v>
      </c>
      <c r="AU71" s="1">
        <f t="shared" si="103"/>
        <v>-0.37438016528925622</v>
      </c>
      <c r="AV71" s="1">
        <f t="shared" si="73"/>
        <v>0</v>
      </c>
      <c r="XET71" s="9" t="s">
        <v>21</v>
      </c>
      <c r="XEU71" s="9" t="s">
        <v>14</v>
      </c>
    </row>
    <row r="72" spans="2:48 16374:16375" ht="10.5" customHeight="1" outlineLevel="1" x14ac:dyDescent="0.3">
      <c r="B72" s="10" t="s">
        <v>36</v>
      </c>
      <c r="C72" s="42">
        <f>IFERROR(GETPIVOTDATA("[Measures].[Sum of Unique Customer]",'[1]Raw Data'!$S$3,"[Registration].[YearMonth]","[Registration].[YearMonth].&amp;["&amp;TEXT(C$2,"yyyy-aa-ggTss:dd:nn")&amp;"]","[Registration].[Reg# Channel]","[Registration].[Reg# Channel].&amp;["&amp;$XEU72&amp;"]"),0)</f>
        <v>0</v>
      </c>
      <c r="D72" s="42">
        <f>IFERROR(GETPIVOTDATA("[Measures].[Sum of Unique Customer]",'[1]Raw Data'!$S$3,"[Registration].[YearMonth]","[Registration].[YearMonth].&amp;["&amp;TEXT(D$2,"yyyy-aa-ggTss:dd:nn")&amp;"]","[Registration].[Reg# Channel]","[Registration].[Reg# Channel].&amp;["&amp;$XEU72&amp;"]"),0)</f>
        <v>0</v>
      </c>
      <c r="E72" s="42">
        <v>612</v>
      </c>
      <c r="F72" s="42">
        <v>1092</v>
      </c>
      <c r="G72" s="42">
        <v>744</v>
      </c>
      <c r="H72" s="42">
        <v>415</v>
      </c>
      <c r="I72" s="42">
        <v>821</v>
      </c>
      <c r="J72" s="42">
        <v>398</v>
      </c>
      <c r="K72" s="42">
        <v>440</v>
      </c>
      <c r="L72" s="42">
        <v>2076</v>
      </c>
      <c r="M72" s="42">
        <v>1654</v>
      </c>
      <c r="N72" s="42">
        <v>1474</v>
      </c>
      <c r="O72" s="42">
        <v>1381</v>
      </c>
      <c r="AT72" s="1">
        <f t="shared" si="102"/>
        <v>-6.3093622795115323E-2</v>
      </c>
      <c r="AU72" s="1">
        <f t="shared" si="103"/>
        <v>-0.33477842003853564</v>
      </c>
      <c r="AV72" s="1">
        <f t="shared" si="73"/>
        <v>0</v>
      </c>
      <c r="XET72" s="9" t="s">
        <v>22</v>
      </c>
      <c r="XEU72" s="9" t="s">
        <v>15</v>
      </c>
    </row>
    <row r="73" spans="2:48 16374:16375" ht="1.5" customHeight="1" outlineLevel="1" x14ac:dyDescent="0.3">
      <c r="B73" s="9"/>
      <c r="C73" s="9"/>
      <c r="D73" s="9"/>
      <c r="E73" s="9"/>
      <c r="F73" s="9"/>
      <c r="AT73" s="1"/>
      <c r="AU73" s="1"/>
      <c r="AV73" s="1"/>
    </row>
    <row r="74" spans="2:48 16374:16375" ht="11.25" customHeight="1" outlineLevel="1" x14ac:dyDescent="0.3">
      <c r="B74" s="47" t="s">
        <v>80</v>
      </c>
      <c r="C74" s="46">
        <f t="shared" ref="C74:E78" si="104">IFERROR(C68/C$68,0)</f>
        <v>1</v>
      </c>
      <c r="D74" s="46">
        <f t="shared" si="104"/>
        <v>1</v>
      </c>
      <c r="E74" s="46">
        <f t="shared" si="104"/>
        <v>1</v>
      </c>
      <c r="F74" s="46">
        <f t="shared" ref="F74:I74" si="105">IFERROR(F68/F$68,0)</f>
        <v>1</v>
      </c>
      <c r="G74" s="46">
        <f t="shared" si="105"/>
        <v>1</v>
      </c>
      <c r="H74" s="46">
        <f t="shared" si="105"/>
        <v>1</v>
      </c>
      <c r="I74" s="46">
        <f t="shared" si="105"/>
        <v>1</v>
      </c>
      <c r="J74" s="46">
        <f t="shared" ref="J74" si="106">IFERROR(J68/J$68,0)</f>
        <v>1</v>
      </c>
      <c r="K74" s="46">
        <f t="shared" ref="K74:L74" si="107">IFERROR(K68/K$68,0)</f>
        <v>1</v>
      </c>
      <c r="L74" s="46">
        <f t="shared" si="107"/>
        <v>1</v>
      </c>
      <c r="M74" s="46">
        <f t="shared" ref="M74:AS74" si="108">IFERROR(M68/M$68,0)</f>
        <v>1</v>
      </c>
      <c r="N74" s="46">
        <f t="shared" si="108"/>
        <v>1</v>
      </c>
      <c r="O74" s="46">
        <f t="shared" si="108"/>
        <v>1</v>
      </c>
      <c r="P74" s="46">
        <f t="shared" si="108"/>
        <v>0</v>
      </c>
      <c r="Q74" s="46">
        <f t="shared" si="108"/>
        <v>0</v>
      </c>
      <c r="R74" s="46">
        <f t="shared" si="108"/>
        <v>0</v>
      </c>
      <c r="S74" s="46">
        <f t="shared" si="108"/>
        <v>0</v>
      </c>
      <c r="T74" s="46">
        <f t="shared" si="108"/>
        <v>0</v>
      </c>
      <c r="U74" s="46">
        <f t="shared" si="108"/>
        <v>0</v>
      </c>
      <c r="V74" s="46">
        <f t="shared" si="108"/>
        <v>0</v>
      </c>
      <c r="W74" s="46">
        <f t="shared" si="108"/>
        <v>0</v>
      </c>
      <c r="X74" s="46">
        <f t="shared" si="108"/>
        <v>0</v>
      </c>
      <c r="Y74" s="46">
        <f t="shared" si="108"/>
        <v>0</v>
      </c>
      <c r="Z74" s="46">
        <f t="shared" si="108"/>
        <v>0</v>
      </c>
      <c r="AA74" s="46">
        <f t="shared" si="108"/>
        <v>0</v>
      </c>
      <c r="AB74" s="46">
        <f t="shared" si="108"/>
        <v>0</v>
      </c>
      <c r="AC74" s="46">
        <f t="shared" si="108"/>
        <v>0</v>
      </c>
      <c r="AD74" s="46">
        <f t="shared" si="108"/>
        <v>0</v>
      </c>
      <c r="AE74" s="46">
        <f t="shared" si="108"/>
        <v>0</v>
      </c>
      <c r="AF74" s="46">
        <f t="shared" si="108"/>
        <v>0</v>
      </c>
      <c r="AG74" s="46">
        <f t="shared" si="108"/>
        <v>0</v>
      </c>
      <c r="AH74" s="46">
        <f t="shared" si="108"/>
        <v>0</v>
      </c>
      <c r="AI74" s="46">
        <f t="shared" si="108"/>
        <v>0</v>
      </c>
      <c r="AJ74" s="46">
        <f t="shared" si="108"/>
        <v>0</v>
      </c>
      <c r="AK74" s="46">
        <f t="shared" si="108"/>
        <v>0</v>
      </c>
      <c r="AL74" s="46">
        <f t="shared" si="108"/>
        <v>0</v>
      </c>
      <c r="AM74" s="46">
        <f t="shared" si="108"/>
        <v>0</v>
      </c>
      <c r="AN74" s="46">
        <f t="shared" si="108"/>
        <v>0</v>
      </c>
      <c r="AO74" s="46">
        <f t="shared" si="108"/>
        <v>0</v>
      </c>
      <c r="AP74" s="46">
        <f t="shared" si="108"/>
        <v>0</v>
      </c>
      <c r="AQ74" s="46">
        <f t="shared" si="108"/>
        <v>0</v>
      </c>
      <c r="AR74" s="46">
        <f t="shared" si="108"/>
        <v>0</v>
      </c>
      <c r="AS74" s="46">
        <f t="shared" si="108"/>
        <v>0</v>
      </c>
      <c r="AT74" s="1">
        <f t="shared" ref="AT74:AT78" si="109">O74/N74-1</f>
        <v>0</v>
      </c>
      <c r="AU74" s="1">
        <f t="shared" ref="AU74:AU78" si="110">O74/L74-1</f>
        <v>0</v>
      </c>
      <c r="AV74" s="1" t="str">
        <f>IFERROR(HLOOKUP(LARGE($2:$2,1),$C$2:$XFD$210,ROW(AF72),FALSE)/HLOOKUP(SMALL($2:$2,1),$C$2:$XFD$210,ROW(AF72),FALSE)-1,"")</f>
        <v/>
      </c>
      <c r="XET74" s="9" t="s">
        <v>19</v>
      </c>
      <c r="XEU74" s="9" t="s">
        <v>12</v>
      </c>
    </row>
    <row r="75" spans="2:48 16374:16375" ht="11.25" customHeight="1" outlineLevel="1" x14ac:dyDescent="0.3">
      <c r="B75" s="10" t="s">
        <v>33</v>
      </c>
      <c r="C75" s="46">
        <f t="shared" si="104"/>
        <v>1</v>
      </c>
      <c r="D75" s="46">
        <f t="shared" si="104"/>
        <v>1</v>
      </c>
      <c r="E75" s="46">
        <f t="shared" si="104"/>
        <v>0.82277176713034517</v>
      </c>
      <c r="F75" s="46">
        <f t="shared" ref="F75:I75" si="111">IFERROR(F69/F$68,0)</f>
        <v>0.68938083708059494</v>
      </c>
      <c r="G75" s="46">
        <f t="shared" si="111"/>
        <v>0.77663805735817459</v>
      </c>
      <c r="H75" s="46">
        <f t="shared" si="111"/>
        <v>0.85188509874326745</v>
      </c>
      <c r="I75" s="46">
        <f t="shared" si="111"/>
        <v>0.79339242546333599</v>
      </c>
      <c r="J75" s="46">
        <f t="shared" ref="J75" si="112">IFERROR(J69/J$68,0)</f>
        <v>0.86800247882668868</v>
      </c>
      <c r="K75" s="46">
        <f t="shared" ref="K75:L75" si="113">IFERROR(K69/K$68,0)</f>
        <v>0.85832625318606626</v>
      </c>
      <c r="L75" s="46">
        <f t="shared" si="113"/>
        <v>0.68796885386003226</v>
      </c>
      <c r="M75" s="46">
        <f t="shared" ref="M75:AS75" si="114">IFERROR(M69/M$68,0)</f>
        <v>0.71902895710864356</v>
      </c>
      <c r="N75" s="46">
        <f t="shared" si="114"/>
        <v>0.79049440043703911</v>
      </c>
      <c r="O75" s="46">
        <f t="shared" si="114"/>
        <v>0.7942846146444722</v>
      </c>
      <c r="P75" s="46">
        <f t="shared" si="114"/>
        <v>0</v>
      </c>
      <c r="Q75" s="46">
        <f t="shared" si="114"/>
        <v>0</v>
      </c>
      <c r="R75" s="46">
        <f t="shared" si="114"/>
        <v>0</v>
      </c>
      <c r="S75" s="46">
        <f t="shared" si="114"/>
        <v>0</v>
      </c>
      <c r="T75" s="46">
        <f t="shared" si="114"/>
        <v>0</v>
      </c>
      <c r="U75" s="46">
        <f t="shared" si="114"/>
        <v>0</v>
      </c>
      <c r="V75" s="46">
        <f t="shared" si="114"/>
        <v>0</v>
      </c>
      <c r="W75" s="46">
        <f t="shared" si="114"/>
        <v>0</v>
      </c>
      <c r="X75" s="46">
        <f t="shared" si="114"/>
        <v>0</v>
      </c>
      <c r="Y75" s="46">
        <f t="shared" si="114"/>
        <v>0</v>
      </c>
      <c r="Z75" s="46">
        <f t="shared" si="114"/>
        <v>0</v>
      </c>
      <c r="AA75" s="46">
        <f t="shared" si="114"/>
        <v>0</v>
      </c>
      <c r="AB75" s="46">
        <f t="shared" si="114"/>
        <v>0</v>
      </c>
      <c r="AC75" s="46">
        <f t="shared" si="114"/>
        <v>0</v>
      </c>
      <c r="AD75" s="46">
        <f t="shared" si="114"/>
        <v>0</v>
      </c>
      <c r="AE75" s="46">
        <f t="shared" si="114"/>
        <v>0</v>
      </c>
      <c r="AF75" s="46">
        <f t="shared" si="114"/>
        <v>0</v>
      </c>
      <c r="AG75" s="46">
        <f t="shared" si="114"/>
        <v>0</v>
      </c>
      <c r="AH75" s="46">
        <f t="shared" si="114"/>
        <v>0</v>
      </c>
      <c r="AI75" s="46">
        <f t="shared" si="114"/>
        <v>0</v>
      </c>
      <c r="AJ75" s="46">
        <f t="shared" si="114"/>
        <v>0</v>
      </c>
      <c r="AK75" s="46">
        <f t="shared" si="114"/>
        <v>0</v>
      </c>
      <c r="AL75" s="46">
        <f t="shared" si="114"/>
        <v>0</v>
      </c>
      <c r="AM75" s="46">
        <f t="shared" si="114"/>
        <v>0</v>
      </c>
      <c r="AN75" s="46">
        <f t="shared" si="114"/>
        <v>0</v>
      </c>
      <c r="AO75" s="46">
        <f t="shared" si="114"/>
        <v>0</v>
      </c>
      <c r="AP75" s="46">
        <f t="shared" si="114"/>
        <v>0</v>
      </c>
      <c r="AQ75" s="46">
        <f t="shared" si="114"/>
        <v>0</v>
      </c>
      <c r="AR75" s="46">
        <f t="shared" si="114"/>
        <v>0</v>
      </c>
      <c r="AS75" s="46">
        <f t="shared" si="114"/>
        <v>0</v>
      </c>
      <c r="AT75" s="1">
        <f t="shared" si="109"/>
        <v>4.7947388436118121E-3</v>
      </c>
      <c r="AU75" s="1">
        <f t="shared" si="110"/>
        <v>0.15453571798770693</v>
      </c>
      <c r="AV75" s="1">
        <f>IFERROR(HLOOKUP(LARGE($2:$2,1),$C$2:$XFD$210,ROW(AF73),FALSE)/HLOOKUP(SMALL($2:$2,1),$C$2:$XFD$210,ROW(AF73),FALSE)-1,"")</f>
        <v>0</v>
      </c>
      <c r="XET75" s="9" t="s">
        <v>19</v>
      </c>
      <c r="XEU75" s="9" t="s">
        <v>12</v>
      </c>
    </row>
    <row r="76" spans="2:48 16374:16375" ht="11.25" customHeight="1" outlineLevel="1" x14ac:dyDescent="0.3">
      <c r="B76" s="10" t="s">
        <v>34</v>
      </c>
      <c r="C76" s="46">
        <f t="shared" si="104"/>
        <v>0</v>
      </c>
      <c r="D76" s="46">
        <f t="shared" si="104"/>
        <v>0</v>
      </c>
      <c r="E76" s="46">
        <f t="shared" si="104"/>
        <v>0</v>
      </c>
      <c r="F76" s="46">
        <f t="shared" ref="F76:I76" si="115">IFERROR(F70/F$68,0)</f>
        <v>0</v>
      </c>
      <c r="G76" s="46">
        <f t="shared" si="115"/>
        <v>0</v>
      </c>
      <c r="H76" s="46">
        <f t="shared" si="115"/>
        <v>0</v>
      </c>
      <c r="I76" s="46">
        <f t="shared" si="115"/>
        <v>0</v>
      </c>
      <c r="J76" s="46">
        <f t="shared" ref="J76" si="116">IFERROR(J70/J$68,0)</f>
        <v>0</v>
      </c>
      <c r="K76" s="46">
        <f t="shared" ref="K76:L76" si="117">IFERROR(K70/K$68,0)</f>
        <v>0</v>
      </c>
      <c r="L76" s="46">
        <f t="shared" si="117"/>
        <v>0</v>
      </c>
      <c r="M76" s="46">
        <f t="shared" ref="M76:AS76" si="118">IFERROR(M70/M$68,0)</f>
        <v>0</v>
      </c>
      <c r="N76" s="46">
        <f t="shared" si="118"/>
        <v>0</v>
      </c>
      <c r="O76" s="46">
        <f t="shared" si="118"/>
        <v>0</v>
      </c>
      <c r="P76" s="46">
        <f t="shared" si="118"/>
        <v>0</v>
      </c>
      <c r="Q76" s="46">
        <f t="shared" si="118"/>
        <v>0</v>
      </c>
      <c r="R76" s="46">
        <f t="shared" si="118"/>
        <v>0</v>
      </c>
      <c r="S76" s="46">
        <f t="shared" si="118"/>
        <v>0</v>
      </c>
      <c r="T76" s="46">
        <f t="shared" si="118"/>
        <v>0</v>
      </c>
      <c r="U76" s="46">
        <f t="shared" si="118"/>
        <v>0</v>
      </c>
      <c r="V76" s="46">
        <f t="shared" si="118"/>
        <v>0</v>
      </c>
      <c r="W76" s="46">
        <f t="shared" si="118"/>
        <v>0</v>
      </c>
      <c r="X76" s="46">
        <f t="shared" si="118"/>
        <v>0</v>
      </c>
      <c r="Y76" s="46">
        <f t="shared" si="118"/>
        <v>0</v>
      </c>
      <c r="Z76" s="46">
        <f t="shared" si="118"/>
        <v>0</v>
      </c>
      <c r="AA76" s="46">
        <f t="shared" si="118"/>
        <v>0</v>
      </c>
      <c r="AB76" s="46">
        <f t="shared" si="118"/>
        <v>0</v>
      </c>
      <c r="AC76" s="46">
        <f t="shared" si="118"/>
        <v>0</v>
      </c>
      <c r="AD76" s="46">
        <f t="shared" si="118"/>
        <v>0</v>
      </c>
      <c r="AE76" s="46">
        <f t="shared" si="118"/>
        <v>0</v>
      </c>
      <c r="AF76" s="46">
        <f t="shared" si="118"/>
        <v>0</v>
      </c>
      <c r="AG76" s="46">
        <f t="shared" si="118"/>
        <v>0</v>
      </c>
      <c r="AH76" s="46">
        <f t="shared" si="118"/>
        <v>0</v>
      </c>
      <c r="AI76" s="46">
        <f t="shared" si="118"/>
        <v>0</v>
      </c>
      <c r="AJ76" s="46">
        <f t="shared" si="118"/>
        <v>0</v>
      </c>
      <c r="AK76" s="46">
        <f t="shared" si="118"/>
        <v>0</v>
      </c>
      <c r="AL76" s="46">
        <f t="shared" si="118"/>
        <v>0</v>
      </c>
      <c r="AM76" s="46">
        <f t="shared" si="118"/>
        <v>0</v>
      </c>
      <c r="AN76" s="46">
        <f t="shared" si="118"/>
        <v>0</v>
      </c>
      <c r="AO76" s="46">
        <f t="shared" si="118"/>
        <v>0</v>
      </c>
      <c r="AP76" s="46">
        <f t="shared" si="118"/>
        <v>0</v>
      </c>
      <c r="AQ76" s="46">
        <f t="shared" si="118"/>
        <v>0</v>
      </c>
      <c r="AR76" s="46">
        <f t="shared" si="118"/>
        <v>0</v>
      </c>
      <c r="AS76" s="46">
        <f t="shared" si="118"/>
        <v>0</v>
      </c>
      <c r="AT76" s="1" t="e">
        <f t="shared" si="109"/>
        <v>#DIV/0!</v>
      </c>
      <c r="AU76" s="1" t="e">
        <f t="shared" si="110"/>
        <v>#DIV/0!</v>
      </c>
      <c r="AV76" s="1" t="str">
        <f>IFERROR(HLOOKUP(LARGE($2:$2,1),$C$2:$XFD$210,ROW(AF75),FALSE)/HLOOKUP(SMALL($2:$2,1),$C$2:$XFD$210,ROW(AF75),FALSE)-1,"")</f>
        <v/>
      </c>
      <c r="XET76" s="9" t="s">
        <v>20</v>
      </c>
      <c r="XEU76" s="9" t="s">
        <v>11</v>
      </c>
    </row>
    <row r="77" spans="2:48 16374:16375" ht="11.25" customHeight="1" outlineLevel="1" x14ac:dyDescent="0.3">
      <c r="B77" s="10" t="s">
        <v>35</v>
      </c>
      <c r="C77" s="46">
        <f t="shared" si="104"/>
        <v>0</v>
      </c>
      <c r="D77" s="46">
        <f t="shared" si="104"/>
        <v>0</v>
      </c>
      <c r="E77" s="46">
        <f t="shared" si="104"/>
        <v>1.9577537351880475E-2</v>
      </c>
      <c r="F77" s="46">
        <f t="shared" ref="F77:I77" si="119">IFERROR(F71/F$68,0)</f>
        <v>0.12175717744725009</v>
      </c>
      <c r="G77" s="46">
        <f t="shared" si="119"/>
        <v>6.7615658362989328E-2</v>
      </c>
      <c r="H77" s="46">
        <f t="shared" si="119"/>
        <v>5.498204667863555E-2</v>
      </c>
      <c r="I77" s="46">
        <f t="shared" si="119"/>
        <v>7.4294923448831582E-2</v>
      </c>
      <c r="J77" s="46">
        <f t="shared" ref="J77" si="120">IFERROR(J71/J$68,0)</f>
        <v>4.978310266473869E-2</v>
      </c>
      <c r="K77" s="46">
        <f t="shared" ref="K77:L77" si="121">IFERROR(K71/K$68,0)</f>
        <v>4.8215802888700088E-2</v>
      </c>
      <c r="L77" s="46">
        <f t="shared" si="121"/>
        <v>0.11489887000284874</v>
      </c>
      <c r="M77" s="46">
        <f t="shared" ref="M77:AS77" si="122">IFERROR(M71/M$68,0)</f>
        <v>0.10091443500979752</v>
      </c>
      <c r="N77" s="46">
        <f t="shared" si="122"/>
        <v>7.5298188108895561E-2</v>
      </c>
      <c r="O77" s="46">
        <f t="shared" si="122"/>
        <v>7.2837486769941312E-2</v>
      </c>
      <c r="P77" s="46">
        <f t="shared" si="122"/>
        <v>0</v>
      </c>
      <c r="Q77" s="46">
        <f t="shared" si="122"/>
        <v>0</v>
      </c>
      <c r="R77" s="46">
        <f t="shared" si="122"/>
        <v>0</v>
      </c>
      <c r="S77" s="46">
        <f t="shared" si="122"/>
        <v>0</v>
      </c>
      <c r="T77" s="46">
        <f t="shared" si="122"/>
        <v>0</v>
      </c>
      <c r="U77" s="46">
        <f t="shared" si="122"/>
        <v>0</v>
      </c>
      <c r="V77" s="46">
        <f t="shared" si="122"/>
        <v>0</v>
      </c>
      <c r="W77" s="46">
        <f t="shared" si="122"/>
        <v>0</v>
      </c>
      <c r="X77" s="46">
        <f t="shared" si="122"/>
        <v>0</v>
      </c>
      <c r="Y77" s="46">
        <f t="shared" si="122"/>
        <v>0</v>
      </c>
      <c r="Z77" s="46">
        <f t="shared" si="122"/>
        <v>0</v>
      </c>
      <c r="AA77" s="46">
        <f t="shared" si="122"/>
        <v>0</v>
      </c>
      <c r="AB77" s="46">
        <f t="shared" si="122"/>
        <v>0</v>
      </c>
      <c r="AC77" s="46">
        <f t="shared" si="122"/>
        <v>0</v>
      </c>
      <c r="AD77" s="46">
        <f t="shared" si="122"/>
        <v>0</v>
      </c>
      <c r="AE77" s="46">
        <f t="shared" si="122"/>
        <v>0</v>
      </c>
      <c r="AF77" s="46">
        <f t="shared" si="122"/>
        <v>0</v>
      </c>
      <c r="AG77" s="46">
        <f t="shared" si="122"/>
        <v>0</v>
      </c>
      <c r="AH77" s="46">
        <f t="shared" si="122"/>
        <v>0</v>
      </c>
      <c r="AI77" s="46">
        <f t="shared" si="122"/>
        <v>0</v>
      </c>
      <c r="AJ77" s="46">
        <f t="shared" si="122"/>
        <v>0</v>
      </c>
      <c r="AK77" s="46">
        <f t="shared" si="122"/>
        <v>0</v>
      </c>
      <c r="AL77" s="46">
        <f t="shared" si="122"/>
        <v>0</v>
      </c>
      <c r="AM77" s="46">
        <f t="shared" si="122"/>
        <v>0</v>
      </c>
      <c r="AN77" s="46">
        <f t="shared" si="122"/>
        <v>0</v>
      </c>
      <c r="AO77" s="46">
        <f t="shared" si="122"/>
        <v>0</v>
      </c>
      <c r="AP77" s="46">
        <f t="shared" si="122"/>
        <v>0</v>
      </c>
      <c r="AQ77" s="46">
        <f t="shared" si="122"/>
        <v>0</v>
      </c>
      <c r="AR77" s="46">
        <f t="shared" si="122"/>
        <v>0</v>
      </c>
      <c r="AS77" s="46">
        <f t="shared" si="122"/>
        <v>0</v>
      </c>
      <c r="AT77" s="1">
        <f t="shared" si="109"/>
        <v>-3.267942298154114E-2</v>
      </c>
      <c r="AU77" s="1">
        <f t="shared" si="110"/>
        <v>-0.36607308002127936</v>
      </c>
      <c r="AV77" s="1">
        <f>IFERROR(HLOOKUP(LARGE($2:$2,1),$C$2:$XFD$210,ROW(AF76),FALSE)/HLOOKUP(SMALL($2:$2,1),$C$2:$XFD$210,ROW(AF76),FALSE)-1,"")</f>
        <v>0</v>
      </c>
      <c r="XET77" s="9" t="s">
        <v>21</v>
      </c>
      <c r="XEU77" s="9" t="s">
        <v>14</v>
      </c>
    </row>
    <row r="78" spans="2:48 16374:16375" ht="10.5" customHeight="1" outlineLevel="1" x14ac:dyDescent="0.3">
      <c r="B78" s="10" t="s">
        <v>36</v>
      </c>
      <c r="C78" s="46">
        <f t="shared" si="104"/>
        <v>0</v>
      </c>
      <c r="D78" s="46">
        <f t="shared" si="104"/>
        <v>0</v>
      </c>
      <c r="E78" s="46">
        <f t="shared" si="104"/>
        <v>0.15765069551777433</v>
      </c>
      <c r="F78" s="46">
        <f t="shared" ref="F78:I78" si="123">IFERROR(F72/F$68,0)</f>
        <v>0.18886198547215496</v>
      </c>
      <c r="G78" s="46">
        <f t="shared" si="123"/>
        <v>0.15574628427883608</v>
      </c>
      <c r="H78" s="46">
        <f t="shared" si="123"/>
        <v>9.3132854578096946E-2</v>
      </c>
      <c r="I78" s="46">
        <f t="shared" si="123"/>
        <v>0.13231265108783238</v>
      </c>
      <c r="J78" s="46">
        <f t="shared" ref="J78" si="124">IFERROR(J72/J$68,0)</f>
        <v>8.2214418508572612E-2</v>
      </c>
      <c r="K78" s="46">
        <f t="shared" ref="K78:L78" si="125">IFERROR(K72/K$68,0)</f>
        <v>9.3457943925233641E-2</v>
      </c>
      <c r="L78" s="46">
        <f t="shared" si="125"/>
        <v>0.19713227613711898</v>
      </c>
      <c r="M78" s="46">
        <f t="shared" ref="M78:AS78" si="126">IFERROR(M72/M$68,0)</f>
        <v>0.18005660788155889</v>
      </c>
      <c r="N78" s="46">
        <f t="shared" si="126"/>
        <v>0.13420741145406537</v>
      </c>
      <c r="O78" s="46">
        <f t="shared" si="126"/>
        <v>0.13287789858558646</v>
      </c>
      <c r="P78" s="46">
        <f t="shared" si="126"/>
        <v>0</v>
      </c>
      <c r="Q78" s="46">
        <f t="shared" si="126"/>
        <v>0</v>
      </c>
      <c r="R78" s="46">
        <f t="shared" si="126"/>
        <v>0</v>
      </c>
      <c r="S78" s="46">
        <f t="shared" si="126"/>
        <v>0</v>
      </c>
      <c r="T78" s="46">
        <f t="shared" si="126"/>
        <v>0</v>
      </c>
      <c r="U78" s="46">
        <f t="shared" si="126"/>
        <v>0</v>
      </c>
      <c r="V78" s="46">
        <f t="shared" si="126"/>
        <v>0</v>
      </c>
      <c r="W78" s="46">
        <f t="shared" si="126"/>
        <v>0</v>
      </c>
      <c r="X78" s="46">
        <f t="shared" si="126"/>
        <v>0</v>
      </c>
      <c r="Y78" s="46">
        <f t="shared" si="126"/>
        <v>0</v>
      </c>
      <c r="Z78" s="46">
        <f t="shared" si="126"/>
        <v>0</v>
      </c>
      <c r="AA78" s="46">
        <f t="shared" si="126"/>
        <v>0</v>
      </c>
      <c r="AB78" s="46">
        <f t="shared" si="126"/>
        <v>0</v>
      </c>
      <c r="AC78" s="46">
        <f t="shared" si="126"/>
        <v>0</v>
      </c>
      <c r="AD78" s="46">
        <f t="shared" si="126"/>
        <v>0</v>
      </c>
      <c r="AE78" s="46">
        <f t="shared" si="126"/>
        <v>0</v>
      </c>
      <c r="AF78" s="46">
        <f t="shared" si="126"/>
        <v>0</v>
      </c>
      <c r="AG78" s="46">
        <f t="shared" si="126"/>
        <v>0</v>
      </c>
      <c r="AH78" s="46">
        <f t="shared" si="126"/>
        <v>0</v>
      </c>
      <c r="AI78" s="46">
        <f t="shared" si="126"/>
        <v>0</v>
      </c>
      <c r="AJ78" s="46">
        <f t="shared" si="126"/>
        <v>0</v>
      </c>
      <c r="AK78" s="46">
        <f t="shared" si="126"/>
        <v>0</v>
      </c>
      <c r="AL78" s="46">
        <f t="shared" si="126"/>
        <v>0</v>
      </c>
      <c r="AM78" s="46">
        <f t="shared" si="126"/>
        <v>0</v>
      </c>
      <c r="AN78" s="46">
        <f t="shared" si="126"/>
        <v>0</v>
      </c>
      <c r="AO78" s="46">
        <f t="shared" si="126"/>
        <v>0</v>
      </c>
      <c r="AP78" s="46">
        <f t="shared" si="126"/>
        <v>0</v>
      </c>
      <c r="AQ78" s="46">
        <f t="shared" si="126"/>
        <v>0</v>
      </c>
      <c r="AR78" s="46">
        <f t="shared" si="126"/>
        <v>0</v>
      </c>
      <c r="AS78" s="46">
        <f t="shared" si="126"/>
        <v>0</v>
      </c>
      <c r="AT78" s="1">
        <f t="shared" si="109"/>
        <v>-9.9064042296498345E-3</v>
      </c>
      <c r="AU78" s="1">
        <f t="shared" si="110"/>
        <v>-0.32594549614411794</v>
      </c>
      <c r="AV78" s="1">
        <f>IFERROR(HLOOKUP(LARGE($2:$2,1),$C$2:$XFD$210,ROW(AF77),FALSE)/HLOOKUP(SMALL($2:$2,1),$C$2:$XFD$210,ROW(AF77),FALSE)-1,"")</f>
        <v>0</v>
      </c>
      <c r="XET78" s="9" t="s">
        <v>22</v>
      </c>
      <c r="XEU78" s="9" t="s">
        <v>15</v>
      </c>
    </row>
    <row r="79" spans="2:48 16374:16375" ht="3" customHeight="1" outlineLevel="1" x14ac:dyDescent="0.3">
      <c r="B79" s="9"/>
      <c r="C79" s="9"/>
      <c r="D79" s="9"/>
      <c r="E79" s="9"/>
      <c r="AT79" s="1"/>
      <c r="AU79" s="1"/>
      <c r="AV79" s="1"/>
    </row>
    <row r="80" spans="2:48 16374:16375" ht="11.25" customHeight="1" x14ac:dyDescent="0.3">
      <c r="B80" s="6" t="s">
        <v>37</v>
      </c>
      <c r="C80" s="42">
        <f t="shared" ref="C80:O80" si="127">IFERROR(SUM(C81:C91)-SUM(C86:C90),0)</f>
        <v>0</v>
      </c>
      <c r="D80" s="42">
        <f t="shared" si="127"/>
        <v>1264</v>
      </c>
      <c r="E80" s="42">
        <f t="shared" si="127"/>
        <v>3068</v>
      </c>
      <c r="F80" s="42">
        <f t="shared" si="127"/>
        <v>4869</v>
      </c>
      <c r="G80" s="42">
        <f t="shared" si="127"/>
        <v>4014</v>
      </c>
      <c r="H80" s="42">
        <f t="shared" si="127"/>
        <v>3313</v>
      </c>
      <c r="I80" s="42">
        <f t="shared" si="127"/>
        <v>4663</v>
      </c>
      <c r="J80" s="42">
        <f t="shared" si="127"/>
        <v>3730</v>
      </c>
      <c r="K80" s="42">
        <f t="shared" si="127"/>
        <v>3747</v>
      </c>
      <c r="L80" s="42">
        <f t="shared" si="127"/>
        <v>8180</v>
      </c>
      <c r="M80" s="42">
        <f t="shared" si="127"/>
        <v>7183</v>
      </c>
      <c r="N80" s="42">
        <f t="shared" si="127"/>
        <v>7949</v>
      </c>
      <c r="O80" s="42">
        <f t="shared" si="127"/>
        <v>7887</v>
      </c>
      <c r="AT80" s="1">
        <f t="shared" ref="AT80:AT91" si="128">O80/N80-1</f>
        <v>-7.7997232356271651E-3</v>
      </c>
      <c r="AU80" s="1">
        <f t="shared" ref="AU80:AU91" si="129">O80/L80-1</f>
        <v>-3.5819070904645423E-2</v>
      </c>
      <c r="AV80" s="1">
        <f>IFERROR(HLOOKUP(LARGE($2:$2,1),$C$2:$XFD$210,ROW(AF79),FALSE)/HLOOKUP(SMALL($2:$2,1),$C$2:$XFD$210,ROW(AF79),FALSE)-1,"")</f>
        <v>0</v>
      </c>
    </row>
    <row r="81" spans="2:48" x14ac:dyDescent="0.3">
      <c r="B81" s="7" t="s">
        <v>1</v>
      </c>
      <c r="C81" s="43">
        <f>IFERROR(GETPIVOTDATA("[Measures].[Sum of Registration]",'[1]Raw Data'!$A$3,"[Omniture].[Channel]","[Omniture].[Channel].&amp;["&amp;$B81&amp;"]","[Datekey].[YearMonth]","[Datekey].[YearMonth].&amp;["&amp;TEXT(C$2,"yyyy-aa-ggTss:dd:nn")&amp;"]"),0)</f>
        <v>0</v>
      </c>
      <c r="D81" s="43">
        <v>1177</v>
      </c>
      <c r="E81" s="43">
        <v>2298</v>
      </c>
      <c r="F81" s="43">
        <v>2888</v>
      </c>
      <c r="G81" s="43">
        <v>2846</v>
      </c>
      <c r="H81" s="43">
        <v>2596</v>
      </c>
      <c r="I81" s="43">
        <v>3144</v>
      </c>
      <c r="J81" s="43">
        <v>2959</v>
      </c>
      <c r="K81" s="43">
        <v>3044</v>
      </c>
      <c r="L81" s="43">
        <v>4665</v>
      </c>
      <c r="M81" s="43">
        <v>4479</v>
      </c>
      <c r="N81" s="43">
        <v>5527</v>
      </c>
      <c r="O81" s="43">
        <v>5669</v>
      </c>
      <c r="AT81" s="1">
        <f t="shared" si="128"/>
        <v>2.5692057173873684E-2</v>
      </c>
      <c r="AU81" s="1">
        <f t="shared" si="129"/>
        <v>0.2152197213290461</v>
      </c>
      <c r="AV81" s="1">
        <f t="shared" ref="AV81:AV110" si="130">IFERROR(HLOOKUP(LARGE($2:$2,1),$C$2:$XFD$210,ROW(AF80),FALSE)/HLOOKUP(SMALL($2:$2,1),$C$2:$XFD$210,ROW(AF80),FALSE)-1,"")</f>
        <v>0</v>
      </c>
    </row>
    <row r="82" spans="2:48" x14ac:dyDescent="0.3">
      <c r="B82" s="7" t="s">
        <v>2</v>
      </c>
      <c r="C82" s="43">
        <f>IFERROR(GETPIVOTDATA("[Measures].[Sum of Registration]",'[1]Raw Data'!$A$3,"[Omniture].[Channel]","[Omniture].[Channel].&amp;["&amp;$B82&amp;"]","[Datekey].[YearMonth]","[Datekey].[YearMonth].&amp;["&amp;TEXT(C$2,"yyyy-aa-ggTss:dd:nn")&amp;"]"),0)</f>
        <v>0</v>
      </c>
      <c r="D82" s="43">
        <v>3</v>
      </c>
      <c r="E82" s="43">
        <f>IFERROR(GETPIVOTDATA("[Measures].[Sum of Registration]",'[1]Raw Data'!$A$3,"[Omniture].[Channel]","[Omniture].[Channel].&amp;["&amp;$B82&amp;"]","[Datekey].[YearMonth]","[Datekey].[YearMonth].&amp;["&amp;TEXT(E$2,"yyyy-aa-ggTss:dd:nn")&amp;"]"),0)</f>
        <v>0</v>
      </c>
      <c r="F82" s="43">
        <v>2</v>
      </c>
      <c r="G82" s="43">
        <v>2</v>
      </c>
      <c r="H82" s="43">
        <v>0</v>
      </c>
      <c r="I82" s="43">
        <v>2</v>
      </c>
      <c r="J82" s="43">
        <v>0</v>
      </c>
      <c r="K82" s="43">
        <v>0</v>
      </c>
      <c r="L82" s="43">
        <v>9</v>
      </c>
      <c r="M82" s="43">
        <v>0</v>
      </c>
      <c r="N82" s="43">
        <v>0</v>
      </c>
      <c r="O82" s="43">
        <v>0</v>
      </c>
      <c r="AT82" s="1" t="e">
        <f t="shared" si="128"/>
        <v>#DIV/0!</v>
      </c>
      <c r="AU82" s="1">
        <f t="shared" si="129"/>
        <v>-1</v>
      </c>
      <c r="AV82" s="1">
        <f t="shared" si="130"/>
        <v>0</v>
      </c>
    </row>
    <row r="83" spans="2:48" x14ac:dyDescent="0.3">
      <c r="B83" s="7" t="s">
        <v>3</v>
      </c>
      <c r="C83" s="43">
        <f>IFERROR(GETPIVOTDATA("[Measures].[Sum of Registration]",'[1]Raw Data'!$A$3,"[Omniture].[Channel]","[Omniture].[Channel].&amp;["&amp;$B83&amp;"]","[Datekey].[YearMonth]","[Datekey].[YearMonth].&amp;["&amp;TEXT(C$2,"yyyy-aa-ggTss:dd:nn")&amp;"]"),0)</f>
        <v>0</v>
      </c>
      <c r="D83" s="43">
        <f>IFERROR(GETPIVOTDATA("[Measures].[Sum of Registration]",'[1]Raw Data'!$A$3,"[Omniture].[Channel]","[Omniture].[Channel].&amp;["&amp;$B83&amp;"]","[Datekey].[YearMonth]","[Datekey].[YearMonth].&amp;["&amp;TEXT(D$2,"yyyy-aa-ggTss:dd:nn")&amp;"]"),0)</f>
        <v>0</v>
      </c>
      <c r="E83" s="43">
        <v>9</v>
      </c>
      <c r="F83" s="43">
        <v>13</v>
      </c>
      <c r="G83" s="43">
        <v>17</v>
      </c>
      <c r="H83" s="43">
        <v>10</v>
      </c>
      <c r="I83" s="43">
        <v>56</v>
      </c>
      <c r="J83" s="43">
        <v>42</v>
      </c>
      <c r="K83" s="43">
        <v>3</v>
      </c>
      <c r="L83" s="43">
        <v>40</v>
      </c>
      <c r="M83" s="43">
        <v>31</v>
      </c>
      <c r="N83" s="43">
        <v>29</v>
      </c>
      <c r="O83" s="43">
        <v>17</v>
      </c>
      <c r="AT83" s="1">
        <f t="shared" si="128"/>
        <v>-0.41379310344827591</v>
      </c>
      <c r="AU83" s="1">
        <f t="shared" si="129"/>
        <v>-0.57499999999999996</v>
      </c>
      <c r="AV83" s="1">
        <f t="shared" si="130"/>
        <v>0</v>
      </c>
    </row>
    <row r="84" spans="2:48" x14ac:dyDescent="0.3">
      <c r="B84" s="7" t="s">
        <v>0</v>
      </c>
      <c r="C84" s="43">
        <f>IFERROR(GETPIVOTDATA("[Measures].[Sum of Registration]",'[1]Raw Data'!$A$3,"[Omniture].[Channel]","[Omniture].[Channel].&amp;["&amp;$B84&amp;"]","[Datekey].[YearMonth]","[Datekey].[YearMonth].&amp;["&amp;TEXT(C$2,"yyyy-aa-ggTss:dd:nn")&amp;"]"),0)</f>
        <v>0</v>
      </c>
      <c r="D84" s="43">
        <v>41</v>
      </c>
      <c r="E84" s="43">
        <v>39</v>
      </c>
      <c r="F84" s="43">
        <v>138</v>
      </c>
      <c r="G84" s="43">
        <v>65</v>
      </c>
      <c r="H84" s="43">
        <v>26</v>
      </c>
      <c r="I84" s="43">
        <v>138</v>
      </c>
      <c r="J84" s="43">
        <v>56</v>
      </c>
      <c r="K84" s="43">
        <v>24</v>
      </c>
      <c r="L84" s="43">
        <v>159</v>
      </c>
      <c r="M84" s="43">
        <v>69</v>
      </c>
      <c r="N84" s="43">
        <v>70</v>
      </c>
      <c r="O84" s="43">
        <v>37</v>
      </c>
      <c r="AT84" s="1">
        <f t="shared" si="128"/>
        <v>-0.47142857142857142</v>
      </c>
      <c r="AU84" s="1">
        <f t="shared" si="129"/>
        <v>-0.76729559748427678</v>
      </c>
      <c r="AV84" s="1">
        <f t="shared" si="130"/>
        <v>0</v>
      </c>
    </row>
    <row r="85" spans="2:48" x14ac:dyDescent="0.3">
      <c r="B85" s="7" t="s">
        <v>17</v>
      </c>
      <c r="C85" s="43">
        <f t="shared" ref="C85" si="131">IFERROR(SUM(C86:C90),0)</f>
        <v>0</v>
      </c>
      <c r="D85" s="43">
        <f t="shared" ref="D85" si="132">IFERROR(SUM(D86:D90),0)</f>
        <v>0</v>
      </c>
      <c r="E85" s="43">
        <v>688</v>
      </c>
      <c r="F85" s="43">
        <v>1796</v>
      </c>
      <c r="G85" s="43">
        <v>1067</v>
      </c>
      <c r="H85" s="43">
        <v>660</v>
      </c>
      <c r="I85" s="43">
        <v>1282</v>
      </c>
      <c r="J85" s="43">
        <v>639</v>
      </c>
      <c r="K85" s="43">
        <v>667</v>
      </c>
      <c r="L85" s="43">
        <v>3286</v>
      </c>
      <c r="M85" s="43">
        <v>2581</v>
      </c>
      <c r="N85" s="43">
        <f>N71+N72</f>
        <v>2301</v>
      </c>
      <c r="O85" s="43">
        <f>O71+O72</f>
        <v>2138</v>
      </c>
      <c r="AT85" s="1">
        <f t="shared" si="128"/>
        <v>-7.0838765754020039E-2</v>
      </c>
      <c r="AU85" s="1">
        <f t="shared" si="129"/>
        <v>-0.34936092513694461</v>
      </c>
      <c r="AV85" s="1">
        <f t="shared" si="130"/>
        <v>0</v>
      </c>
    </row>
    <row r="86" spans="2:48" x14ac:dyDescent="0.3">
      <c r="B86" s="8" t="s">
        <v>8</v>
      </c>
      <c r="C86" s="41"/>
      <c r="D86" s="41"/>
      <c r="E86" s="41"/>
      <c r="F86" s="41"/>
      <c r="G86" s="41"/>
      <c r="H86" s="41"/>
      <c r="I86" s="41"/>
      <c r="J86" s="41"/>
      <c r="K86" s="41"/>
      <c r="L86" s="65"/>
      <c r="M86" s="65"/>
      <c r="N86" s="65"/>
      <c r="O86" s="65"/>
      <c r="AT86" s="1" t="e">
        <f t="shared" si="128"/>
        <v>#DIV/0!</v>
      </c>
      <c r="AU86" s="1" t="e">
        <f t="shared" si="129"/>
        <v>#DIV/0!</v>
      </c>
      <c r="AV86" s="1" t="str">
        <f t="shared" si="130"/>
        <v/>
      </c>
    </row>
    <row r="87" spans="2:48" x14ac:dyDescent="0.3">
      <c r="B87" s="8" t="s">
        <v>7</v>
      </c>
      <c r="C87" s="41">
        <f t="shared" ref="C87:D87" si="133">IFERROR(C72*80%*C49/(C49+C52),0)</f>
        <v>0</v>
      </c>
      <c r="D87" s="41">
        <f t="shared" si="133"/>
        <v>0</v>
      </c>
      <c r="E87" s="41">
        <v>0</v>
      </c>
      <c r="F87" s="41">
        <v>0</v>
      </c>
      <c r="G87" s="41">
        <v>0</v>
      </c>
      <c r="H87" s="41">
        <v>0</v>
      </c>
      <c r="I87" s="41">
        <v>821</v>
      </c>
      <c r="J87" s="41">
        <v>398</v>
      </c>
      <c r="K87" s="41">
        <v>440</v>
      </c>
      <c r="L87" s="65">
        <v>290</v>
      </c>
      <c r="M87" s="65">
        <v>353</v>
      </c>
      <c r="N87" s="65">
        <v>299</v>
      </c>
      <c r="O87" s="81">
        <v>196</v>
      </c>
      <c r="AT87" s="1">
        <f t="shared" si="128"/>
        <v>-0.34448160535117056</v>
      </c>
      <c r="AU87" s="1">
        <f t="shared" si="129"/>
        <v>-0.32413793103448274</v>
      </c>
      <c r="AV87" s="1" t="str">
        <f t="shared" si="130"/>
        <v/>
      </c>
    </row>
    <row r="88" spans="2:48" x14ac:dyDescent="0.3">
      <c r="B88" s="8" t="s">
        <v>18</v>
      </c>
      <c r="C88" s="41"/>
      <c r="D88" s="41"/>
      <c r="E88" s="41"/>
      <c r="F88" s="41"/>
      <c r="G88" s="41"/>
      <c r="H88" s="41"/>
      <c r="I88" s="41"/>
      <c r="J88" s="41"/>
      <c r="K88" s="41"/>
      <c r="L88" s="65"/>
      <c r="M88" s="65"/>
      <c r="N88" s="65"/>
      <c r="O88" s="65"/>
      <c r="AT88" s="1" t="e">
        <f t="shared" si="128"/>
        <v>#DIV/0!</v>
      </c>
      <c r="AU88" s="1" t="e">
        <f t="shared" si="129"/>
        <v>#DIV/0!</v>
      </c>
      <c r="AV88" s="1" t="str">
        <f t="shared" si="130"/>
        <v/>
      </c>
    </row>
    <row r="89" spans="2:48" x14ac:dyDescent="0.3">
      <c r="B89" s="8" t="s">
        <v>6</v>
      </c>
      <c r="C89" s="41"/>
      <c r="D89" s="41"/>
      <c r="E89" s="41"/>
      <c r="F89" s="41"/>
      <c r="G89" s="41"/>
      <c r="H89" s="41"/>
      <c r="I89" s="41"/>
      <c r="J89" s="41"/>
      <c r="K89" s="41"/>
      <c r="L89" s="65"/>
      <c r="M89" s="65"/>
      <c r="N89" s="65"/>
      <c r="O89" s="65"/>
      <c r="AT89" s="1" t="e">
        <f t="shared" si="128"/>
        <v>#DIV/0!</v>
      </c>
      <c r="AU89" s="1" t="e">
        <f t="shared" si="129"/>
        <v>#DIV/0!</v>
      </c>
      <c r="AV89" s="1" t="str">
        <f t="shared" si="130"/>
        <v/>
      </c>
    </row>
    <row r="90" spans="2:48" x14ac:dyDescent="0.3">
      <c r="B90" s="8" t="s">
        <v>5</v>
      </c>
      <c r="C90" s="41"/>
      <c r="D90" s="41"/>
      <c r="E90" s="41"/>
      <c r="F90" s="41"/>
      <c r="G90" s="41"/>
      <c r="H90" s="41"/>
      <c r="I90" s="41"/>
      <c r="J90" s="41"/>
      <c r="K90" s="41"/>
      <c r="L90" s="65"/>
      <c r="M90" s="65"/>
      <c r="N90" s="65"/>
      <c r="O90" s="65"/>
      <c r="AT90" s="1" t="e">
        <f t="shared" si="128"/>
        <v>#DIV/0!</v>
      </c>
      <c r="AU90" s="1" t="e">
        <f t="shared" si="129"/>
        <v>#DIV/0!</v>
      </c>
      <c r="AV90" s="1" t="str">
        <f t="shared" si="130"/>
        <v/>
      </c>
    </row>
    <row r="91" spans="2:48" x14ac:dyDescent="0.3">
      <c r="B91" s="7" t="s">
        <v>4</v>
      </c>
      <c r="C91" s="43">
        <f>IFERROR(GETPIVOTDATA("[Measures].[Sum of Registration]",'[1]Raw Data'!$A$3,"[Omniture].[Channel]","[Omniture].[Channel].&amp;["&amp;$B91&amp;"]","[Datekey].[YearMonth]","[Datekey].[YearMonth].&amp;["&amp;TEXT(C$2,"yyyy-aa-ggTss:dd:nn")&amp;"]"),0)</f>
        <v>0</v>
      </c>
      <c r="D91" s="43">
        <v>43</v>
      </c>
      <c r="E91" s="43">
        <v>34</v>
      </c>
      <c r="F91" s="43">
        <v>32</v>
      </c>
      <c r="G91" s="43">
        <v>17</v>
      </c>
      <c r="H91" s="43">
        <v>21</v>
      </c>
      <c r="I91" s="43">
        <v>41</v>
      </c>
      <c r="J91" s="43">
        <v>34</v>
      </c>
      <c r="K91" s="43">
        <v>9</v>
      </c>
      <c r="L91" s="43">
        <v>21</v>
      </c>
      <c r="M91" s="43">
        <v>23</v>
      </c>
      <c r="N91" s="43">
        <v>22</v>
      </c>
      <c r="O91" s="43">
        <v>26</v>
      </c>
      <c r="AT91" s="1">
        <f t="shared" si="128"/>
        <v>0.18181818181818188</v>
      </c>
      <c r="AU91" s="1">
        <f t="shared" si="129"/>
        <v>0.23809523809523814</v>
      </c>
      <c r="AV91" s="1">
        <f t="shared" si="130"/>
        <v>0</v>
      </c>
    </row>
    <row r="92" spans="2:48" x14ac:dyDescent="0.3">
      <c r="B92" s="9"/>
      <c r="C92" s="9"/>
      <c r="D92" s="9"/>
      <c r="E92" s="9"/>
      <c r="AT92" s="1"/>
      <c r="AU92" s="1"/>
      <c r="AV92" s="1" t="str">
        <f t="shared" si="130"/>
        <v/>
      </c>
    </row>
    <row r="93" spans="2:48" x14ac:dyDescent="0.3">
      <c r="B93" s="6" t="s">
        <v>85</v>
      </c>
      <c r="C93" s="60" t="str">
        <f t="shared" ref="C93:AS93" si="134">IFERROR((C42)/C80,"")</f>
        <v/>
      </c>
      <c r="D93" s="60">
        <f t="shared" si="134"/>
        <v>7.0514161392405059</v>
      </c>
      <c r="E93" s="60">
        <f t="shared" si="134"/>
        <v>7.8107724902216429</v>
      </c>
      <c r="F93" s="60">
        <f t="shared" si="134"/>
        <v>9.5431690285479576</v>
      </c>
      <c r="G93" s="60">
        <f t="shared" si="134"/>
        <v>8.5105256601893355</v>
      </c>
      <c r="H93" s="60">
        <f t="shared" si="134"/>
        <v>7.3110413522487159</v>
      </c>
      <c r="I93" s="60">
        <f t="shared" si="134"/>
        <v>7.5696826077632426</v>
      </c>
      <c r="J93" s="60">
        <f t="shared" si="134"/>
        <v>8.7131715817694371</v>
      </c>
      <c r="K93" s="60">
        <f t="shared" ref="K93:N93" si="135">IFERROR((K42)/K80,"")</f>
        <v>7.903314651721379</v>
      </c>
      <c r="L93" s="60">
        <f t="shared" si="135"/>
        <v>5.2462921760391197</v>
      </c>
      <c r="M93" s="60">
        <f t="shared" si="135"/>
        <v>7.245795628567449</v>
      </c>
      <c r="N93" s="60">
        <f t="shared" si="135"/>
        <v>5.558936973204176</v>
      </c>
      <c r="O93" s="60">
        <f t="shared" ref="O93" si="136">IFERROR((O42)/O80,"")</f>
        <v>6.3185000633954616</v>
      </c>
      <c r="P93" s="60" t="str">
        <f t="shared" si="134"/>
        <v/>
      </c>
      <c r="Q93" s="60" t="str">
        <f t="shared" si="134"/>
        <v/>
      </c>
      <c r="R93" s="60" t="str">
        <f t="shared" si="134"/>
        <v/>
      </c>
      <c r="S93" s="60" t="str">
        <f t="shared" si="134"/>
        <v/>
      </c>
      <c r="T93" s="60" t="str">
        <f t="shared" si="134"/>
        <v/>
      </c>
      <c r="U93" s="60" t="str">
        <f t="shared" si="134"/>
        <v/>
      </c>
      <c r="V93" s="60" t="str">
        <f t="shared" si="134"/>
        <v/>
      </c>
      <c r="W93" s="60" t="str">
        <f t="shared" si="134"/>
        <v/>
      </c>
      <c r="X93" s="60" t="str">
        <f t="shared" si="134"/>
        <v/>
      </c>
      <c r="Y93" s="60" t="str">
        <f t="shared" si="134"/>
        <v/>
      </c>
      <c r="Z93" s="60" t="str">
        <f t="shared" si="134"/>
        <v/>
      </c>
      <c r="AA93" s="60" t="str">
        <f t="shared" si="134"/>
        <v/>
      </c>
      <c r="AB93" s="60" t="str">
        <f t="shared" si="134"/>
        <v/>
      </c>
      <c r="AC93" s="60" t="str">
        <f t="shared" si="134"/>
        <v/>
      </c>
      <c r="AD93" s="60" t="str">
        <f t="shared" si="134"/>
        <v/>
      </c>
      <c r="AE93" s="60" t="str">
        <f t="shared" si="134"/>
        <v/>
      </c>
      <c r="AF93" s="60" t="str">
        <f t="shared" si="134"/>
        <v/>
      </c>
      <c r="AG93" s="60" t="str">
        <f t="shared" si="134"/>
        <v/>
      </c>
      <c r="AH93" s="60" t="str">
        <f t="shared" si="134"/>
        <v/>
      </c>
      <c r="AI93" s="60" t="str">
        <f t="shared" si="134"/>
        <v/>
      </c>
      <c r="AJ93" s="60" t="str">
        <f t="shared" si="134"/>
        <v/>
      </c>
      <c r="AK93" s="60" t="str">
        <f t="shared" si="134"/>
        <v/>
      </c>
      <c r="AL93" s="60" t="str">
        <f t="shared" si="134"/>
        <v/>
      </c>
      <c r="AM93" s="60" t="str">
        <f t="shared" si="134"/>
        <v/>
      </c>
      <c r="AN93" s="60" t="str">
        <f t="shared" si="134"/>
        <v/>
      </c>
      <c r="AO93" s="60" t="str">
        <f t="shared" si="134"/>
        <v/>
      </c>
      <c r="AP93" s="60" t="str">
        <f t="shared" si="134"/>
        <v/>
      </c>
      <c r="AQ93" s="60" t="str">
        <f t="shared" si="134"/>
        <v/>
      </c>
      <c r="AR93" s="60" t="str">
        <f t="shared" si="134"/>
        <v/>
      </c>
      <c r="AS93" s="60" t="str">
        <f t="shared" si="134"/>
        <v/>
      </c>
      <c r="AT93" s="1">
        <f t="shared" ref="AT93:AT104" si="137">O93/N93-1</f>
        <v>0.13663819069232463</v>
      </c>
      <c r="AU93" s="1">
        <f t="shared" ref="AU93:AU104" si="138">O93/L93-1</f>
        <v>0.20437441365796061</v>
      </c>
      <c r="AV93" s="1">
        <f t="shared" si="130"/>
        <v>0</v>
      </c>
    </row>
    <row r="94" spans="2:48" x14ac:dyDescent="0.3">
      <c r="B94" s="7" t="s">
        <v>1</v>
      </c>
      <c r="C94" s="50">
        <f t="shared" ref="C94:E104" si="139">IFERROR(C43/C81,0)</f>
        <v>0</v>
      </c>
      <c r="D94" s="50">
        <f t="shared" si="139"/>
        <v>6.9569243840271877</v>
      </c>
      <c r="E94" s="50">
        <f t="shared" si="139"/>
        <v>8.2726501305483033</v>
      </c>
      <c r="F94" s="50">
        <f t="shared" ref="F94:I94" si="140">IFERROR(F43/F81,0)</f>
        <v>9.4498649584487531</v>
      </c>
      <c r="G94" s="50">
        <f t="shared" si="140"/>
        <v>8.709371047083625</v>
      </c>
      <c r="H94" s="50">
        <f t="shared" si="140"/>
        <v>8.5974499229583969</v>
      </c>
      <c r="I94" s="50">
        <f t="shared" si="140"/>
        <v>9.9800127226463111</v>
      </c>
      <c r="J94" s="50">
        <f t="shared" ref="J94:L94" si="141">IFERROR(J43/J81,0)</f>
        <v>9.7192362284555589</v>
      </c>
      <c r="K94" s="50">
        <f t="shared" si="141"/>
        <v>9.1456931668856765</v>
      </c>
      <c r="L94" s="50">
        <f t="shared" si="141"/>
        <v>7.3488038585208999</v>
      </c>
      <c r="M94" s="50">
        <f t="shared" ref="M94:N94" si="142">IFERROR(M43/M81,0)</f>
        <v>9.0056843045322612</v>
      </c>
      <c r="N94" s="50">
        <f t="shared" si="142"/>
        <v>6.9258639406549669</v>
      </c>
      <c r="O94" s="50">
        <f t="shared" ref="O94" si="143">IFERROR(O43/O81,0)</f>
        <v>8.031928029634857</v>
      </c>
      <c r="AT94" s="1">
        <f t="shared" si="137"/>
        <v>0.1597005223402197</v>
      </c>
      <c r="AU94" s="1">
        <f t="shared" si="138"/>
        <v>9.2957191981913878E-2</v>
      </c>
      <c r="AV94" s="1">
        <f t="shared" si="130"/>
        <v>0</v>
      </c>
    </row>
    <row r="95" spans="2:48" x14ac:dyDescent="0.3">
      <c r="B95" s="7" t="s">
        <v>2</v>
      </c>
      <c r="C95" s="50">
        <f t="shared" si="139"/>
        <v>0</v>
      </c>
      <c r="D95" s="50">
        <f t="shared" si="139"/>
        <v>47.473333333333329</v>
      </c>
      <c r="E95" s="50">
        <f t="shared" si="139"/>
        <v>0</v>
      </c>
      <c r="F95" s="50">
        <f t="shared" ref="F95:I95" si="144">IFERROR(F44/F82,0)</f>
        <v>703.505</v>
      </c>
      <c r="G95" s="50">
        <f t="shared" si="144"/>
        <v>211.4</v>
      </c>
      <c r="H95" s="50">
        <f t="shared" si="144"/>
        <v>0</v>
      </c>
      <c r="I95" s="50">
        <f t="shared" si="144"/>
        <v>505.95</v>
      </c>
      <c r="J95" s="50">
        <f t="shared" ref="J95:L95" si="145">IFERROR(J44/J82,0)</f>
        <v>0</v>
      </c>
      <c r="K95" s="50">
        <f t="shared" si="145"/>
        <v>0</v>
      </c>
      <c r="L95" s="50">
        <f t="shared" si="145"/>
        <v>14.087777777777779</v>
      </c>
      <c r="M95" s="50">
        <f t="shared" ref="M95:N95" si="146">IFERROR(M44/M82,0)</f>
        <v>0</v>
      </c>
      <c r="N95" s="50">
        <f t="shared" si="146"/>
        <v>0</v>
      </c>
      <c r="O95" s="50">
        <f t="shared" ref="O95" si="147">IFERROR(O44/O82,0)</f>
        <v>0</v>
      </c>
      <c r="AT95" s="1" t="e">
        <f t="shared" si="137"/>
        <v>#DIV/0!</v>
      </c>
      <c r="AU95" s="1">
        <f t="shared" si="138"/>
        <v>-1</v>
      </c>
      <c r="AV95" s="1">
        <f t="shared" si="130"/>
        <v>0</v>
      </c>
    </row>
    <row r="96" spans="2:48" x14ac:dyDescent="0.3">
      <c r="B96" s="7" t="s">
        <v>3</v>
      </c>
      <c r="C96" s="50">
        <f t="shared" si="139"/>
        <v>0</v>
      </c>
      <c r="D96" s="50">
        <f t="shared" si="139"/>
        <v>0</v>
      </c>
      <c r="E96" s="50">
        <f t="shared" si="139"/>
        <v>47.481111111111112</v>
      </c>
      <c r="F96" s="50">
        <f t="shared" ref="F96:I96" si="148">IFERROR(F45/F83,0)</f>
        <v>159.49076923076925</v>
      </c>
      <c r="G96" s="50">
        <f t="shared" si="148"/>
        <v>31.634117647058822</v>
      </c>
      <c r="H96" s="50">
        <f t="shared" si="148"/>
        <v>12.36</v>
      </c>
      <c r="I96" s="50">
        <f t="shared" si="148"/>
        <v>17.581964285714285</v>
      </c>
      <c r="J96" s="50">
        <f t="shared" ref="J96:L96" si="149">IFERROR(J45/J83,0)</f>
        <v>37.951190476190476</v>
      </c>
      <c r="K96" s="50">
        <f t="shared" si="149"/>
        <v>36.270000000000003</v>
      </c>
      <c r="L96" s="50">
        <f t="shared" si="149"/>
        <v>41.355249999999998</v>
      </c>
      <c r="M96" s="50">
        <f t="shared" ref="M96:N96" si="150">IFERROR(M45/M83,0)</f>
        <v>103.25225806451614</v>
      </c>
      <c r="N96" s="50">
        <f t="shared" si="150"/>
        <v>62.960344827586205</v>
      </c>
      <c r="O96" s="50">
        <f t="shared" ref="O96" si="151">IFERROR(O45/O83,0)</f>
        <v>107.29411764705883</v>
      </c>
      <c r="AT96" s="1">
        <f t="shared" si="137"/>
        <v>0.70415390736627104</v>
      </c>
      <c r="AU96" s="1">
        <f t="shared" si="138"/>
        <v>1.5944497408928449</v>
      </c>
      <c r="AV96" s="1">
        <f t="shared" si="130"/>
        <v>0</v>
      </c>
    </row>
    <row r="97" spans="2:51 16374:16375" ht="11.25" customHeight="1" outlineLevel="1" x14ac:dyDescent="0.3">
      <c r="B97" s="7" t="s">
        <v>0</v>
      </c>
      <c r="C97" s="50">
        <f t="shared" si="139"/>
        <v>0</v>
      </c>
      <c r="D97" s="50">
        <f t="shared" si="139"/>
        <v>11.100243902439026</v>
      </c>
      <c r="E97" s="50">
        <f t="shared" si="139"/>
        <v>15.024871794871796</v>
      </c>
      <c r="F97" s="50">
        <f t="shared" ref="F97:H97" si="152">IFERROR(F46/F84,0)</f>
        <v>21.268333333333334</v>
      </c>
      <c r="G97" s="50">
        <f t="shared" si="152"/>
        <v>22.164769230769231</v>
      </c>
      <c r="H97" s="50">
        <f t="shared" si="152"/>
        <v>8.3503846153846162</v>
      </c>
      <c r="I97" s="50">
        <f t="shared" ref="I97:J97" si="153">IFERROR(I46/I84,0)</f>
        <v>10.440507246376811</v>
      </c>
      <c r="J97" s="50">
        <f t="shared" si="153"/>
        <v>11.931428571428571</v>
      </c>
      <c r="K97" s="50">
        <f t="shared" ref="K97:L97" si="154">IFERROR(K46/K84,0)</f>
        <v>7.8054166666666669</v>
      </c>
      <c r="L97" s="50">
        <f t="shared" si="154"/>
        <v>8.1744025157232709</v>
      </c>
      <c r="M97" s="50">
        <f t="shared" ref="M97:N97" si="155">IFERROR(M46/M84,0)</f>
        <v>17.429130434782607</v>
      </c>
      <c r="N97" s="50">
        <f t="shared" si="155"/>
        <v>3.8928571428571428</v>
      </c>
      <c r="O97" s="50">
        <f t="shared" ref="O97" si="156">IFERROR(O46/O84,0)</f>
        <v>7.9729729729729728</v>
      </c>
      <c r="AT97" s="1">
        <f t="shared" si="137"/>
        <v>1.0481031490205801</v>
      </c>
      <c r="AU97" s="1">
        <f t="shared" si="138"/>
        <v>-2.4641500386462845E-2</v>
      </c>
      <c r="AV97" s="1">
        <f t="shared" si="130"/>
        <v>0</v>
      </c>
    </row>
    <row r="98" spans="2:51 16374:16375" ht="11.25" customHeight="1" outlineLevel="1" x14ac:dyDescent="0.3">
      <c r="B98" s="7" t="s">
        <v>17</v>
      </c>
      <c r="C98" s="50">
        <f t="shared" si="139"/>
        <v>0</v>
      </c>
      <c r="D98" s="50">
        <f t="shared" si="139"/>
        <v>0</v>
      </c>
      <c r="E98" s="50">
        <f t="shared" si="139"/>
        <v>5.2696220930232558</v>
      </c>
      <c r="F98" s="50">
        <f t="shared" ref="F98:H98" si="157">IFERROR(F47/F85,0)</f>
        <v>6.9287639198218267</v>
      </c>
      <c r="G98" s="50">
        <f t="shared" si="157"/>
        <v>6.5043486410496714</v>
      </c>
      <c r="H98" s="50">
        <f t="shared" si="157"/>
        <v>2.3016666666666667</v>
      </c>
      <c r="I98" s="50">
        <f t="shared" ref="I98:J98" si="158">IFERROR(I47/I85,0)</f>
        <v>0.3342745709828393</v>
      </c>
      <c r="J98" s="50">
        <f t="shared" si="158"/>
        <v>2.1887636932707353</v>
      </c>
      <c r="K98" s="50">
        <f t="shared" ref="K98:L98" si="159">IFERROR(K47/K85,0)</f>
        <v>2.161064467766117</v>
      </c>
      <c r="L98" s="50">
        <f t="shared" si="159"/>
        <v>1.6696652465003041</v>
      </c>
      <c r="M98" s="50">
        <f t="shared" ref="M98:N98" si="160">IFERROR(M47/M85,0)</f>
        <v>2.812274312282061</v>
      </c>
      <c r="N98" s="50">
        <f t="shared" si="160"/>
        <v>1.6283920034767494</v>
      </c>
      <c r="O98" s="50">
        <f t="shared" ref="O98" si="161">IFERROR(O47/O85,0)</f>
        <v>0.98196913002806352</v>
      </c>
      <c r="AT98" s="1">
        <f t="shared" si="137"/>
        <v>-0.39697006130496859</v>
      </c>
      <c r="AU98" s="1">
        <f t="shared" si="138"/>
        <v>-0.41187664288616155</v>
      </c>
      <c r="AV98" s="1">
        <f t="shared" si="130"/>
        <v>0</v>
      </c>
    </row>
    <row r="99" spans="2:51 16374:16375" ht="11.25" hidden="1" customHeight="1" outlineLevel="2" x14ac:dyDescent="0.3">
      <c r="B99" s="8" t="s">
        <v>8</v>
      </c>
      <c r="C99" s="50">
        <f t="shared" si="139"/>
        <v>0</v>
      </c>
      <c r="D99" s="50">
        <f t="shared" si="139"/>
        <v>0</v>
      </c>
      <c r="E99" s="50">
        <f t="shared" si="139"/>
        <v>0</v>
      </c>
      <c r="F99" s="50">
        <f t="shared" ref="F99" si="162">IFERROR(F48/F86,0)</f>
        <v>0</v>
      </c>
      <c r="AT99" s="1" t="e">
        <f t="shared" si="137"/>
        <v>#DIV/0!</v>
      </c>
      <c r="AU99" s="1" t="e">
        <f t="shared" si="138"/>
        <v>#DIV/0!</v>
      </c>
      <c r="AV99" s="1" t="str">
        <f t="shared" si="130"/>
        <v/>
      </c>
    </row>
    <row r="100" spans="2:51 16374:16375" ht="11.25" hidden="1" customHeight="1" outlineLevel="2" x14ac:dyDescent="0.3">
      <c r="B100" s="8" t="s">
        <v>7</v>
      </c>
      <c r="C100" s="50">
        <f t="shared" si="139"/>
        <v>0</v>
      </c>
      <c r="D100" s="50">
        <f t="shared" si="139"/>
        <v>0</v>
      </c>
      <c r="E100" s="50">
        <f t="shared" si="139"/>
        <v>0</v>
      </c>
      <c r="F100" s="50">
        <f t="shared" ref="F100" si="163">IFERROR(F49/F87,0)</f>
        <v>0</v>
      </c>
      <c r="AT100" s="1" t="e">
        <f t="shared" si="137"/>
        <v>#DIV/0!</v>
      </c>
      <c r="AU100" s="1" t="e">
        <f t="shared" si="138"/>
        <v>#DIV/0!</v>
      </c>
      <c r="AV100" s="1" t="str">
        <f t="shared" si="130"/>
        <v/>
      </c>
    </row>
    <row r="101" spans="2:51 16374:16375" ht="11.25" hidden="1" customHeight="1" outlineLevel="2" x14ac:dyDescent="0.3">
      <c r="B101" s="8" t="s">
        <v>18</v>
      </c>
      <c r="C101" s="50">
        <f t="shared" si="139"/>
        <v>0</v>
      </c>
      <c r="D101" s="50">
        <f t="shared" si="139"/>
        <v>0</v>
      </c>
      <c r="E101" s="50">
        <f t="shared" si="139"/>
        <v>0</v>
      </c>
      <c r="F101" s="50">
        <f t="shared" ref="F101" si="164">IFERROR(F50/F88,0)</f>
        <v>0</v>
      </c>
      <c r="AT101" s="1" t="e">
        <f t="shared" si="137"/>
        <v>#DIV/0!</v>
      </c>
      <c r="AU101" s="1" t="e">
        <f t="shared" si="138"/>
        <v>#DIV/0!</v>
      </c>
      <c r="AV101" s="1" t="str">
        <f t="shared" si="130"/>
        <v/>
      </c>
    </row>
    <row r="102" spans="2:51 16374:16375" ht="11.25" hidden="1" customHeight="1" outlineLevel="2" x14ac:dyDescent="0.3">
      <c r="B102" s="8" t="s">
        <v>6</v>
      </c>
      <c r="C102" s="50">
        <f t="shared" si="139"/>
        <v>0</v>
      </c>
      <c r="D102" s="50">
        <f t="shared" si="139"/>
        <v>0</v>
      </c>
      <c r="E102" s="50">
        <f t="shared" si="139"/>
        <v>0</v>
      </c>
      <c r="F102" s="50">
        <f t="shared" ref="F102" si="165">IFERROR(F51/F89,0)</f>
        <v>0</v>
      </c>
      <c r="AT102" s="1" t="e">
        <f t="shared" si="137"/>
        <v>#DIV/0!</v>
      </c>
      <c r="AU102" s="1" t="e">
        <f t="shared" si="138"/>
        <v>#DIV/0!</v>
      </c>
      <c r="AV102" s="1" t="str">
        <f t="shared" si="130"/>
        <v/>
      </c>
    </row>
    <row r="103" spans="2:51 16374:16375" ht="11.25" hidden="1" customHeight="1" outlineLevel="2" x14ac:dyDescent="0.3">
      <c r="B103" s="8" t="s">
        <v>5</v>
      </c>
      <c r="C103" s="50">
        <f t="shared" si="139"/>
        <v>0</v>
      </c>
      <c r="D103" s="50">
        <f t="shared" si="139"/>
        <v>0</v>
      </c>
      <c r="E103" s="50">
        <f t="shared" si="139"/>
        <v>0</v>
      </c>
      <c r="F103" s="50">
        <f t="shared" ref="F103" si="166">IFERROR(F52/F90,0)</f>
        <v>0</v>
      </c>
      <c r="AT103" s="1" t="e">
        <f t="shared" si="137"/>
        <v>#DIV/0!</v>
      </c>
      <c r="AU103" s="1" t="e">
        <f t="shared" si="138"/>
        <v>#DIV/0!</v>
      </c>
      <c r="AV103" s="1" t="str">
        <f t="shared" si="130"/>
        <v/>
      </c>
    </row>
    <row r="104" spans="2:51 16374:16375" ht="11.25" customHeight="1" outlineLevel="1" collapsed="1" x14ac:dyDescent="0.3">
      <c r="B104" s="7" t="s">
        <v>4</v>
      </c>
      <c r="C104" s="50">
        <f t="shared" si="139"/>
        <v>0</v>
      </c>
      <c r="D104" s="50">
        <f t="shared" si="139"/>
        <v>0</v>
      </c>
      <c r="E104" s="50">
        <f t="shared" si="139"/>
        <v>8.4411764705882355</v>
      </c>
      <c r="F104" s="50">
        <f t="shared" ref="F104:H104" si="167">IFERROR(F53/F91,0)</f>
        <v>9.84375</v>
      </c>
      <c r="G104" s="50">
        <f t="shared" si="167"/>
        <v>1.9382352941176473</v>
      </c>
      <c r="H104" s="50">
        <f t="shared" si="167"/>
        <v>2.0328571428571429</v>
      </c>
      <c r="I104" s="50">
        <f t="shared" ref="I104:J104" si="168">IFERROR(I53/I91,0)</f>
        <v>1.3280487804878049</v>
      </c>
      <c r="J104" s="50">
        <f t="shared" si="168"/>
        <v>2.3582352941176472</v>
      </c>
      <c r="K104" s="50">
        <f t="shared" ref="K104:L104" si="169">IFERROR(K53/K91,0)</f>
        <v>4.0733333333333333</v>
      </c>
      <c r="L104" s="50">
        <f t="shared" si="169"/>
        <v>3.1071428571428572</v>
      </c>
      <c r="M104" s="50">
        <f t="shared" ref="M104:N104" si="170">IFERROR(M53/M91,0)</f>
        <v>2.094782608695652</v>
      </c>
      <c r="N104" s="50">
        <f t="shared" si="170"/>
        <v>2.8845454545454547</v>
      </c>
      <c r="O104" s="50">
        <f>IFERROR(O53/O91,0)</f>
        <v>3.1753846153846155</v>
      </c>
      <c r="AT104" s="1">
        <f t="shared" si="137"/>
        <v>0.10082668670755646</v>
      </c>
      <c r="AU104" s="1">
        <f t="shared" si="138"/>
        <v>2.1962864721485342E-2</v>
      </c>
      <c r="AV104" s="1">
        <f t="shared" si="130"/>
        <v>0</v>
      </c>
      <c r="AY104" s="67"/>
    </row>
    <row r="105" spans="2:51 16374:16375" ht="3" customHeight="1" outlineLevel="1" collapsed="1" x14ac:dyDescent="0.3">
      <c r="B105" s="9"/>
      <c r="C105" s="9"/>
      <c r="D105" s="9"/>
      <c r="E105" s="9"/>
      <c r="AT105" s="1"/>
      <c r="AU105" s="1"/>
      <c r="AV105" s="1" t="str">
        <f t="shared" si="130"/>
        <v/>
      </c>
      <c r="AY105" s="67"/>
    </row>
    <row r="106" spans="2:51 16374:16375" ht="11.25" customHeight="1" outlineLevel="1" x14ac:dyDescent="0.3">
      <c r="B106" s="6" t="s">
        <v>38</v>
      </c>
      <c r="C106" s="42">
        <v>19957</v>
      </c>
      <c r="D106" s="42">
        <v>24452</v>
      </c>
      <c r="E106" s="42">
        <v>28252</v>
      </c>
      <c r="F106" s="42">
        <v>34191</v>
      </c>
      <c r="G106" s="42">
        <v>30308</v>
      </c>
      <c r="H106" s="42">
        <v>41333</v>
      </c>
      <c r="I106" s="42">
        <v>49890</v>
      </c>
      <c r="J106" s="42">
        <v>37559</v>
      </c>
      <c r="K106" s="42">
        <v>33118</v>
      </c>
      <c r="L106" s="42">
        <v>63127</v>
      </c>
      <c r="M106" s="42">
        <v>67292</v>
      </c>
      <c r="N106" s="42">
        <v>82836</v>
      </c>
      <c r="O106" s="42">
        <v>85673</v>
      </c>
      <c r="AT106" s="1">
        <f t="shared" ref="AT106:AT107" si="171">O106/N106-1</f>
        <v>3.4248394417885963E-2</v>
      </c>
      <c r="AU106" s="1">
        <f t="shared" ref="AU106:AU107" si="172">O106/L106-1</f>
        <v>0.35715304069574039</v>
      </c>
      <c r="AV106" s="1">
        <f t="shared" si="130"/>
        <v>0</v>
      </c>
    </row>
    <row r="107" spans="2:51 16374:16375" ht="11.25" customHeight="1" outlineLevel="1" x14ac:dyDescent="0.3">
      <c r="B107" s="10" t="s">
        <v>39</v>
      </c>
      <c r="C107" s="42">
        <v>19957</v>
      </c>
      <c r="D107" s="42">
        <v>24452</v>
      </c>
      <c r="E107" s="42">
        <v>27857</v>
      </c>
      <c r="F107" s="42">
        <v>32255</v>
      </c>
      <c r="G107" s="42">
        <v>27641</v>
      </c>
      <c r="H107" s="42">
        <v>37410</v>
      </c>
      <c r="I107" s="42">
        <v>44697</v>
      </c>
      <c r="J107" s="42">
        <v>32394</v>
      </c>
      <c r="K107" s="42">
        <v>28054</v>
      </c>
      <c r="L107" s="42">
        <v>53089</v>
      </c>
      <c r="M107" s="42">
        <v>55625</v>
      </c>
      <c r="N107" s="42">
        <v>67290</v>
      </c>
      <c r="O107" s="42">
        <f>O106-O109-O110</f>
        <v>67553</v>
      </c>
      <c r="AT107" s="1">
        <f t="shared" si="171"/>
        <v>3.9084559369890748E-3</v>
      </c>
      <c r="AU107" s="1">
        <f t="shared" si="172"/>
        <v>0.27244815310139581</v>
      </c>
      <c r="AV107" s="1">
        <f t="shared" si="130"/>
        <v>0</v>
      </c>
      <c r="AY107" s="67"/>
      <c r="XET107" s="9" t="s">
        <v>23</v>
      </c>
      <c r="XEU107" s="9" t="s">
        <v>12</v>
      </c>
    </row>
    <row r="108" spans="2:51 16374:16375" ht="11.25" customHeight="1" outlineLevel="1" x14ac:dyDescent="0.3">
      <c r="B108" s="10" t="s">
        <v>40</v>
      </c>
      <c r="C108" s="42">
        <f>IFERROR(GETPIVOTDATA("[Measures].[Sum of Order Count]",'[1]Raw Data'!$P$3,"[Order].[YearMonth]","[Order].[YearMonth].&amp;["&amp;TEXT(C$2,"yyyy-aa-ggTss:dd:nn")&amp;"]","[Order].[Order Channel]","[Order].[Order Channel].&amp;["&amp;$XEU108&amp;"]"),0)</f>
        <v>0</v>
      </c>
      <c r="D108" s="42">
        <f>IFERROR(GETPIVOTDATA("[Measures].[Sum of Order Count]",'[1]Raw Data'!$P$3,"[Order].[YearMonth]","[Order].[YearMonth].&amp;["&amp;TEXT(D$2,"yyyy-aa-ggTss:dd:nn")&amp;"]","[Order].[Order Channel]","[Order].[Order Channel].&amp;["&amp;$XEU108&amp;"]"),0)</f>
        <v>0</v>
      </c>
      <c r="E108" s="42">
        <f>IFERROR(GETPIVOTDATA("[Measures].[Sum of Order Count]",'[1]Raw Data'!$P$3,"[Order].[YearMonth]","[Order].[YearMonth].&amp;["&amp;TEXT(E$2,"yyyy-aa-ggTss:dd:nn")&amp;"]","[Order].[Order Channel]","[Order].[Order Channel].&amp;["&amp;$XEU108&amp;"]"),0)</f>
        <v>0</v>
      </c>
      <c r="F108" s="42">
        <f>IFERROR(GETPIVOTDATA("[Measures].[Sum of Order Count]",'[1]Raw Data'!$P$3,"[Order].[YearMonth]","[Order].[YearMonth].&amp;["&amp;TEXT(F$2,"yyyy-aa-ggTss:dd:nn")&amp;"]","[Order].[Order Channel]","[Order].[Order Channel].&amp;["&amp;$XEU108&amp;"]"),0)</f>
        <v>0</v>
      </c>
      <c r="G108" s="42">
        <f>IFERROR(GETPIVOTDATA("[Measures].[Sum of Order Count]",'[1]Raw Data'!$P$3,"[Order].[YearMonth]","[Order].[YearMonth].&amp;["&amp;TEXT(G$2,"yyyy-aa-ggTss:dd:nn")&amp;"]","[Order].[Order Channel]","[Order].[Order Channel].&amp;["&amp;$XEU108&amp;"]"),0)</f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/>
      <c r="AT108" s="1">
        <v>0</v>
      </c>
      <c r="AU108" s="1">
        <v>0</v>
      </c>
      <c r="AV108" s="1" t="str">
        <f t="shared" si="130"/>
        <v/>
      </c>
      <c r="XET108" s="9" t="s">
        <v>24</v>
      </c>
      <c r="XEU108" s="9" t="s">
        <v>11</v>
      </c>
    </row>
    <row r="109" spans="2:51 16374:16375" ht="11.25" customHeight="1" outlineLevel="1" x14ac:dyDescent="0.3">
      <c r="B109" s="10" t="s">
        <v>41</v>
      </c>
      <c r="C109" s="42">
        <f>IFERROR(GETPIVOTDATA("[Measures].[Sum of Order Count]",'[1]Raw Data'!$P$3,"[Order].[YearMonth]","[Order].[YearMonth].&amp;["&amp;TEXT(C$2,"yyyy-aa-ggTss:dd:nn")&amp;"]","[Order].[Order Channel]","[Order].[Order Channel].&amp;["&amp;$XEU109&amp;"]"),0)</f>
        <v>0</v>
      </c>
      <c r="D109" s="42">
        <f>IFERROR(GETPIVOTDATA("[Measures].[Sum of Order Count]",'[1]Raw Data'!$P$3,"[Order].[YearMonth]","[Order].[YearMonth].&amp;["&amp;TEXT(D$2,"yyyy-aa-ggTss:dd:nn")&amp;"]","[Order].[Order Channel]","[Order].[Order Channel].&amp;["&amp;$XEU109&amp;"]"),0)</f>
        <v>0</v>
      </c>
      <c r="E109" s="42">
        <v>95</v>
      </c>
      <c r="F109" s="42">
        <v>727</v>
      </c>
      <c r="G109" s="42">
        <v>1099</v>
      </c>
      <c r="H109" s="42">
        <v>1445</v>
      </c>
      <c r="I109" s="42">
        <v>2007</v>
      </c>
      <c r="J109" s="42">
        <v>1980</v>
      </c>
      <c r="K109" s="42">
        <v>1868</v>
      </c>
      <c r="L109" s="42">
        <v>3638</v>
      </c>
      <c r="M109" s="42">
        <v>4459</v>
      </c>
      <c r="N109" s="42">
        <v>5804</v>
      </c>
      <c r="O109" s="42">
        <v>6918</v>
      </c>
      <c r="AT109" s="1">
        <f t="shared" ref="AT109" si="173">O109/N109-1</f>
        <v>0.19193659545141273</v>
      </c>
      <c r="AU109" s="1">
        <f t="shared" ref="AU109" si="174">O109/L109-1</f>
        <v>0.90159428257284224</v>
      </c>
      <c r="AV109" s="1">
        <f t="shared" si="130"/>
        <v>0</v>
      </c>
      <c r="XET109" s="9" t="s">
        <v>25</v>
      </c>
      <c r="XEU109" s="9" t="s">
        <v>10</v>
      </c>
    </row>
    <row r="110" spans="2:51 16374:16375" ht="11.25" customHeight="1" outlineLevel="1" x14ac:dyDescent="0.3">
      <c r="B110" s="10" t="s">
        <v>42</v>
      </c>
      <c r="C110" s="42">
        <f>IFERROR(GETPIVOTDATA("[Measures].[Sum of Order Count]",'[1]Raw Data'!$P$3,"[Order].[YearMonth]","[Order].[YearMonth].&amp;["&amp;TEXT(C$2,"yyyy-aa-ggTss:dd:nn")&amp;"]","[Order].[Order Channel]","[Order].[Order Channel].&amp;["&amp;$XEU110&amp;"]"),0)</f>
        <v>0</v>
      </c>
      <c r="D110" s="42">
        <f>IFERROR(GETPIVOTDATA("[Measures].[Sum of Order Count]",'[1]Raw Data'!$P$3,"[Order].[YearMonth]","[Order].[YearMonth].&amp;["&amp;TEXT(D$2,"yyyy-aa-ggTss:dd:nn")&amp;"]","[Order].[Order Channel]","[Order].[Order Channel].&amp;["&amp;$XEU110&amp;"]"),0)</f>
        <v>0</v>
      </c>
      <c r="E110" s="42">
        <v>300</v>
      </c>
      <c r="F110" s="42">
        <v>1209</v>
      </c>
      <c r="G110" s="42">
        <v>1568</v>
      </c>
      <c r="H110" s="42">
        <v>2478</v>
      </c>
      <c r="I110" s="42">
        <v>3186</v>
      </c>
      <c r="J110" s="42">
        <v>3185</v>
      </c>
      <c r="K110" s="42">
        <v>3196</v>
      </c>
      <c r="L110" s="42">
        <v>6400</v>
      </c>
      <c r="M110" s="42">
        <v>7208</v>
      </c>
      <c r="N110" s="42">
        <v>9742</v>
      </c>
      <c r="O110" s="42">
        <v>11202</v>
      </c>
      <c r="AT110" s="1">
        <f t="shared" ref="AT110" si="175">O110/N110-1</f>
        <v>0.1498665571751181</v>
      </c>
      <c r="AU110" s="1">
        <f t="shared" ref="AU110" si="176">O110/L110-1</f>
        <v>0.75031249999999994</v>
      </c>
      <c r="AV110" s="1">
        <f t="shared" si="130"/>
        <v>0</v>
      </c>
      <c r="XET110" s="9" t="s">
        <v>26</v>
      </c>
      <c r="XEU110" s="9" t="s">
        <v>28</v>
      </c>
    </row>
    <row r="111" spans="2:51 16374:16375" ht="1.5" customHeight="1" outlineLevel="1" x14ac:dyDescent="0.3">
      <c r="B111" s="9"/>
      <c r="C111" s="9"/>
      <c r="D111" s="9"/>
      <c r="E111" s="9"/>
      <c r="AT111" s="1"/>
      <c r="AU111" s="1"/>
      <c r="AV111" s="1" t="str">
        <f>IFERROR(HLOOKUP(LARGE($2:$2,1),$C$2:$XFD$210,ROW(AF104),FALSE)/HLOOKUP(SMALL($2:$2,1),$C$2:$XFD$210,ROW(AF104),FALSE)-1,"")</f>
        <v/>
      </c>
    </row>
    <row r="112" spans="2:51 16374:16375" ht="11.25" customHeight="1" outlineLevel="1" x14ac:dyDescent="0.3">
      <c r="B112" s="48" t="s">
        <v>81</v>
      </c>
      <c r="C112" s="46">
        <f t="shared" ref="C112:E116" si="177">IFERROR(C106/C$106,0)</f>
        <v>1</v>
      </c>
      <c r="D112" s="46">
        <f t="shared" si="177"/>
        <v>1</v>
      </c>
      <c r="E112" s="46">
        <f t="shared" si="177"/>
        <v>1</v>
      </c>
      <c r="F112" s="46">
        <f t="shared" ref="F112:H112" si="178">IFERROR(F106/F$106,0)</f>
        <v>1</v>
      </c>
      <c r="G112" s="46">
        <f t="shared" si="178"/>
        <v>1</v>
      </c>
      <c r="H112" s="46">
        <f t="shared" si="178"/>
        <v>1</v>
      </c>
      <c r="I112" s="46">
        <f t="shared" ref="I112:J112" si="179">IFERROR(I106/I$106,0)</f>
        <v>1</v>
      </c>
      <c r="J112" s="46">
        <f t="shared" si="179"/>
        <v>1</v>
      </c>
      <c r="K112" s="46">
        <f t="shared" ref="K112:L112" si="180">IFERROR(K106/K$106,0)</f>
        <v>1</v>
      </c>
      <c r="L112" s="46">
        <f t="shared" si="180"/>
        <v>1</v>
      </c>
      <c r="M112" s="46">
        <f t="shared" ref="M112:N112" si="181">IFERROR(M106/M$106,0)</f>
        <v>1</v>
      </c>
      <c r="N112" s="46">
        <f t="shared" si="181"/>
        <v>1</v>
      </c>
      <c r="O112" s="46">
        <f t="shared" ref="O112" si="182">IFERROR(O106/O$106,0)</f>
        <v>1</v>
      </c>
      <c r="AT112" s="1">
        <f t="shared" ref="AT112:AT116" si="183">O112/N112-1</f>
        <v>0</v>
      </c>
      <c r="AU112" s="1">
        <f t="shared" ref="AU112:AU116" si="184">O112/L112-1</f>
        <v>0</v>
      </c>
      <c r="AV112" s="1" t="str">
        <f>IFERROR(HLOOKUP(LARGE($2:$2,1),$C$2:$XFD$210,ROW(AF110),FALSE)/HLOOKUP(SMALL($2:$2,1),$C$2:$XFD$210,ROW(AF110),FALSE)-1,"")</f>
        <v/>
      </c>
      <c r="XET112" s="9" t="s">
        <v>23</v>
      </c>
      <c r="XEU112" s="9" t="s">
        <v>12</v>
      </c>
    </row>
    <row r="113" spans="2:48 16374:16375" ht="11.25" customHeight="1" outlineLevel="1" x14ac:dyDescent="0.3">
      <c r="B113" s="10" t="s">
        <v>39</v>
      </c>
      <c r="C113" s="46">
        <f t="shared" si="177"/>
        <v>1</v>
      </c>
      <c r="D113" s="46">
        <f t="shared" si="177"/>
        <v>1</v>
      </c>
      <c r="E113" s="46">
        <f t="shared" si="177"/>
        <v>0.98601868894237577</v>
      </c>
      <c r="F113" s="46">
        <f t="shared" ref="F113:H113" si="185">IFERROR(F107/F$106,0)</f>
        <v>0.94337691205287943</v>
      </c>
      <c r="G113" s="46">
        <f t="shared" si="185"/>
        <v>0.91200343143724427</v>
      </c>
      <c r="H113" s="46">
        <f t="shared" si="185"/>
        <v>0.90508794425761496</v>
      </c>
      <c r="I113" s="46">
        <f t="shared" ref="I113:J113" si="186">IFERROR(I107/I$106,0)</f>
        <v>0.8959110042092604</v>
      </c>
      <c r="J113" s="46">
        <f t="shared" si="186"/>
        <v>0.86248302670465138</v>
      </c>
      <c r="K113" s="46">
        <f t="shared" ref="K113:L113" si="187">IFERROR(K107/K$106,0)</f>
        <v>0.84709221571350923</v>
      </c>
      <c r="L113" s="46">
        <f t="shared" si="187"/>
        <v>0.84098721624661399</v>
      </c>
      <c r="M113" s="46">
        <f t="shared" ref="M113:N113" si="188">IFERROR(M107/M$106,0)</f>
        <v>0.82662129227842829</v>
      </c>
      <c r="N113" s="46">
        <f t="shared" si="188"/>
        <v>0.81232797334492246</v>
      </c>
      <c r="O113" s="46">
        <f t="shared" ref="O113" si="189">IFERROR(O107/O$106,0)</f>
        <v>0.78849812659764451</v>
      </c>
      <c r="AT113" s="1">
        <f t="shared" si="183"/>
        <v>-2.9335253160313823E-2</v>
      </c>
      <c r="AU113" s="1">
        <f t="shared" si="184"/>
        <v>-6.2413659369558561E-2</v>
      </c>
      <c r="AV113" s="1">
        <f>IFERROR(HLOOKUP(LARGE($2:$2,1),$C$2:$XFD$210,ROW(AF111),FALSE)/HLOOKUP(SMALL($2:$2,1),$C$2:$XFD$210,ROW(AF111),FALSE)-1,"")</f>
        <v>0</v>
      </c>
      <c r="XET113" s="9" t="s">
        <v>23</v>
      </c>
      <c r="XEU113" s="9" t="s">
        <v>12</v>
      </c>
    </row>
    <row r="114" spans="2:48 16374:16375" ht="11.25" customHeight="1" outlineLevel="1" x14ac:dyDescent="0.3">
      <c r="B114" s="10" t="s">
        <v>40</v>
      </c>
      <c r="C114" s="46">
        <f t="shared" ref="C114:E116" si="190">IFERROR(C108/C$106,0)</f>
        <v>0</v>
      </c>
      <c r="D114" s="46">
        <f t="shared" si="177"/>
        <v>0</v>
      </c>
      <c r="E114" s="46">
        <f t="shared" si="190"/>
        <v>0</v>
      </c>
      <c r="F114" s="46">
        <f t="shared" ref="F114:H114" si="191">IFERROR(F108/F$106,0)</f>
        <v>0</v>
      </c>
      <c r="G114" s="46">
        <f t="shared" si="191"/>
        <v>0</v>
      </c>
      <c r="H114" s="46">
        <f t="shared" si="191"/>
        <v>0</v>
      </c>
      <c r="I114" s="46">
        <f t="shared" ref="I114:J114" si="192">IFERROR(I108/I$106,0)</f>
        <v>0</v>
      </c>
      <c r="J114" s="46">
        <f t="shared" si="192"/>
        <v>0</v>
      </c>
      <c r="K114" s="46">
        <f t="shared" ref="K114:L114" si="193">IFERROR(K108/K$106,0)</f>
        <v>0</v>
      </c>
      <c r="L114" s="46">
        <f t="shared" si="193"/>
        <v>0</v>
      </c>
      <c r="M114" s="46">
        <f t="shared" ref="M114:N114" si="194">IFERROR(M108/M$106,0)</f>
        <v>0</v>
      </c>
      <c r="N114" s="46">
        <f t="shared" si="194"/>
        <v>0</v>
      </c>
      <c r="O114" s="46">
        <f t="shared" ref="O114" si="195">IFERROR(O108/O$106,0)</f>
        <v>0</v>
      </c>
      <c r="AT114" s="1" t="e">
        <f t="shared" si="183"/>
        <v>#DIV/0!</v>
      </c>
      <c r="AU114" s="1" t="e">
        <f t="shared" si="184"/>
        <v>#DIV/0!</v>
      </c>
      <c r="AV114" s="1" t="str">
        <f>IFERROR(HLOOKUP(LARGE($2:$2,1),$C$2:$XFD$210,ROW(AF113),FALSE)/HLOOKUP(SMALL($2:$2,1),$C$2:$XFD$210,ROW(AF113),FALSE)-1,"")</f>
        <v/>
      </c>
      <c r="XET114" s="9" t="s">
        <v>24</v>
      </c>
      <c r="XEU114" s="9" t="s">
        <v>11</v>
      </c>
    </row>
    <row r="115" spans="2:48 16374:16375" ht="11.25" customHeight="1" outlineLevel="1" x14ac:dyDescent="0.3">
      <c r="B115" s="10" t="s">
        <v>41</v>
      </c>
      <c r="C115" s="46">
        <f t="shared" si="190"/>
        <v>0</v>
      </c>
      <c r="D115" s="46">
        <f t="shared" si="177"/>
        <v>0</v>
      </c>
      <c r="E115" s="46">
        <f t="shared" si="190"/>
        <v>3.3625937986691209E-3</v>
      </c>
      <c r="F115" s="46">
        <f t="shared" ref="F115:H115" si="196">IFERROR(F109/F$106,0)</f>
        <v>2.1262905442952822E-2</v>
      </c>
      <c r="G115" s="46">
        <f t="shared" si="196"/>
        <v>3.6261053187277285E-2</v>
      </c>
      <c r="H115" s="46">
        <f t="shared" si="196"/>
        <v>3.4959959354510926E-2</v>
      </c>
      <c r="I115" s="46">
        <f t="shared" ref="I115:J115" si="197">IFERROR(I109/I$106,0)</f>
        <v>4.0228502705953094E-2</v>
      </c>
      <c r="J115" s="46">
        <f t="shared" si="197"/>
        <v>5.2717058494635108E-2</v>
      </c>
      <c r="K115" s="46">
        <f t="shared" ref="K115:L115" si="198">IFERROR(K109/K$106,0)</f>
        <v>5.6404372244700768E-2</v>
      </c>
      <c r="L115" s="46">
        <f t="shared" si="198"/>
        <v>5.7629857271848814E-2</v>
      </c>
      <c r="M115" s="46">
        <f t="shared" ref="M115:N115" si="199">IFERROR(M109/M$106,0)</f>
        <v>6.6263448849788978E-2</v>
      </c>
      <c r="N115" s="46">
        <f t="shared" si="199"/>
        <v>7.0066154811917525E-2</v>
      </c>
      <c r="O115" s="46">
        <f t="shared" ref="O115" si="200">IFERROR(O109/O$106,0)</f>
        <v>8.0748894050634387E-2</v>
      </c>
      <c r="AT115" s="1">
        <f t="shared" si="183"/>
        <v>0.15246646925884733</v>
      </c>
      <c r="AU115" s="1">
        <f t="shared" si="184"/>
        <v>0.40116422065266533</v>
      </c>
      <c r="AV115" s="1">
        <f>IFERROR(HLOOKUP(LARGE($2:$2,1),$C$2:$XFD$210,ROW(AF114),FALSE)/HLOOKUP(SMALL($2:$2,1),$C$2:$XFD$210,ROW(AF114),FALSE)-1,"")</f>
        <v>0</v>
      </c>
      <c r="XET115" s="9" t="s">
        <v>25</v>
      </c>
      <c r="XEU115" s="9" t="s">
        <v>10</v>
      </c>
    </row>
    <row r="116" spans="2:48 16374:16375" ht="11.25" customHeight="1" outlineLevel="1" x14ac:dyDescent="0.3">
      <c r="B116" s="10" t="s">
        <v>42</v>
      </c>
      <c r="C116" s="46">
        <f t="shared" si="190"/>
        <v>0</v>
      </c>
      <c r="D116" s="46">
        <f t="shared" si="177"/>
        <v>0</v>
      </c>
      <c r="E116" s="46">
        <f t="shared" si="190"/>
        <v>1.0618717258955118E-2</v>
      </c>
      <c r="F116" s="46">
        <f t="shared" ref="F116:H116" si="201">IFERROR(F110/F$106,0)</f>
        <v>3.536018250416776E-2</v>
      </c>
      <c r="G116" s="46">
        <f t="shared" si="201"/>
        <v>5.1735515375478422E-2</v>
      </c>
      <c r="H116" s="46">
        <f t="shared" si="201"/>
        <v>5.9952096387874097E-2</v>
      </c>
      <c r="I116" s="46">
        <f t="shared" ref="I116:J116" si="202">IFERROR(I110/I$106,0)</f>
        <v>6.3860493084786529E-2</v>
      </c>
      <c r="J116" s="46">
        <f t="shared" si="202"/>
        <v>8.4799914800713541E-2</v>
      </c>
      <c r="K116" s="46">
        <f t="shared" ref="K116:L116" si="203">IFERROR(K110/K$106,0)</f>
        <v>9.6503412041789957E-2</v>
      </c>
      <c r="L116" s="46">
        <f t="shared" si="203"/>
        <v>0.10138292648153722</v>
      </c>
      <c r="M116" s="46">
        <f t="shared" ref="M116:N116" si="204">IFERROR(M110/M$106,0)</f>
        <v>0.10711525887178268</v>
      </c>
      <c r="N116" s="46">
        <f t="shared" si="204"/>
        <v>0.11760587184315997</v>
      </c>
      <c r="O116" s="46">
        <f t="shared" ref="O116" si="205">IFERROR(O110/O$106,0)</f>
        <v>0.13075297935172109</v>
      </c>
      <c r="AT116" s="1">
        <f t="shared" si="183"/>
        <v>0.11178955015183423</v>
      </c>
      <c r="AU116" s="1">
        <f t="shared" si="184"/>
        <v>0.28969426992751512</v>
      </c>
      <c r="AV116" s="1">
        <f>IFERROR(HLOOKUP(LARGE($2:$2,1),$C$2:$XFD$210,ROW(AF115),FALSE)/HLOOKUP(SMALL($2:$2,1),$C$2:$XFD$210,ROW(AF115),FALSE)-1,"")</f>
        <v>0</v>
      </c>
      <c r="XET116" s="9" t="s">
        <v>26</v>
      </c>
      <c r="XEU116" s="9" t="s">
        <v>28</v>
      </c>
    </row>
    <row r="117" spans="2:48 16374:16375" ht="3" customHeight="1" x14ac:dyDescent="0.3">
      <c r="B117" s="9"/>
      <c r="C117" s="9"/>
      <c r="D117" s="9"/>
      <c r="E117" s="9"/>
      <c r="AT117" s="1"/>
      <c r="AU117" s="1"/>
      <c r="AV117" s="1"/>
    </row>
    <row r="118" spans="2:48 16374:16375" ht="11.25" customHeight="1" x14ac:dyDescent="0.3">
      <c r="B118" s="6" t="s">
        <v>43</v>
      </c>
      <c r="C118" s="42">
        <f t="shared" ref="C118" si="206">IFERROR(SUM(C119:C129)-SUM(C124:C128),0)</f>
        <v>3023</v>
      </c>
      <c r="D118" s="42">
        <f t="shared" ref="D118:E118" si="207">IFERROR(SUM(D119:D129)-SUM(D124:D128),0)</f>
        <v>3345</v>
      </c>
      <c r="E118" s="42">
        <f t="shared" si="207"/>
        <v>5581</v>
      </c>
      <c r="F118" s="42">
        <v>8401</v>
      </c>
      <c r="G118" s="42">
        <v>8581</v>
      </c>
      <c r="H118" s="42">
        <v>10430</v>
      </c>
      <c r="I118" s="42">
        <v>13196</v>
      </c>
      <c r="J118" s="42">
        <v>11602</v>
      </c>
      <c r="K118" s="42">
        <v>11930</v>
      </c>
      <c r="L118" s="42">
        <v>20918</v>
      </c>
      <c r="M118" s="42">
        <v>23247</v>
      </c>
      <c r="N118" s="42">
        <v>29542</v>
      </c>
      <c r="O118" s="42">
        <v>33580</v>
      </c>
      <c r="AT118" s="1">
        <f t="shared" ref="AT118:AT129" si="208">O118/N118-1</f>
        <v>0.13668675106627859</v>
      </c>
      <c r="AU118" s="1">
        <f t="shared" ref="AU118:AU129" si="209">O118/L118-1</f>
        <v>0.60531599579309692</v>
      </c>
      <c r="AV118" s="1">
        <f>IFERROR(HLOOKUP(LARGE($2:$2,1),$C$2:$XFD$210,ROW(AF117),FALSE)/HLOOKUP(SMALL($2:$2,1),$C$2:$XFD$210,ROW(AF117),FALSE)-1,"")</f>
        <v>0</v>
      </c>
    </row>
    <row r="119" spans="2:48 16374:16375" ht="11.25" customHeight="1" outlineLevel="1" x14ac:dyDescent="0.3">
      <c r="B119" s="7" t="s">
        <v>1</v>
      </c>
      <c r="C119" s="43">
        <v>3022</v>
      </c>
      <c r="D119" s="43">
        <v>3341</v>
      </c>
      <c r="E119" s="43">
        <v>5088</v>
      </c>
      <c r="F119" s="43">
        <v>6228</v>
      </c>
      <c r="G119" s="43">
        <v>5794</v>
      </c>
      <c r="H119" s="43">
        <v>6414</v>
      </c>
      <c r="I119" s="43">
        <v>7811</v>
      </c>
      <c r="J119" s="43">
        <v>6384</v>
      </c>
      <c r="K119" s="43">
        <v>6839</v>
      </c>
      <c r="L119" s="43">
        <v>10765</v>
      </c>
      <c r="M119" s="43">
        <v>11475</v>
      </c>
      <c r="N119" s="43">
        <v>13874</v>
      </c>
      <c r="O119" s="43">
        <v>15307</v>
      </c>
      <c r="AT119" s="1">
        <f t="shared" si="208"/>
        <v>0.10328672336744993</v>
      </c>
      <c r="AU119" s="1">
        <f t="shared" si="209"/>
        <v>0.42192289828146778</v>
      </c>
      <c r="AV119" s="1">
        <f>IFERROR(HLOOKUP(LARGE($2:$2,1),$C$2:$XFD$210,ROW(AF118),FALSE)/HLOOKUP(SMALL($2:$2,1),$C$2:$XFD$210,ROW(AF118),FALSE)-1,"")</f>
        <v>0</v>
      </c>
    </row>
    <row r="120" spans="2:48 16374:16375" ht="11.25" customHeight="1" outlineLevel="1" x14ac:dyDescent="0.3">
      <c r="B120" s="7" t="s">
        <v>2</v>
      </c>
      <c r="C120" s="43">
        <v>1</v>
      </c>
      <c r="D120" s="43">
        <v>4</v>
      </c>
      <c r="E120" s="43">
        <v>2</v>
      </c>
      <c r="F120" s="43">
        <v>1</v>
      </c>
      <c r="G120" s="43">
        <v>2</v>
      </c>
      <c r="H120" s="43">
        <v>0</v>
      </c>
      <c r="I120" s="43">
        <v>0</v>
      </c>
      <c r="J120" s="43">
        <v>0</v>
      </c>
      <c r="K120" s="43">
        <v>0</v>
      </c>
      <c r="L120" s="43">
        <v>4</v>
      </c>
      <c r="M120" s="43">
        <v>0</v>
      </c>
      <c r="N120" s="43">
        <v>0</v>
      </c>
      <c r="O120" s="77">
        <v>0</v>
      </c>
      <c r="AT120" s="1" t="e">
        <f t="shared" si="208"/>
        <v>#DIV/0!</v>
      </c>
      <c r="AU120" s="1">
        <f t="shared" si="209"/>
        <v>-1</v>
      </c>
      <c r="AV120" s="1">
        <f>IFERROR(HLOOKUP(LARGE($2:$2,1),$C$2:$XFD$210,ROW(AF119),FALSE)/HLOOKUP(SMALL($2:$2,1),$C$2:$XFD$210,ROW(AF119),FALSE)-1,"")</f>
        <v>0</v>
      </c>
    </row>
    <row r="121" spans="2:48 16374:16375" ht="11.25" customHeight="1" outlineLevel="1" x14ac:dyDescent="0.3">
      <c r="B121" s="7" t="s">
        <v>3</v>
      </c>
      <c r="C121" s="43">
        <f>IFERROR(GETPIVOTDATA("[Measures].[Sum of Orders]",'[1]Raw Data'!$A$3,"[Omniture].[Channel]","[Omniture].[Channel].&amp;["&amp;$B121&amp;"]","[Datekey].[YearMonth]","[Datekey].[YearMonth].&amp;["&amp;TEXT(C$2,"yyyy-aa-ggTss:dd:nn")&amp;"]"),0)</f>
        <v>0</v>
      </c>
      <c r="D121" s="43">
        <f>IFERROR(GETPIVOTDATA("[Measures].[Sum of Orders]",'[1]Raw Data'!$A$3,"[Omniture].[Channel]","[Omniture].[Channel].&amp;["&amp;$B121&amp;"]","[Datekey].[YearMonth]","[Datekey].[YearMonth].&amp;["&amp;TEXT(D$2,"yyyy-aa-ggTss:dd:nn")&amp;"]"),0)</f>
        <v>0</v>
      </c>
      <c r="E121" s="43">
        <v>25</v>
      </c>
      <c r="F121" s="43">
        <v>112</v>
      </c>
      <c r="G121" s="43">
        <v>17</v>
      </c>
      <c r="H121" s="43">
        <v>5</v>
      </c>
      <c r="I121" s="43">
        <v>32</v>
      </c>
      <c r="J121" s="43">
        <v>16</v>
      </c>
      <c r="K121" s="43">
        <v>5</v>
      </c>
      <c r="L121" s="43">
        <v>21</v>
      </c>
      <c r="M121" s="43">
        <v>12</v>
      </c>
      <c r="N121" s="43">
        <v>27</v>
      </c>
      <c r="O121" s="43">
        <v>26</v>
      </c>
      <c r="AT121" s="1">
        <f t="shared" si="208"/>
        <v>-3.703703703703709E-2</v>
      </c>
      <c r="AU121" s="1">
        <f t="shared" si="209"/>
        <v>0.23809523809523814</v>
      </c>
      <c r="AV121" s="1">
        <f>IFERROR(HLOOKUP(LARGE($2:$2,1),$C$2:$XFD$210,ROW(AF120),FALSE)/HLOOKUP(SMALL($2:$2,1),$C$2:$XFD$210,ROW(AF120),FALSE)-1,"")</f>
        <v>0</v>
      </c>
    </row>
    <row r="122" spans="2:48 16374:16375" ht="11.25" customHeight="1" outlineLevel="1" x14ac:dyDescent="0.3">
      <c r="B122" s="7" t="s">
        <v>0</v>
      </c>
      <c r="C122" s="43">
        <f>IFERROR(GETPIVOTDATA("[Measures].[Sum of Orders]",'[1]Raw Data'!$A$3,"[Omniture].[Channel]","[Omniture].[Channel].&amp;["&amp;$B122&amp;"]","[Datekey].[YearMonth]","[Datekey].[YearMonth].&amp;["&amp;TEXT(C$2,"yyyy-aa-ggTss:dd:nn")&amp;"]"),0)</f>
        <v>0</v>
      </c>
      <c r="D122" s="43">
        <f>IFERROR(GETPIVOTDATA("[Measures].[Sum of Orders]",'[1]Raw Data'!$A$3,"[Omniture].[Channel]","[Omniture].[Channel].&amp;["&amp;$B122&amp;"]","[Datekey].[YearMonth]","[Datekey].[YearMonth].&amp;["&amp;TEXT(D$2,"yyyy-aa-ggTss:dd:nn")&amp;"]"),0)</f>
        <v>0</v>
      </c>
      <c r="E122" s="17">
        <v>30</v>
      </c>
      <c r="F122" s="43">
        <v>79</v>
      </c>
      <c r="G122" s="43">
        <v>48</v>
      </c>
      <c r="H122" s="43">
        <v>29</v>
      </c>
      <c r="I122" s="43">
        <v>90</v>
      </c>
      <c r="J122" s="43">
        <v>37</v>
      </c>
      <c r="K122" s="43">
        <v>22</v>
      </c>
      <c r="L122" s="43">
        <v>90</v>
      </c>
      <c r="M122" s="43">
        <v>40</v>
      </c>
      <c r="N122" s="43">
        <v>45</v>
      </c>
      <c r="O122" s="43">
        <v>45</v>
      </c>
      <c r="AT122" s="1">
        <f t="shared" si="208"/>
        <v>0</v>
      </c>
      <c r="AU122" s="1">
        <f t="shared" si="209"/>
        <v>-0.5</v>
      </c>
      <c r="AV122" s="1">
        <f>IFERROR(HLOOKUP(LARGE($2:$2,1),$C$2:$XFD$210,ROW(AF121),FALSE)/HLOOKUP(SMALL($2:$2,1),$C$2:$XFD$210,ROW(AF121),FALSE)-1,"")</f>
        <v>0</v>
      </c>
    </row>
    <row r="123" spans="2:48 16374:16375" ht="11.25" customHeight="1" outlineLevel="1" x14ac:dyDescent="0.3">
      <c r="B123" s="7" t="s">
        <v>17</v>
      </c>
      <c r="C123" s="43">
        <f t="shared" ref="C123" si="210">IFERROR(SUM(C124:C128),0)</f>
        <v>0</v>
      </c>
      <c r="D123" s="43">
        <f t="shared" ref="D123" si="211">IFERROR(SUM(D124:D128),0)</f>
        <v>0</v>
      </c>
      <c r="E123" s="17">
        <v>395</v>
      </c>
      <c r="F123" s="43">
        <v>1936</v>
      </c>
      <c r="G123" s="43">
        <v>2667</v>
      </c>
      <c r="H123" s="43">
        <v>3923</v>
      </c>
      <c r="I123" s="43">
        <v>5193</v>
      </c>
      <c r="J123" s="43">
        <v>5165</v>
      </c>
      <c r="K123" s="43">
        <v>5064</v>
      </c>
      <c r="L123" s="43">
        <v>10038</v>
      </c>
      <c r="M123" s="43">
        <v>11667</v>
      </c>
      <c r="N123" s="43">
        <v>15546</v>
      </c>
      <c r="O123" s="43">
        <v>18129</v>
      </c>
      <c r="AT123" s="1">
        <f t="shared" si="208"/>
        <v>0.16615206483983025</v>
      </c>
      <c r="AU123" s="1">
        <f t="shared" si="209"/>
        <v>0.80603705917513446</v>
      </c>
      <c r="AV123" s="1">
        <f>IFERROR(HLOOKUP(LARGE($2:$2,1),$C$2:$XFD$210,ROW(AF122),FALSE)/HLOOKUP(SMALL($2:$2,1),$C$2:$XFD$210,ROW(AF122),FALSE)-1,"")</f>
        <v>0</v>
      </c>
    </row>
    <row r="124" spans="2:48 16374:16375" ht="11.25" customHeight="1" outlineLevel="2" x14ac:dyDescent="0.3">
      <c r="B124" s="8" t="s">
        <v>8</v>
      </c>
      <c r="C124" s="41">
        <f t="shared" ref="C124:E125" si="212">IFERROR(C109*20%*50%*C48/(C48+C51),0)</f>
        <v>0</v>
      </c>
      <c r="D124" s="41">
        <f t="shared" si="212"/>
        <v>0</v>
      </c>
      <c r="E124" s="65">
        <f t="shared" si="212"/>
        <v>7.3908519435009143</v>
      </c>
      <c r="F124" s="41">
        <f t="shared" ref="F124:H124" si="213">IFERROR(F109*20%*50%*F48/(F48+F51),0)</f>
        <v>19.471121241119629</v>
      </c>
      <c r="G124" s="41">
        <f t="shared" si="213"/>
        <v>23.64066226739207</v>
      </c>
      <c r="H124" s="41">
        <f t="shared" si="213"/>
        <v>144.5</v>
      </c>
      <c r="I124" s="41">
        <f t="shared" ref="I124:J124" si="214">IFERROR(I109*20%*50%*I48/(I48+I51),0)</f>
        <v>200.70000000000002</v>
      </c>
      <c r="J124" s="41">
        <f t="shared" si="214"/>
        <v>198</v>
      </c>
      <c r="K124" s="65">
        <f t="shared" ref="K124:AS124" si="215">IFERROR(K109*20%*50%*K48/(K48+K51),0)</f>
        <v>181.70051066673034</v>
      </c>
      <c r="L124" s="65">
        <f t="shared" si="215"/>
        <v>25.182503715837054</v>
      </c>
      <c r="M124" s="65">
        <f t="shared" si="215"/>
        <v>42.629484060178115</v>
      </c>
      <c r="N124" s="65">
        <f t="shared" si="215"/>
        <v>137.04368847294398</v>
      </c>
      <c r="O124" s="65">
        <f t="shared" ref="O124" si="216">IFERROR(O109*20%*50%*O48/(O48+O51),0)</f>
        <v>234.74767468869612</v>
      </c>
      <c r="P124" s="65">
        <f t="shared" si="215"/>
        <v>0</v>
      </c>
      <c r="Q124" s="65">
        <f t="shared" si="215"/>
        <v>0</v>
      </c>
      <c r="R124" s="65">
        <f t="shared" si="215"/>
        <v>0</v>
      </c>
      <c r="S124" s="65">
        <f t="shared" si="215"/>
        <v>0</v>
      </c>
      <c r="T124" s="65">
        <f t="shared" si="215"/>
        <v>0</v>
      </c>
      <c r="U124" s="65">
        <f t="shared" si="215"/>
        <v>0</v>
      </c>
      <c r="V124" s="65">
        <f t="shared" si="215"/>
        <v>0</v>
      </c>
      <c r="W124" s="65">
        <f t="shared" si="215"/>
        <v>0</v>
      </c>
      <c r="X124" s="65">
        <f t="shared" si="215"/>
        <v>0</v>
      </c>
      <c r="Y124" s="65">
        <f t="shared" si="215"/>
        <v>0</v>
      </c>
      <c r="Z124" s="65">
        <f t="shared" si="215"/>
        <v>0</v>
      </c>
      <c r="AA124" s="65">
        <f t="shared" si="215"/>
        <v>0</v>
      </c>
      <c r="AB124" s="65">
        <f t="shared" si="215"/>
        <v>0</v>
      </c>
      <c r="AC124" s="65">
        <f t="shared" si="215"/>
        <v>0</v>
      </c>
      <c r="AD124" s="65">
        <f t="shared" si="215"/>
        <v>0</v>
      </c>
      <c r="AE124" s="65">
        <f t="shared" si="215"/>
        <v>0</v>
      </c>
      <c r="AF124" s="65">
        <f t="shared" si="215"/>
        <v>0</v>
      </c>
      <c r="AG124" s="65">
        <f t="shared" si="215"/>
        <v>0</v>
      </c>
      <c r="AH124" s="65">
        <f t="shared" si="215"/>
        <v>0</v>
      </c>
      <c r="AI124" s="65">
        <f t="shared" si="215"/>
        <v>0</v>
      </c>
      <c r="AJ124" s="65">
        <f t="shared" si="215"/>
        <v>0</v>
      </c>
      <c r="AK124" s="65">
        <f t="shared" si="215"/>
        <v>0</v>
      </c>
      <c r="AL124" s="65">
        <f t="shared" si="215"/>
        <v>0</v>
      </c>
      <c r="AM124" s="65">
        <f t="shared" si="215"/>
        <v>0</v>
      </c>
      <c r="AN124" s="65">
        <f t="shared" si="215"/>
        <v>0</v>
      </c>
      <c r="AO124" s="65">
        <f t="shared" si="215"/>
        <v>0</v>
      </c>
      <c r="AP124" s="65">
        <f t="shared" si="215"/>
        <v>0</v>
      </c>
      <c r="AQ124" s="65">
        <f t="shared" si="215"/>
        <v>0</v>
      </c>
      <c r="AR124" s="65">
        <f t="shared" si="215"/>
        <v>0</v>
      </c>
      <c r="AS124" s="65">
        <f t="shared" si="215"/>
        <v>0</v>
      </c>
      <c r="AT124" s="1">
        <f t="shared" si="208"/>
        <v>0.71294043019749487</v>
      </c>
      <c r="AU124" s="1">
        <f t="shared" si="209"/>
        <v>8.3218560528223158</v>
      </c>
      <c r="AV124" s="1">
        <f>IFERROR(HLOOKUP(LARGE($2:$2,1),$C$2:$XFD$210,ROW(AF123),FALSE)/HLOOKUP(SMALL($2:$2,1),$C$2:$XFD$210,ROW(AF123),FALSE)-1,"")</f>
        <v>0</v>
      </c>
    </row>
    <row r="125" spans="2:48 16374:16375" ht="11.25" customHeight="1" outlineLevel="2" x14ac:dyDescent="0.3">
      <c r="B125" s="8" t="s">
        <v>7</v>
      </c>
      <c r="C125" s="41">
        <f t="shared" si="212"/>
        <v>0</v>
      </c>
      <c r="D125" s="41">
        <f t="shared" si="212"/>
        <v>0</v>
      </c>
      <c r="E125" s="65">
        <f t="shared" si="212"/>
        <v>15.566495342653628</v>
      </c>
      <c r="F125" s="41">
        <f t="shared" ref="F125:H125" si="217">IFERROR(F110*20%*50%*F49/(F49+F52),0)</f>
        <v>59.814180031400831</v>
      </c>
      <c r="G125" s="41">
        <f t="shared" si="217"/>
        <v>80.738084311123131</v>
      </c>
      <c r="H125" s="41">
        <f t="shared" si="217"/>
        <v>247.8</v>
      </c>
      <c r="I125" s="41">
        <f t="shared" ref="I125:J125" si="218">IFERROR(I110*20%*50%*I49/(I49+I52),0)</f>
        <v>318.60000000000002</v>
      </c>
      <c r="J125" s="41">
        <f t="shared" si="218"/>
        <v>318.5</v>
      </c>
      <c r="K125" s="65">
        <f t="shared" ref="K125:N125" si="219">IFERROR(K110*20%*50%*K49/(K49+K52),0)</f>
        <v>318.12121113726761</v>
      </c>
      <c r="L125" s="65">
        <f t="shared" si="219"/>
        <v>207.37189469081392</v>
      </c>
      <c r="M125" s="65">
        <f t="shared" si="219"/>
        <v>154.58372779394631</v>
      </c>
      <c r="N125" s="65">
        <f t="shared" si="219"/>
        <v>336.16420426375811</v>
      </c>
      <c r="O125" s="65">
        <f t="shared" ref="O125" si="220">IFERROR(O110*20%*50%*O49/(O49+O52),0)</f>
        <v>459.48740601842673</v>
      </c>
      <c r="AT125" s="1">
        <f t="shared" si="208"/>
        <v>0.36685405581704322</v>
      </c>
      <c r="AU125" s="1">
        <f t="shared" si="209"/>
        <v>1.2157650953785732</v>
      </c>
      <c r="AV125" s="1">
        <f>IFERROR(HLOOKUP(LARGE($2:$2,1),$C$2:$XFD$210,ROW(AF124),FALSE)/HLOOKUP(SMALL($2:$2,1),$C$2:$XFD$210,ROW(AF124),FALSE)-1,"")</f>
        <v>0</v>
      </c>
    </row>
    <row r="126" spans="2:48 16374:16375" ht="11.25" customHeight="1" outlineLevel="2" x14ac:dyDescent="0.3">
      <c r="B126" s="8" t="s">
        <v>18</v>
      </c>
      <c r="C126" s="41">
        <f t="shared" ref="C126:E126" si="221">IFERROR(C108*20%*50%,0)</f>
        <v>0</v>
      </c>
      <c r="D126" s="41">
        <f t="shared" si="221"/>
        <v>0</v>
      </c>
      <c r="E126" s="65">
        <f t="shared" si="221"/>
        <v>0</v>
      </c>
      <c r="F126" s="41">
        <f t="shared" ref="F126:H126" si="222">IFERROR(F108*20%*50%,0)</f>
        <v>0</v>
      </c>
      <c r="G126" s="41">
        <f t="shared" si="222"/>
        <v>0</v>
      </c>
      <c r="H126" s="41">
        <f t="shared" si="222"/>
        <v>0</v>
      </c>
      <c r="I126" s="41">
        <v>0</v>
      </c>
      <c r="J126" s="41">
        <v>1</v>
      </c>
      <c r="K126" s="65">
        <v>1</v>
      </c>
      <c r="L126" s="65">
        <v>2</v>
      </c>
      <c r="M126" s="65">
        <v>1</v>
      </c>
      <c r="N126" s="65">
        <v>0</v>
      </c>
      <c r="O126" s="65">
        <v>1</v>
      </c>
      <c r="AT126" s="1" t="e">
        <f t="shared" si="208"/>
        <v>#DIV/0!</v>
      </c>
      <c r="AU126" s="1">
        <f t="shared" si="209"/>
        <v>-0.5</v>
      </c>
      <c r="AV126" s="1" t="str">
        <f>IFERROR(HLOOKUP(LARGE($2:$2,1),$C$2:$XFD$210,ROW(AF125),FALSE)/HLOOKUP(SMALL($2:$2,1),$C$2:$XFD$210,ROW(AF125),FALSE)-1,"")</f>
        <v/>
      </c>
    </row>
    <row r="127" spans="2:48 16374:16375" ht="11.25" customHeight="1" outlineLevel="2" x14ac:dyDescent="0.3">
      <c r="B127" s="8" t="s">
        <v>6</v>
      </c>
      <c r="C127" s="41">
        <f t="shared" ref="C127:E128" si="223">IFERROR(C109*20%*50%*C51/(C48+C51),0)</f>
        <v>0</v>
      </c>
      <c r="D127" s="41">
        <f t="shared" si="223"/>
        <v>0</v>
      </c>
      <c r="E127" s="65">
        <f t="shared" si="223"/>
        <v>2.1091480564990852</v>
      </c>
      <c r="F127" s="41">
        <f t="shared" ref="F127:AS127" si="224">IFERROR(F109*20%*50%*F51/(F48+F51),0)</f>
        <v>53.22887875888037</v>
      </c>
      <c r="G127" s="41">
        <f t="shared" si="224"/>
        <v>86.259337732607932</v>
      </c>
      <c r="H127" s="41">
        <f t="shared" si="224"/>
        <v>0</v>
      </c>
      <c r="I127" s="41">
        <f t="shared" si="224"/>
        <v>0</v>
      </c>
      <c r="J127" s="41">
        <f t="shared" ref="J127:K127" si="225">IFERROR(J109*20%*50%*J51/(J48+J51),0)</f>
        <v>0</v>
      </c>
      <c r="K127" s="65">
        <f t="shared" si="225"/>
        <v>5.0994893332696991</v>
      </c>
      <c r="L127" s="65">
        <f t="shared" ref="L127" si="226">IFERROR(L109*20%*50%*L51/(L48+L51),0)</f>
        <v>338.617496284163</v>
      </c>
      <c r="M127" s="65">
        <f t="shared" si="224"/>
        <v>403.27051593982191</v>
      </c>
      <c r="N127" s="65">
        <f t="shared" si="224"/>
        <v>443.35631152705599</v>
      </c>
      <c r="O127" s="65">
        <f t="shared" ref="O127" si="227">IFERROR(O109*20%*50%*O51/(O48+O51),0)</f>
        <v>457.052325311304</v>
      </c>
      <c r="P127" s="41">
        <f t="shared" si="224"/>
        <v>0</v>
      </c>
      <c r="Q127" s="41">
        <f t="shared" si="224"/>
        <v>0</v>
      </c>
      <c r="R127" s="41">
        <f t="shared" si="224"/>
        <v>0</v>
      </c>
      <c r="S127" s="41">
        <f t="shared" si="224"/>
        <v>0</v>
      </c>
      <c r="T127" s="41">
        <f t="shared" si="224"/>
        <v>0</v>
      </c>
      <c r="U127" s="41">
        <f t="shared" si="224"/>
        <v>0</v>
      </c>
      <c r="V127" s="41">
        <f t="shared" si="224"/>
        <v>0</v>
      </c>
      <c r="W127" s="41">
        <f t="shared" si="224"/>
        <v>0</v>
      </c>
      <c r="X127" s="41">
        <f t="shared" si="224"/>
        <v>0</v>
      </c>
      <c r="Y127" s="41">
        <f t="shared" si="224"/>
        <v>0</v>
      </c>
      <c r="Z127" s="41">
        <f t="shared" si="224"/>
        <v>0</v>
      </c>
      <c r="AA127" s="41">
        <f t="shared" si="224"/>
        <v>0</v>
      </c>
      <c r="AB127" s="41">
        <f t="shared" si="224"/>
        <v>0</v>
      </c>
      <c r="AC127" s="41">
        <f t="shared" si="224"/>
        <v>0</v>
      </c>
      <c r="AD127" s="41">
        <f t="shared" si="224"/>
        <v>0</v>
      </c>
      <c r="AE127" s="41">
        <f t="shared" si="224"/>
        <v>0</v>
      </c>
      <c r="AF127" s="41">
        <f t="shared" si="224"/>
        <v>0</v>
      </c>
      <c r="AG127" s="41">
        <f t="shared" si="224"/>
        <v>0</v>
      </c>
      <c r="AH127" s="41">
        <f t="shared" si="224"/>
        <v>0</v>
      </c>
      <c r="AI127" s="41">
        <f t="shared" si="224"/>
        <v>0</v>
      </c>
      <c r="AJ127" s="41">
        <f t="shared" si="224"/>
        <v>0</v>
      </c>
      <c r="AK127" s="41">
        <f t="shared" si="224"/>
        <v>0</v>
      </c>
      <c r="AL127" s="41">
        <f t="shared" si="224"/>
        <v>0</v>
      </c>
      <c r="AM127" s="41">
        <f t="shared" si="224"/>
        <v>0</v>
      </c>
      <c r="AN127" s="41">
        <f t="shared" si="224"/>
        <v>0</v>
      </c>
      <c r="AO127" s="41">
        <f t="shared" si="224"/>
        <v>0</v>
      </c>
      <c r="AP127" s="41">
        <f t="shared" si="224"/>
        <v>0</v>
      </c>
      <c r="AQ127" s="41">
        <f t="shared" si="224"/>
        <v>0</v>
      </c>
      <c r="AR127" s="41">
        <f t="shared" si="224"/>
        <v>0</v>
      </c>
      <c r="AS127" s="41">
        <f t="shared" si="224"/>
        <v>0</v>
      </c>
      <c r="AT127" s="1">
        <f t="shared" si="208"/>
        <v>3.0891663044278594E-2</v>
      </c>
      <c r="AU127" s="1">
        <f t="shared" si="209"/>
        <v>0.34975992181972826</v>
      </c>
      <c r="AV127" s="1">
        <f>IFERROR(HLOOKUP(LARGE($2:$2,1),$C$2:$XFD$210,ROW(AF126),FALSE)/HLOOKUP(SMALL($2:$2,1),$C$2:$XFD$210,ROW(AF126),FALSE)-1,"")</f>
        <v>0</v>
      </c>
    </row>
    <row r="128" spans="2:48 16374:16375" ht="11.25" customHeight="1" outlineLevel="2" x14ac:dyDescent="0.3">
      <c r="B128" s="8" t="s">
        <v>5</v>
      </c>
      <c r="C128" s="41">
        <f t="shared" si="223"/>
        <v>0</v>
      </c>
      <c r="D128" s="41">
        <f t="shared" si="223"/>
        <v>0</v>
      </c>
      <c r="E128" s="65">
        <f t="shared" si="223"/>
        <v>14.433504657346372</v>
      </c>
      <c r="F128" s="41">
        <f t="shared" ref="F128:H128" si="228">IFERROR(F110*20%*50%*F52/(F49+F52),0)</f>
        <v>61.085819968599182</v>
      </c>
      <c r="G128" s="41">
        <f t="shared" si="228"/>
        <v>76.061915688876866</v>
      </c>
      <c r="H128" s="41">
        <f t="shared" si="228"/>
        <v>0</v>
      </c>
      <c r="I128" s="41">
        <v>0</v>
      </c>
      <c r="J128" s="41">
        <v>1</v>
      </c>
      <c r="K128" s="65">
        <v>1</v>
      </c>
      <c r="L128" s="65">
        <v>2</v>
      </c>
      <c r="M128" s="65">
        <v>2</v>
      </c>
      <c r="N128" s="65">
        <v>0</v>
      </c>
      <c r="O128" s="65">
        <v>1</v>
      </c>
      <c r="AT128" s="1" t="e">
        <f t="shared" si="208"/>
        <v>#DIV/0!</v>
      </c>
      <c r="AU128" s="1">
        <f t="shared" si="209"/>
        <v>-0.5</v>
      </c>
      <c r="AV128" s="1">
        <f>IFERROR(HLOOKUP(LARGE($2:$2,1),$C$2:$XFD$210,ROW(AF127),FALSE)/HLOOKUP(SMALL($2:$2,1),$C$2:$XFD$210,ROW(AF127),FALSE)-1,"")</f>
        <v>0</v>
      </c>
    </row>
    <row r="129" spans="2:48" x14ac:dyDescent="0.3">
      <c r="B129" s="7" t="s">
        <v>4</v>
      </c>
      <c r="C129" s="43">
        <f>IFERROR(GETPIVOTDATA("[Measures].[Sum of Orders]",'[1]Raw Data'!$A$3,"[Omniture].[Channel]","[Omniture].[Channel].&amp;["&amp;$B129&amp;"]","[Datekey].[YearMonth]","[Datekey].[YearMonth].&amp;["&amp;TEXT(C$2,"yyyy-aa-ggTss:dd:nn")&amp;"]"),0)</f>
        <v>0</v>
      </c>
      <c r="D129" s="43">
        <f>IFERROR(GETPIVOTDATA("[Measures].[Sum of Orders]",'[1]Raw Data'!$A$3,"[Omniture].[Channel]","[Omniture].[Channel].&amp;["&amp;$B129&amp;"]","[Datekey].[YearMonth]","[Datekey].[YearMonth].&amp;["&amp;TEXT(D$2,"yyyy-aa-ggTss:dd:nn")&amp;"]"),0)</f>
        <v>0</v>
      </c>
      <c r="E129" s="17">
        <v>41</v>
      </c>
      <c r="F129" s="43">
        <v>45</v>
      </c>
      <c r="G129" s="43">
        <v>53</v>
      </c>
      <c r="H129" s="43">
        <v>59</v>
      </c>
      <c r="I129" s="43">
        <v>70</v>
      </c>
      <c r="J129" s="43">
        <v>86</v>
      </c>
      <c r="K129" s="43">
        <v>50</v>
      </c>
      <c r="L129" s="43">
        <v>61</v>
      </c>
      <c r="M129" s="43">
        <v>53</v>
      </c>
      <c r="N129" s="43">
        <v>50</v>
      </c>
      <c r="O129" s="43">
        <v>73</v>
      </c>
      <c r="AT129" s="1">
        <f t="shared" si="208"/>
        <v>0.45999999999999996</v>
      </c>
      <c r="AU129" s="1">
        <f t="shared" si="209"/>
        <v>0.19672131147540983</v>
      </c>
      <c r="AV129" s="1">
        <f t="shared" ref="AV129:AV148" si="229">IFERROR(HLOOKUP(LARGE($2:$2,1),$C$2:$XFD$210,ROW(AF128),FALSE)/HLOOKUP(SMALL($2:$2,1),$C$2:$XFD$210,ROW(AF128),FALSE)-1,"")</f>
        <v>0</v>
      </c>
    </row>
    <row r="130" spans="2:48" x14ac:dyDescent="0.3">
      <c r="B130" s="9"/>
      <c r="C130" s="9"/>
      <c r="D130" s="9"/>
      <c r="E130" s="9"/>
      <c r="AT130" s="1"/>
      <c r="AU130" s="1"/>
      <c r="AV130" s="1" t="str">
        <f t="shared" si="229"/>
        <v/>
      </c>
    </row>
    <row r="131" spans="2:48" x14ac:dyDescent="0.3">
      <c r="B131" s="6" t="s">
        <v>27</v>
      </c>
      <c r="C131" s="53">
        <f t="shared" ref="C131:I131" si="230">IFERROR((C42)/C118,0)</f>
        <v>2.972993714852795</v>
      </c>
      <c r="D131" s="53">
        <f t="shared" si="230"/>
        <v>2.6645710014947683</v>
      </c>
      <c r="E131" s="53">
        <f t="shared" si="230"/>
        <v>4.2937555993549541</v>
      </c>
      <c r="F131" s="53">
        <f t="shared" si="230"/>
        <v>5.5309713129389362</v>
      </c>
      <c r="G131" s="53">
        <f t="shared" si="230"/>
        <v>3.9810336790583838</v>
      </c>
      <c r="H131" s="53">
        <f t="shared" si="230"/>
        <v>2.3222895493767974</v>
      </c>
      <c r="I131" s="53">
        <f t="shared" si="230"/>
        <v>2.6748582903910276</v>
      </c>
      <c r="J131" s="53">
        <f t="shared" ref="J131:L131" si="231">IFERROR((J42)/J118,0)</f>
        <v>2.8012523702809862</v>
      </c>
      <c r="K131" s="53">
        <f t="shared" si="231"/>
        <v>2.4822900251466895</v>
      </c>
      <c r="L131" s="53">
        <f t="shared" si="231"/>
        <v>2.0515665933645661</v>
      </c>
      <c r="M131" s="53">
        <f t="shared" ref="M131:N131" si="232">IFERROR((M42)/M118,0)</f>
        <v>2.2388501742160272</v>
      </c>
      <c r="N131" s="53">
        <f t="shared" si="232"/>
        <v>1.4957683975357119</v>
      </c>
      <c r="O131" s="53">
        <f t="shared" ref="O131" si="233">IFERROR((O42)/O118,0)</f>
        <v>1.484038415723645</v>
      </c>
      <c r="AT131" s="1">
        <f t="shared" ref="AT131:AT138" si="234">O131/N131-1</f>
        <v>-7.8421110055487686E-3</v>
      </c>
      <c r="AU131" s="1">
        <f t="shared" ref="AU131:AU138" si="235">O131/L131-1</f>
        <v>-0.27663161384889567</v>
      </c>
      <c r="AV131" s="1">
        <f t="shared" si="229"/>
        <v>0</v>
      </c>
    </row>
    <row r="132" spans="2:48" x14ac:dyDescent="0.3">
      <c r="B132" s="7" t="s">
        <v>1</v>
      </c>
      <c r="C132" s="50">
        <f t="shared" ref="C132:H142" si="236">IFERROR(C43/C119,0)</f>
        <v>2.6251886168100595</v>
      </c>
      <c r="D132" s="50">
        <f t="shared" si="236"/>
        <v>2.4508530380125713</v>
      </c>
      <c r="E132" s="50">
        <f t="shared" si="236"/>
        <v>3.7363502358490566</v>
      </c>
      <c r="F132" s="50">
        <f t="shared" si="236"/>
        <v>4.3820183044315995</v>
      </c>
      <c r="G132" s="50">
        <f t="shared" si="236"/>
        <v>4.2780238177424916</v>
      </c>
      <c r="H132" s="50">
        <f t="shared" si="236"/>
        <v>3.4797287184284378</v>
      </c>
      <c r="I132" s="50">
        <f t="shared" ref="I132:J132" si="237">IFERROR(I43/I119,0)</f>
        <v>4.0170477531686082</v>
      </c>
      <c r="J132" s="50">
        <f t="shared" si="237"/>
        <v>4.5048903508771936</v>
      </c>
      <c r="K132" s="50">
        <f t="shared" ref="K132:L132" si="238">IFERROR(K43/K119,0)</f>
        <v>4.0706960081883317</v>
      </c>
      <c r="L132" s="50">
        <f t="shared" si="238"/>
        <v>3.1845954482117973</v>
      </c>
      <c r="M132" s="50">
        <f t="shared" ref="M132:N132" si="239">IFERROR(M43/M119,0)</f>
        <v>3.5151599128540303</v>
      </c>
      <c r="N132" s="50">
        <f t="shared" si="239"/>
        <v>2.7590637163038778</v>
      </c>
      <c r="O132" s="50">
        <f t="shared" ref="O132" si="240">IFERROR(O43/O119,0)</f>
        <v>2.974652119945123</v>
      </c>
      <c r="AT132" s="1">
        <f t="shared" si="234"/>
        <v>7.8138247539297101E-2</v>
      </c>
      <c r="AU132" s="1">
        <f t="shared" si="235"/>
        <v>-6.5924646216699467E-2</v>
      </c>
      <c r="AV132" s="1">
        <f t="shared" si="229"/>
        <v>0</v>
      </c>
    </row>
    <row r="133" spans="2:48" x14ac:dyDescent="0.3">
      <c r="B133" s="7" t="s">
        <v>2</v>
      </c>
      <c r="C133" s="50">
        <f t="shared" si="236"/>
        <v>775.13</v>
      </c>
      <c r="D133" s="50">
        <f t="shared" si="236"/>
        <v>35.604999999999997</v>
      </c>
      <c r="E133" s="50">
        <f t="shared" si="236"/>
        <v>13.55</v>
      </c>
      <c r="F133" s="50">
        <f t="shared" si="236"/>
        <v>1407.01</v>
      </c>
      <c r="G133" s="50">
        <f t="shared" si="236"/>
        <v>211.4</v>
      </c>
      <c r="H133" s="50">
        <f t="shared" si="236"/>
        <v>0</v>
      </c>
      <c r="I133" s="50">
        <f t="shared" ref="I133:J133" si="241">IFERROR(I44/I120,0)</f>
        <v>0</v>
      </c>
      <c r="J133" s="50">
        <f t="shared" si="241"/>
        <v>0</v>
      </c>
      <c r="K133" s="50">
        <f t="shared" ref="K133:L133" si="242">IFERROR(K44/K120,0)</f>
        <v>0</v>
      </c>
      <c r="L133" s="50">
        <f t="shared" si="242"/>
        <v>31.697500000000002</v>
      </c>
      <c r="M133" s="50">
        <f t="shared" ref="M133:N133" si="243">IFERROR(M44/M120,0)</f>
        <v>0</v>
      </c>
      <c r="N133" s="50">
        <f t="shared" si="243"/>
        <v>0</v>
      </c>
      <c r="O133" s="50">
        <f t="shared" ref="O133" si="244">IFERROR(O44/O120,0)</f>
        <v>0</v>
      </c>
      <c r="AT133" s="1" t="e">
        <f t="shared" si="234"/>
        <v>#DIV/0!</v>
      </c>
      <c r="AU133" s="1">
        <f t="shared" si="235"/>
        <v>-1</v>
      </c>
      <c r="AV133" s="1">
        <f t="shared" si="229"/>
        <v>0</v>
      </c>
    </row>
    <row r="134" spans="2:48" x14ac:dyDescent="0.3">
      <c r="B134" s="7" t="s">
        <v>3</v>
      </c>
      <c r="C134" s="50">
        <f t="shared" si="236"/>
        <v>0</v>
      </c>
      <c r="D134" s="50">
        <f t="shared" si="236"/>
        <v>0</v>
      </c>
      <c r="E134" s="50">
        <f t="shared" si="236"/>
        <v>17.0932</v>
      </c>
      <c r="F134" s="50">
        <f t="shared" si="236"/>
        <v>18.512321428571429</v>
      </c>
      <c r="G134" s="50">
        <f t="shared" si="236"/>
        <v>31.634117647058822</v>
      </c>
      <c r="H134" s="50">
        <f t="shared" si="236"/>
        <v>24.72</v>
      </c>
      <c r="I134" s="50">
        <f t="shared" ref="I134:J134" si="245">IFERROR(I45/I121,0)</f>
        <v>30.768437500000001</v>
      </c>
      <c r="J134" s="50">
        <f t="shared" si="245"/>
        <v>99.621875000000003</v>
      </c>
      <c r="K134" s="50">
        <f t="shared" ref="K134:L134" si="246">IFERROR(K45/K121,0)</f>
        <v>21.762</v>
      </c>
      <c r="L134" s="50">
        <f t="shared" si="246"/>
        <v>78.771904761904764</v>
      </c>
      <c r="M134" s="50">
        <f t="shared" ref="M134:N134" si="247">IFERROR(M45/M121,0)</f>
        <v>266.73500000000001</v>
      </c>
      <c r="N134" s="50">
        <f t="shared" si="247"/>
        <v>67.624074074074073</v>
      </c>
      <c r="O134" s="50">
        <f t="shared" ref="O134" si="248">IFERROR(O45/O121,0)</f>
        <v>70.15384615384616</v>
      </c>
      <c r="AT134" s="1">
        <f t="shared" si="234"/>
        <v>3.7409341486894565E-2</v>
      </c>
      <c r="AU134" s="1">
        <f t="shared" si="235"/>
        <v>-0.10940523317428297</v>
      </c>
      <c r="AV134" s="1">
        <f t="shared" si="229"/>
        <v>0</v>
      </c>
    </row>
    <row r="135" spans="2:48" x14ac:dyDescent="0.3">
      <c r="B135" s="7" t="s">
        <v>0</v>
      </c>
      <c r="C135" s="50">
        <f t="shared" si="236"/>
        <v>0</v>
      </c>
      <c r="D135" s="50">
        <f t="shared" si="236"/>
        <v>0</v>
      </c>
      <c r="E135" s="50">
        <f t="shared" si="236"/>
        <v>19.532333333333334</v>
      </c>
      <c r="F135" s="50">
        <f t="shared" si="236"/>
        <v>37.152278481012658</v>
      </c>
      <c r="G135" s="50">
        <f t="shared" si="236"/>
        <v>30.014791666666667</v>
      </c>
      <c r="H135" s="50">
        <f t="shared" si="236"/>
        <v>7.4865517241379314</v>
      </c>
      <c r="I135" s="50">
        <f t="shared" ref="I135:J135" si="249">IFERROR(I46/I122,0)</f>
        <v>16.008777777777777</v>
      </c>
      <c r="J135" s="50">
        <f t="shared" si="249"/>
        <v>18.058378378378379</v>
      </c>
      <c r="K135" s="50">
        <f t="shared" ref="K135:L135" si="250">IFERROR(K46/K122,0)</f>
        <v>8.5150000000000006</v>
      </c>
      <c r="L135" s="50">
        <f t="shared" si="250"/>
        <v>14.441444444444445</v>
      </c>
      <c r="M135" s="50">
        <f t="shared" ref="M135:N135" si="251">IFERROR(M46/M122,0)</f>
        <v>30.065249999999999</v>
      </c>
      <c r="N135" s="50">
        <f t="shared" si="251"/>
        <v>6.0555555555555554</v>
      </c>
      <c r="O135" s="50">
        <f t="shared" ref="O135" si="252">IFERROR(O46/O122,0)</f>
        <v>6.5555555555555554</v>
      </c>
      <c r="AT135" s="1">
        <f t="shared" si="234"/>
        <v>8.256880733944949E-2</v>
      </c>
      <c r="AU135" s="1">
        <f t="shared" si="235"/>
        <v>-0.5460595662175991</v>
      </c>
      <c r="AV135" s="1">
        <f t="shared" si="229"/>
        <v>0</v>
      </c>
    </row>
    <row r="136" spans="2:48" x14ac:dyDescent="0.3">
      <c r="B136" s="7" t="s">
        <v>17</v>
      </c>
      <c r="C136" s="50">
        <f t="shared" si="236"/>
        <v>0</v>
      </c>
      <c r="D136" s="50">
        <f t="shared" si="236"/>
        <v>0</v>
      </c>
      <c r="E136" s="50">
        <f t="shared" si="236"/>
        <v>9.1784810126582279</v>
      </c>
      <c r="F136" s="50">
        <f t="shared" si="236"/>
        <v>6.427716942148761</v>
      </c>
      <c r="G136" s="50">
        <f t="shared" si="236"/>
        <v>2.6022272215973001</v>
      </c>
      <c r="H136" s="50">
        <f t="shared" si="236"/>
        <v>0.38722916135610502</v>
      </c>
      <c r="I136" s="50">
        <f t="shared" ref="I136:J136" si="253">IFERROR(I47/I123,0)</f>
        <v>8.2522626612747924E-2</v>
      </c>
      <c r="J136" s="50">
        <f t="shared" si="253"/>
        <v>0.27078799612778315</v>
      </c>
      <c r="K136" s="50">
        <f t="shared" ref="K136:L136" si="254">IFERROR(K47/K123,0)</f>
        <v>0.28464257503949447</v>
      </c>
      <c r="L136" s="50">
        <f t="shared" si="254"/>
        <v>0.5465750149432157</v>
      </c>
      <c r="M136" s="50">
        <f t="shared" ref="M136:N136" si="255">IFERROR(M47/M123,0)</f>
        <v>0.62213765320990821</v>
      </c>
      <c r="N136" s="50">
        <f t="shared" si="255"/>
        <v>0.24102212787855398</v>
      </c>
      <c r="O136" s="50">
        <f t="shared" ref="O136" si="256">IFERROR(O47/O123,0)</f>
        <v>0.11580616691488774</v>
      </c>
      <c r="AT136" s="1">
        <f t="shared" si="234"/>
        <v>-0.51952060197045458</v>
      </c>
      <c r="AU136" s="1">
        <f t="shared" si="235"/>
        <v>-0.78812392855732893</v>
      </c>
      <c r="AV136" s="1">
        <f t="shared" si="229"/>
        <v>0</v>
      </c>
    </row>
    <row r="137" spans="2:48" x14ac:dyDescent="0.3">
      <c r="B137" s="8" t="s">
        <v>8</v>
      </c>
      <c r="C137" s="50">
        <f t="shared" si="236"/>
        <v>0</v>
      </c>
      <c r="D137" s="50">
        <f t="shared" si="236"/>
        <v>0</v>
      </c>
      <c r="E137" s="50">
        <f t="shared" si="236"/>
        <v>68.487368421052636</v>
      </c>
      <c r="F137" s="50">
        <f t="shared" si="236"/>
        <v>52.896286107290237</v>
      </c>
      <c r="G137" s="50">
        <f t="shared" si="236"/>
        <v>18.380618744313008</v>
      </c>
      <c r="H137" s="50">
        <f t="shared" si="236"/>
        <v>1.7699653979238754</v>
      </c>
      <c r="I137" s="50">
        <f t="shared" ref="I137:J137" si="257">IFERROR(I48/I124,0)</f>
        <v>0.395615346287992</v>
      </c>
      <c r="J137" s="50">
        <f t="shared" si="257"/>
        <v>0.65954545454545455</v>
      </c>
      <c r="K137" s="50">
        <f t="shared" ref="K137:L137" si="258">IFERROR(K48/K124,0)</f>
        <v>1.121680942184154</v>
      </c>
      <c r="L137" s="50">
        <f t="shared" si="258"/>
        <v>6.3432930181418357</v>
      </c>
      <c r="M137" s="50">
        <f t="shared" ref="M137:N137" si="259">IFERROR(M48/M124,0)</f>
        <v>7.5398519847499426</v>
      </c>
      <c r="N137" s="50">
        <f t="shared" si="259"/>
        <v>2.9805823569951762</v>
      </c>
      <c r="O137" s="50">
        <f t="shared" ref="O137" si="260">IFERROR(O48/O124,0)</f>
        <v>1.4313240821046544</v>
      </c>
      <c r="AT137" s="1">
        <f t="shared" si="234"/>
        <v>-0.5197837500629845</v>
      </c>
      <c r="AU137" s="1">
        <f t="shared" si="235"/>
        <v>-0.77435630389277876</v>
      </c>
      <c r="AV137" s="1">
        <f t="shared" si="229"/>
        <v>0</v>
      </c>
    </row>
    <row r="138" spans="2:48" x14ac:dyDescent="0.3">
      <c r="B138" s="8" t="s">
        <v>7</v>
      </c>
      <c r="C138" s="50">
        <f t="shared" si="236"/>
        <v>0</v>
      </c>
      <c r="D138" s="50">
        <f t="shared" si="236"/>
        <v>0</v>
      </c>
      <c r="E138" s="50">
        <f t="shared" si="236"/>
        <v>99.162333333333336</v>
      </c>
      <c r="F138" s="50">
        <f t="shared" si="236"/>
        <v>71.12076095947063</v>
      </c>
      <c r="G138" s="50">
        <f t="shared" si="236"/>
        <v>31.378252551020406</v>
      </c>
      <c r="H138" s="50">
        <f t="shared" si="236"/>
        <v>5.09822437449556</v>
      </c>
      <c r="I138" s="50">
        <f t="shared" ref="I138:J138" si="261">IFERROR(I49/I125,0)</f>
        <v>1.0958568738229755</v>
      </c>
      <c r="J138" s="50">
        <f t="shared" si="261"/>
        <v>3.9812558869701724</v>
      </c>
      <c r="K138" s="50">
        <f t="shared" ref="K138:L138" si="262">IFERROR(K49/K125,0)</f>
        <v>3.8545056320400506</v>
      </c>
      <c r="L138" s="50">
        <f t="shared" si="262"/>
        <v>4.9669218749999997</v>
      </c>
      <c r="M138" s="50">
        <f t="shared" ref="M138:N138" si="263">IFERROR(M49/M125,0)</f>
        <v>5.4057436182019973</v>
      </c>
      <c r="N138" s="50">
        <f t="shared" si="263"/>
        <v>2.0704167522069388</v>
      </c>
      <c r="O138" s="50">
        <f t="shared" ref="O138" si="264">IFERROR(O49/O125,0)</f>
        <v>0.9902338868059275</v>
      </c>
      <c r="AT138" s="1">
        <f t="shared" si="234"/>
        <v>-0.52172243305585786</v>
      </c>
      <c r="AU138" s="1">
        <f t="shared" si="235"/>
        <v>-0.80063429388932605</v>
      </c>
      <c r="AV138" s="1">
        <f t="shared" si="229"/>
        <v>0</v>
      </c>
    </row>
    <row r="139" spans="2:48" x14ac:dyDescent="0.3">
      <c r="B139" s="8" t="s">
        <v>18</v>
      </c>
      <c r="C139" s="50">
        <f t="shared" si="236"/>
        <v>0</v>
      </c>
      <c r="D139" s="50">
        <f t="shared" si="236"/>
        <v>0</v>
      </c>
      <c r="E139" s="50">
        <f t="shared" si="236"/>
        <v>0</v>
      </c>
      <c r="F139" s="50">
        <f t="shared" si="236"/>
        <v>0</v>
      </c>
      <c r="G139" s="50">
        <f t="shared" si="236"/>
        <v>0</v>
      </c>
      <c r="H139" s="50">
        <f t="shared" si="236"/>
        <v>0</v>
      </c>
      <c r="I139" s="50">
        <f t="shared" ref="I139:J139" si="265">IFERROR(I50/I126,0)</f>
        <v>0</v>
      </c>
      <c r="J139" s="50">
        <f t="shared" si="265"/>
        <v>0</v>
      </c>
      <c r="K139" s="50">
        <f t="shared" ref="K139:L139" si="266">IFERROR(K50/K126,0)</f>
        <v>0</v>
      </c>
      <c r="L139" s="50">
        <f t="shared" si="266"/>
        <v>0</v>
      </c>
      <c r="M139" s="50">
        <f t="shared" ref="M139:N139" si="267">IFERROR(M50/M126,0)</f>
        <v>0</v>
      </c>
      <c r="N139" s="50">
        <f t="shared" si="267"/>
        <v>0</v>
      </c>
      <c r="O139" s="50">
        <f t="shared" ref="O139" si="268">IFERROR(O50/O126,0)</f>
        <v>0</v>
      </c>
      <c r="AT139" s="1"/>
      <c r="AU139" s="1"/>
      <c r="AV139" s="1" t="str">
        <f t="shared" si="229"/>
        <v/>
      </c>
    </row>
    <row r="140" spans="2:48" x14ac:dyDescent="0.3">
      <c r="B140" s="8" t="s">
        <v>6</v>
      </c>
      <c r="C140" s="50">
        <f t="shared" si="236"/>
        <v>0</v>
      </c>
      <c r="D140" s="50">
        <f t="shared" si="236"/>
        <v>0</v>
      </c>
      <c r="E140" s="50">
        <f t="shared" si="236"/>
        <v>68.487368421052636</v>
      </c>
      <c r="F140" s="50">
        <f t="shared" si="236"/>
        <v>52.896286107290237</v>
      </c>
      <c r="G140" s="50">
        <f t="shared" si="236"/>
        <v>18.380618744313011</v>
      </c>
      <c r="H140" s="50">
        <f t="shared" si="236"/>
        <v>0</v>
      </c>
      <c r="I140" s="50">
        <f t="shared" ref="I140:J140" si="269">IFERROR(I51/I127,0)</f>
        <v>0</v>
      </c>
      <c r="J140" s="50">
        <f t="shared" si="269"/>
        <v>0</v>
      </c>
      <c r="K140" s="50">
        <f t="shared" ref="K140:L140" si="270">IFERROR(K51/K127,0)</f>
        <v>1.121680942184154</v>
      </c>
      <c r="L140" s="50">
        <f t="shared" si="270"/>
        <v>6.3432930181418348</v>
      </c>
      <c r="M140" s="50">
        <f t="shared" ref="M140:N140" si="271">IFERROR(M51/M127,0)</f>
        <v>7.5398519847499434</v>
      </c>
      <c r="N140" s="50">
        <f t="shared" si="271"/>
        <v>2.9805823569951757</v>
      </c>
      <c r="O140" s="50">
        <f>IFERROR(O51/O127,0)</f>
        <v>1.4313240821046542</v>
      </c>
      <c r="AT140" s="1">
        <f t="shared" ref="AT140:AT142" si="272">O140/N140-1</f>
        <v>-0.5197837500629845</v>
      </c>
      <c r="AU140" s="1">
        <f t="shared" ref="AU140:AU142" si="273">O140/L140-1</f>
        <v>-0.77435630389277876</v>
      </c>
      <c r="AV140" s="1">
        <f t="shared" si="229"/>
        <v>0</v>
      </c>
    </row>
    <row r="141" spans="2:48" x14ac:dyDescent="0.3">
      <c r="B141" s="8" t="s">
        <v>5</v>
      </c>
      <c r="C141" s="50">
        <f t="shared" si="236"/>
        <v>0</v>
      </c>
      <c r="D141" s="50">
        <f t="shared" si="236"/>
        <v>0</v>
      </c>
      <c r="E141" s="50">
        <f t="shared" si="236"/>
        <v>99.162333333333322</v>
      </c>
      <c r="F141" s="50">
        <f t="shared" si="236"/>
        <v>71.12076095947063</v>
      </c>
      <c r="G141" s="50">
        <f t="shared" si="236"/>
        <v>31.378252551020413</v>
      </c>
      <c r="H141" s="50">
        <f t="shared" si="236"/>
        <v>0</v>
      </c>
      <c r="I141" s="50">
        <f t="shared" ref="I141:J141" si="274">IFERROR(I52/I128,0)</f>
        <v>0</v>
      </c>
      <c r="J141" s="50">
        <f t="shared" si="274"/>
        <v>0</v>
      </c>
      <c r="K141" s="50">
        <f t="shared" ref="K141:L141" si="275">IFERROR(K52/K128,0)</f>
        <v>5.7</v>
      </c>
      <c r="L141" s="50">
        <f t="shared" si="275"/>
        <v>1074.415</v>
      </c>
      <c r="M141" s="50">
        <f t="shared" ref="M141:N141" si="276">IFERROR(M52/M128,0)</f>
        <v>1530.41</v>
      </c>
      <c r="N141" s="50">
        <f t="shared" si="276"/>
        <v>0</v>
      </c>
      <c r="O141" s="50">
        <f>IFERROR(O52/O128,0)</f>
        <v>654.26</v>
      </c>
      <c r="AT141" s="1" t="e">
        <f t="shared" si="272"/>
        <v>#DIV/0!</v>
      </c>
      <c r="AU141" s="1">
        <f t="shared" si="273"/>
        <v>-0.39105466695829827</v>
      </c>
      <c r="AV141" s="1">
        <f t="shared" si="229"/>
        <v>0</v>
      </c>
    </row>
    <row r="142" spans="2:48" x14ac:dyDescent="0.3">
      <c r="B142" s="7" t="s">
        <v>4</v>
      </c>
      <c r="C142" s="50">
        <f t="shared" si="236"/>
        <v>0</v>
      </c>
      <c r="D142" s="50">
        <f t="shared" si="236"/>
        <v>0</v>
      </c>
      <c r="E142" s="50">
        <f t="shared" si="236"/>
        <v>7</v>
      </c>
      <c r="F142" s="50">
        <f t="shared" si="236"/>
        <v>7</v>
      </c>
      <c r="G142" s="50">
        <f t="shared" si="236"/>
        <v>0.6216981132075472</v>
      </c>
      <c r="H142" s="50">
        <f t="shared" si="236"/>
        <v>0.72355932203389828</v>
      </c>
      <c r="I142" s="50">
        <f t="shared" ref="I142:J142" si="277">IFERROR(I53/I129,0)</f>
        <v>0.77785714285714291</v>
      </c>
      <c r="J142" s="50">
        <f t="shared" si="277"/>
        <v>0.93232558139534893</v>
      </c>
      <c r="K142" s="50">
        <f t="shared" ref="K142:L142" si="278">IFERROR(K53/K129,0)</f>
        <v>0.73319999999999996</v>
      </c>
      <c r="L142" s="50">
        <f t="shared" si="278"/>
        <v>1.069672131147541</v>
      </c>
      <c r="M142" s="50">
        <f t="shared" ref="M142:N142" si="279">IFERROR(M53/M129,0)</f>
        <v>0.90905660377358488</v>
      </c>
      <c r="N142" s="50">
        <f t="shared" si="279"/>
        <v>1.2692000000000001</v>
      </c>
      <c r="O142" s="50">
        <f>IFERROR(O53/O129,0)</f>
        <v>1.1309589041095891</v>
      </c>
      <c r="AT142" s="1">
        <f t="shared" si="272"/>
        <v>-0.10891986754680982</v>
      </c>
      <c r="AU142" s="1">
        <f t="shared" si="273"/>
        <v>5.7294914186742263E-2</v>
      </c>
      <c r="AV142" s="1">
        <f t="shared" si="229"/>
        <v>0</v>
      </c>
    </row>
    <row r="143" spans="2:48" x14ac:dyDescent="0.3">
      <c r="B143" s="9"/>
      <c r="C143" s="9"/>
      <c r="D143" s="9"/>
      <c r="E143" s="9"/>
      <c r="AT143" s="1"/>
      <c r="AU143" s="1"/>
      <c r="AV143" s="1" t="str">
        <f t="shared" si="229"/>
        <v/>
      </c>
    </row>
    <row r="144" spans="2:48" x14ac:dyDescent="0.3">
      <c r="B144" s="6" t="s">
        <v>99</v>
      </c>
      <c r="C144" s="42">
        <f t="shared" ref="C144" si="280">IFERROR(SUM(C145:C148),0)</f>
        <v>1620</v>
      </c>
      <c r="D144" s="42">
        <f t="shared" ref="D144:N144" si="281">IFERROR(SUM(D145:D148),0)</f>
        <v>1810</v>
      </c>
      <c r="E144" s="42">
        <f t="shared" si="281"/>
        <v>2815</v>
      </c>
      <c r="F144" s="42">
        <f t="shared" si="281"/>
        <v>3706</v>
      </c>
      <c r="G144" s="42">
        <f t="shared" si="281"/>
        <v>3540</v>
      </c>
      <c r="H144" s="42">
        <f t="shared" si="281"/>
        <v>3597</v>
      </c>
      <c r="I144" s="42">
        <f t="shared" si="281"/>
        <v>4672</v>
      </c>
      <c r="J144" s="42">
        <f t="shared" si="281"/>
        <v>4064</v>
      </c>
      <c r="K144" s="42">
        <f t="shared" si="281"/>
        <v>3948</v>
      </c>
      <c r="L144" s="42">
        <f t="shared" si="281"/>
        <v>7640</v>
      </c>
      <c r="M144" s="42">
        <f t="shared" si="281"/>
        <v>6675</v>
      </c>
      <c r="N144" s="42">
        <f t="shared" si="281"/>
        <v>9130</v>
      </c>
      <c r="O144" s="42">
        <v>8569</v>
      </c>
      <c r="AT144" s="1">
        <f t="shared" ref="AT144:AT148" si="282">O144/N144-1</f>
        <v>-6.144578313253013E-2</v>
      </c>
      <c r="AU144" s="1">
        <f t="shared" ref="AU144:AU148" si="283">O144/L144-1</f>
        <v>0.12159685863874348</v>
      </c>
      <c r="AV144" s="1">
        <f t="shared" si="229"/>
        <v>0</v>
      </c>
    </row>
    <row r="145" spans="2:51" x14ac:dyDescent="0.3">
      <c r="B145" s="10" t="s">
        <v>100</v>
      </c>
      <c r="C145" s="42">
        <v>1620</v>
      </c>
      <c r="D145" s="42">
        <v>1810</v>
      </c>
      <c r="E145" s="42">
        <v>2708</v>
      </c>
      <c r="F145" s="42">
        <v>3381</v>
      </c>
      <c r="G145" s="42">
        <v>3193</v>
      </c>
      <c r="H145" s="42">
        <v>3270</v>
      </c>
      <c r="I145" s="42">
        <v>4164</v>
      </c>
      <c r="J145" s="42">
        <v>3667</v>
      </c>
      <c r="K145" s="42">
        <v>3553</v>
      </c>
      <c r="L145" s="42">
        <v>6359</v>
      </c>
      <c r="M145" s="42">
        <v>5724</v>
      </c>
      <c r="N145" s="42">
        <v>7701</v>
      </c>
      <c r="O145" s="42">
        <f>O144-O147-O148</f>
        <v>7250</v>
      </c>
      <c r="AT145" s="1">
        <f t="shared" si="282"/>
        <v>-5.8563822880145389E-2</v>
      </c>
      <c r="AU145" s="1">
        <f t="shared" si="283"/>
        <v>0.140116370498506</v>
      </c>
      <c r="AV145" s="1">
        <f t="shared" si="229"/>
        <v>0</v>
      </c>
    </row>
    <row r="146" spans="2:51" x14ac:dyDescent="0.3">
      <c r="B146" s="10" t="s">
        <v>104</v>
      </c>
      <c r="C146" s="42">
        <v>0</v>
      </c>
      <c r="D146" s="42">
        <v>0</v>
      </c>
      <c r="E146" s="42">
        <v>0</v>
      </c>
      <c r="F146" s="42">
        <v>0</v>
      </c>
      <c r="G146" s="42">
        <v>0</v>
      </c>
      <c r="H146" s="42">
        <v>0</v>
      </c>
      <c r="I146" s="42">
        <v>0</v>
      </c>
      <c r="J146" s="42">
        <v>0</v>
      </c>
      <c r="K146" s="42">
        <v>0</v>
      </c>
      <c r="L146" s="42">
        <v>0</v>
      </c>
      <c r="M146" s="42">
        <v>0</v>
      </c>
      <c r="N146" s="42">
        <v>0</v>
      </c>
      <c r="O146" s="42">
        <v>0</v>
      </c>
      <c r="AT146" s="1" t="e">
        <f t="shared" si="282"/>
        <v>#DIV/0!</v>
      </c>
      <c r="AU146" s="1" t="e">
        <f t="shared" si="283"/>
        <v>#DIV/0!</v>
      </c>
      <c r="AV146" s="1" t="str">
        <f t="shared" si="229"/>
        <v/>
      </c>
    </row>
    <row r="147" spans="2:51" x14ac:dyDescent="0.3">
      <c r="B147" s="10" t="s">
        <v>101</v>
      </c>
      <c r="C147" s="42">
        <v>0</v>
      </c>
      <c r="D147" s="42">
        <v>0</v>
      </c>
      <c r="E147" s="42">
        <v>19</v>
      </c>
      <c r="F147" s="42">
        <v>138</v>
      </c>
      <c r="G147" s="42">
        <v>115</v>
      </c>
      <c r="H147" s="42">
        <v>125</v>
      </c>
      <c r="I147" s="42">
        <v>196</v>
      </c>
      <c r="J147" s="42">
        <v>175</v>
      </c>
      <c r="K147" s="42">
        <v>144</v>
      </c>
      <c r="L147" s="42">
        <v>512</v>
      </c>
      <c r="M147" s="42">
        <v>400</v>
      </c>
      <c r="N147" s="42">
        <v>526</v>
      </c>
      <c r="O147" s="42">
        <v>477</v>
      </c>
      <c r="AT147" s="1">
        <f t="shared" si="282"/>
        <v>-9.3155893536121637E-2</v>
      </c>
      <c r="AU147" s="1">
        <f t="shared" si="283"/>
        <v>-6.8359375E-2</v>
      </c>
      <c r="AV147" s="1">
        <f t="shared" si="229"/>
        <v>0</v>
      </c>
      <c r="AY147" s="67"/>
    </row>
    <row r="148" spans="2:51" x14ac:dyDescent="0.3">
      <c r="B148" s="10" t="s">
        <v>102</v>
      </c>
      <c r="C148" s="42">
        <v>0</v>
      </c>
      <c r="D148" s="42">
        <v>0</v>
      </c>
      <c r="E148" s="42">
        <v>88</v>
      </c>
      <c r="F148" s="42">
        <v>187</v>
      </c>
      <c r="G148" s="42">
        <v>232</v>
      </c>
      <c r="H148" s="42">
        <v>202</v>
      </c>
      <c r="I148" s="42">
        <v>312</v>
      </c>
      <c r="J148" s="42">
        <v>222</v>
      </c>
      <c r="K148" s="42">
        <v>251</v>
      </c>
      <c r="L148" s="42">
        <v>769</v>
      </c>
      <c r="M148" s="42">
        <v>551</v>
      </c>
      <c r="N148" s="42">
        <v>903</v>
      </c>
      <c r="O148" s="42">
        <v>842</v>
      </c>
      <c r="AT148" s="1">
        <f t="shared" si="282"/>
        <v>-6.7552602436323328E-2</v>
      </c>
      <c r="AU148" s="1">
        <f t="shared" si="283"/>
        <v>9.4928478543563122E-2</v>
      </c>
      <c r="AV148" s="1">
        <f t="shared" si="229"/>
        <v>0</v>
      </c>
    </row>
    <row r="149" spans="2:51" x14ac:dyDescent="0.3">
      <c r="B149" s="9"/>
      <c r="C149" s="9"/>
      <c r="D149" s="9"/>
      <c r="E149" s="9"/>
      <c r="F149" s="9"/>
      <c r="AT149" s="1"/>
      <c r="AU149" s="1"/>
      <c r="AV149" s="1"/>
    </row>
    <row r="150" spans="2:51" x14ac:dyDescent="0.3">
      <c r="B150" s="47" t="s">
        <v>103</v>
      </c>
      <c r="C150" s="46">
        <f>IFERROR(C144/C$144,0)</f>
        <v>1</v>
      </c>
      <c r="D150" s="46">
        <f t="shared" ref="D150:H150" si="284">IFERROR(D144/D$144,0)</f>
        <v>1</v>
      </c>
      <c r="E150" s="46">
        <f t="shared" si="284"/>
        <v>1</v>
      </c>
      <c r="F150" s="46">
        <f t="shared" si="284"/>
        <v>1</v>
      </c>
      <c r="G150" s="46">
        <f t="shared" si="284"/>
        <v>1</v>
      </c>
      <c r="H150" s="46">
        <f t="shared" si="284"/>
        <v>1</v>
      </c>
      <c r="I150" s="46">
        <f t="shared" ref="I150:AS150" si="285">IFERROR(I144/I$144,0)</f>
        <v>1</v>
      </c>
      <c r="J150" s="46">
        <f t="shared" si="285"/>
        <v>1</v>
      </c>
      <c r="K150" s="46">
        <f t="shared" si="285"/>
        <v>1</v>
      </c>
      <c r="L150" s="46">
        <f t="shared" si="285"/>
        <v>1</v>
      </c>
      <c r="M150" s="46">
        <f t="shared" si="285"/>
        <v>1</v>
      </c>
      <c r="N150" s="46">
        <f t="shared" si="285"/>
        <v>1</v>
      </c>
      <c r="O150" s="46">
        <f t="shared" ref="O150" si="286">IFERROR(O144/O$144,0)</f>
        <v>1</v>
      </c>
      <c r="P150" s="46">
        <f t="shared" si="285"/>
        <v>0</v>
      </c>
      <c r="Q150" s="46">
        <f t="shared" si="285"/>
        <v>0</v>
      </c>
      <c r="R150" s="46">
        <f t="shared" si="285"/>
        <v>0</v>
      </c>
      <c r="S150" s="46">
        <f t="shared" si="285"/>
        <v>0</v>
      </c>
      <c r="T150" s="46">
        <f t="shared" si="285"/>
        <v>0</v>
      </c>
      <c r="U150" s="46">
        <f t="shared" si="285"/>
        <v>0</v>
      </c>
      <c r="V150" s="46">
        <f t="shared" si="285"/>
        <v>0</v>
      </c>
      <c r="W150" s="46">
        <f t="shared" si="285"/>
        <v>0</v>
      </c>
      <c r="X150" s="46">
        <f t="shared" si="285"/>
        <v>0</v>
      </c>
      <c r="Y150" s="46">
        <f t="shared" si="285"/>
        <v>0</v>
      </c>
      <c r="Z150" s="46">
        <f t="shared" si="285"/>
        <v>0</v>
      </c>
      <c r="AA150" s="46">
        <f t="shared" si="285"/>
        <v>0</v>
      </c>
      <c r="AB150" s="46">
        <f t="shared" si="285"/>
        <v>0</v>
      </c>
      <c r="AC150" s="46">
        <f t="shared" si="285"/>
        <v>0</v>
      </c>
      <c r="AD150" s="46">
        <f t="shared" si="285"/>
        <v>0</v>
      </c>
      <c r="AE150" s="46">
        <f t="shared" si="285"/>
        <v>0</v>
      </c>
      <c r="AF150" s="46">
        <f t="shared" si="285"/>
        <v>0</v>
      </c>
      <c r="AG150" s="46">
        <f t="shared" si="285"/>
        <v>0</v>
      </c>
      <c r="AH150" s="46">
        <f t="shared" si="285"/>
        <v>0</v>
      </c>
      <c r="AI150" s="46">
        <f t="shared" si="285"/>
        <v>0</v>
      </c>
      <c r="AJ150" s="46">
        <f t="shared" si="285"/>
        <v>0</v>
      </c>
      <c r="AK150" s="46">
        <f t="shared" si="285"/>
        <v>0</v>
      </c>
      <c r="AL150" s="46">
        <f t="shared" si="285"/>
        <v>0</v>
      </c>
      <c r="AM150" s="46">
        <f t="shared" si="285"/>
        <v>0</v>
      </c>
      <c r="AN150" s="46">
        <f t="shared" si="285"/>
        <v>0</v>
      </c>
      <c r="AO150" s="46">
        <f t="shared" si="285"/>
        <v>0</v>
      </c>
      <c r="AP150" s="46">
        <f t="shared" si="285"/>
        <v>0</v>
      </c>
      <c r="AQ150" s="46">
        <f t="shared" si="285"/>
        <v>0</v>
      </c>
      <c r="AR150" s="46">
        <f t="shared" si="285"/>
        <v>0</v>
      </c>
      <c r="AS150" s="46">
        <f t="shared" si="285"/>
        <v>0</v>
      </c>
      <c r="AT150" s="1">
        <f t="shared" ref="AT150:AT154" si="287">O150/N150-1</f>
        <v>0</v>
      </c>
      <c r="AU150" s="1">
        <f t="shared" ref="AU150:AU154" si="288">O150/L150-1</f>
        <v>0</v>
      </c>
      <c r="AV150" s="1" t="str">
        <f>IFERROR(HLOOKUP(LARGE($2:$2,1),$C$2:$XFD$210,ROW(AF148),FALSE)/HLOOKUP(SMALL($2:$2,1),$C$2:$XFD$210,ROW(AF148),FALSE)-1,"")</f>
        <v/>
      </c>
    </row>
    <row r="151" spans="2:51" x14ac:dyDescent="0.3">
      <c r="B151" s="10" t="s">
        <v>100</v>
      </c>
      <c r="C151" s="46">
        <f t="shared" ref="C151:H154" si="289">IFERROR(C145/C$144,0)</f>
        <v>1</v>
      </c>
      <c r="D151" s="46">
        <f t="shared" si="289"/>
        <v>1</v>
      </c>
      <c r="E151" s="46">
        <f t="shared" si="289"/>
        <v>0.96198934280639437</v>
      </c>
      <c r="F151" s="46">
        <f t="shared" si="289"/>
        <v>0.91230437128980035</v>
      </c>
      <c r="G151" s="46">
        <f t="shared" si="289"/>
        <v>0.90197740112994351</v>
      </c>
      <c r="H151" s="46">
        <f t="shared" si="289"/>
        <v>0.90909090909090906</v>
      </c>
      <c r="I151" s="46">
        <f t="shared" ref="I151:AS151" si="290">IFERROR(I145/I$144,0)</f>
        <v>0.89126712328767121</v>
      </c>
      <c r="J151" s="46">
        <f t="shared" si="290"/>
        <v>0.90231299212598426</v>
      </c>
      <c r="K151" s="46">
        <f t="shared" si="290"/>
        <v>0.89994934143870309</v>
      </c>
      <c r="L151" s="46">
        <f t="shared" si="290"/>
        <v>0.83232984293193712</v>
      </c>
      <c r="M151" s="46">
        <f t="shared" si="290"/>
        <v>0.8575280898876404</v>
      </c>
      <c r="N151" s="46">
        <f t="shared" si="290"/>
        <v>0.84348302300109534</v>
      </c>
      <c r="O151" s="46">
        <f t="shared" ref="O151" si="291">IFERROR(O145/O$144,0)</f>
        <v>0.84607305403197575</v>
      </c>
      <c r="P151" s="46">
        <f t="shared" si="290"/>
        <v>0</v>
      </c>
      <c r="Q151" s="46">
        <f t="shared" si="290"/>
        <v>0</v>
      </c>
      <c r="R151" s="46">
        <f t="shared" si="290"/>
        <v>0</v>
      </c>
      <c r="S151" s="46">
        <f t="shared" si="290"/>
        <v>0</v>
      </c>
      <c r="T151" s="46">
        <f t="shared" si="290"/>
        <v>0</v>
      </c>
      <c r="U151" s="46">
        <f t="shared" si="290"/>
        <v>0</v>
      </c>
      <c r="V151" s="46">
        <f t="shared" si="290"/>
        <v>0</v>
      </c>
      <c r="W151" s="46">
        <f t="shared" si="290"/>
        <v>0</v>
      </c>
      <c r="X151" s="46">
        <f t="shared" si="290"/>
        <v>0</v>
      </c>
      <c r="Y151" s="46">
        <f t="shared" si="290"/>
        <v>0</v>
      </c>
      <c r="Z151" s="46">
        <f t="shared" si="290"/>
        <v>0</v>
      </c>
      <c r="AA151" s="46">
        <f t="shared" si="290"/>
        <v>0</v>
      </c>
      <c r="AB151" s="46">
        <f t="shared" si="290"/>
        <v>0</v>
      </c>
      <c r="AC151" s="46">
        <f t="shared" si="290"/>
        <v>0</v>
      </c>
      <c r="AD151" s="46">
        <f t="shared" si="290"/>
        <v>0</v>
      </c>
      <c r="AE151" s="46">
        <f t="shared" si="290"/>
        <v>0</v>
      </c>
      <c r="AF151" s="46">
        <f t="shared" si="290"/>
        <v>0</v>
      </c>
      <c r="AG151" s="46">
        <f t="shared" si="290"/>
        <v>0</v>
      </c>
      <c r="AH151" s="46">
        <f t="shared" si="290"/>
        <v>0</v>
      </c>
      <c r="AI151" s="46">
        <f t="shared" si="290"/>
        <v>0</v>
      </c>
      <c r="AJ151" s="46">
        <f t="shared" si="290"/>
        <v>0</v>
      </c>
      <c r="AK151" s="46">
        <f t="shared" si="290"/>
        <v>0</v>
      </c>
      <c r="AL151" s="46">
        <f t="shared" si="290"/>
        <v>0</v>
      </c>
      <c r="AM151" s="46">
        <f t="shared" si="290"/>
        <v>0</v>
      </c>
      <c r="AN151" s="46">
        <f t="shared" si="290"/>
        <v>0</v>
      </c>
      <c r="AO151" s="46">
        <f t="shared" si="290"/>
        <v>0</v>
      </c>
      <c r="AP151" s="46">
        <f t="shared" si="290"/>
        <v>0</v>
      </c>
      <c r="AQ151" s="46">
        <f t="shared" si="290"/>
        <v>0</v>
      </c>
      <c r="AR151" s="46">
        <f t="shared" si="290"/>
        <v>0</v>
      </c>
      <c r="AS151" s="46">
        <f t="shared" si="290"/>
        <v>0</v>
      </c>
      <c r="AT151" s="1">
        <f t="shared" si="287"/>
        <v>3.0706380096010566E-3</v>
      </c>
      <c r="AU151" s="1">
        <f t="shared" si="288"/>
        <v>1.6511736563028068E-2</v>
      </c>
      <c r="AV151" s="1">
        <f>IFERROR(HLOOKUP(LARGE($2:$2,1),$C$2:$XFD$210,ROW(AF149),FALSE)/HLOOKUP(SMALL($2:$2,1),$C$2:$XFD$210,ROW(AF149),FALSE)-1,"")</f>
        <v>0</v>
      </c>
    </row>
    <row r="152" spans="2:51" x14ac:dyDescent="0.3">
      <c r="B152" s="10" t="s">
        <v>104</v>
      </c>
      <c r="C152" s="46">
        <f t="shared" si="289"/>
        <v>0</v>
      </c>
      <c r="D152" s="46">
        <f t="shared" si="289"/>
        <v>0</v>
      </c>
      <c r="E152" s="46">
        <f t="shared" si="289"/>
        <v>0</v>
      </c>
      <c r="F152" s="46">
        <f t="shared" si="289"/>
        <v>0</v>
      </c>
      <c r="G152" s="46">
        <f t="shared" si="289"/>
        <v>0</v>
      </c>
      <c r="H152" s="46">
        <f t="shared" si="289"/>
        <v>0</v>
      </c>
      <c r="I152" s="46">
        <f t="shared" ref="I152:AS152" si="292">IFERROR(I146/I$144,0)</f>
        <v>0</v>
      </c>
      <c r="J152" s="46">
        <f t="shared" si="292"/>
        <v>0</v>
      </c>
      <c r="K152" s="46">
        <f t="shared" si="292"/>
        <v>0</v>
      </c>
      <c r="L152" s="46">
        <f t="shared" si="292"/>
        <v>0</v>
      </c>
      <c r="M152" s="46">
        <f t="shared" si="292"/>
        <v>0</v>
      </c>
      <c r="N152" s="46">
        <f t="shared" si="292"/>
        <v>0</v>
      </c>
      <c r="O152" s="46">
        <f t="shared" ref="O152" si="293">IFERROR(O146/O$144,0)</f>
        <v>0</v>
      </c>
      <c r="P152" s="46">
        <f t="shared" si="292"/>
        <v>0</v>
      </c>
      <c r="Q152" s="46">
        <f t="shared" si="292"/>
        <v>0</v>
      </c>
      <c r="R152" s="46">
        <f t="shared" si="292"/>
        <v>0</v>
      </c>
      <c r="S152" s="46">
        <f t="shared" si="292"/>
        <v>0</v>
      </c>
      <c r="T152" s="46">
        <f t="shared" si="292"/>
        <v>0</v>
      </c>
      <c r="U152" s="46">
        <f t="shared" si="292"/>
        <v>0</v>
      </c>
      <c r="V152" s="46">
        <f t="shared" si="292"/>
        <v>0</v>
      </c>
      <c r="W152" s="46">
        <f t="shared" si="292"/>
        <v>0</v>
      </c>
      <c r="X152" s="46">
        <f t="shared" si="292"/>
        <v>0</v>
      </c>
      <c r="Y152" s="46">
        <f t="shared" si="292"/>
        <v>0</v>
      </c>
      <c r="Z152" s="46">
        <f t="shared" si="292"/>
        <v>0</v>
      </c>
      <c r="AA152" s="46">
        <f t="shared" si="292"/>
        <v>0</v>
      </c>
      <c r="AB152" s="46">
        <f t="shared" si="292"/>
        <v>0</v>
      </c>
      <c r="AC152" s="46">
        <f t="shared" si="292"/>
        <v>0</v>
      </c>
      <c r="AD152" s="46">
        <f t="shared" si="292"/>
        <v>0</v>
      </c>
      <c r="AE152" s="46">
        <f t="shared" si="292"/>
        <v>0</v>
      </c>
      <c r="AF152" s="46">
        <f t="shared" si="292"/>
        <v>0</v>
      </c>
      <c r="AG152" s="46">
        <f t="shared" si="292"/>
        <v>0</v>
      </c>
      <c r="AH152" s="46">
        <f t="shared" si="292"/>
        <v>0</v>
      </c>
      <c r="AI152" s="46">
        <f t="shared" si="292"/>
        <v>0</v>
      </c>
      <c r="AJ152" s="46">
        <f t="shared" si="292"/>
        <v>0</v>
      </c>
      <c r="AK152" s="46">
        <f t="shared" si="292"/>
        <v>0</v>
      </c>
      <c r="AL152" s="46">
        <f t="shared" si="292"/>
        <v>0</v>
      </c>
      <c r="AM152" s="46">
        <f t="shared" si="292"/>
        <v>0</v>
      </c>
      <c r="AN152" s="46">
        <f t="shared" si="292"/>
        <v>0</v>
      </c>
      <c r="AO152" s="46">
        <f t="shared" si="292"/>
        <v>0</v>
      </c>
      <c r="AP152" s="46">
        <f t="shared" si="292"/>
        <v>0</v>
      </c>
      <c r="AQ152" s="46">
        <f t="shared" si="292"/>
        <v>0</v>
      </c>
      <c r="AR152" s="46">
        <f t="shared" si="292"/>
        <v>0</v>
      </c>
      <c r="AS152" s="46">
        <f t="shared" si="292"/>
        <v>0</v>
      </c>
      <c r="AT152" s="1" t="e">
        <f t="shared" si="287"/>
        <v>#DIV/0!</v>
      </c>
      <c r="AU152" s="1" t="e">
        <f t="shared" si="288"/>
        <v>#DIV/0!</v>
      </c>
      <c r="AV152" s="1" t="str">
        <f>IFERROR(HLOOKUP(LARGE($2:$2,1),$C$2:$XFD$210,ROW(AF151),FALSE)/HLOOKUP(SMALL($2:$2,1),$C$2:$XFD$210,ROW(AF151),FALSE)-1,"")</f>
        <v/>
      </c>
    </row>
    <row r="153" spans="2:51" x14ac:dyDescent="0.3">
      <c r="B153" s="10" t="s">
        <v>101</v>
      </c>
      <c r="C153" s="46">
        <f t="shared" si="289"/>
        <v>0</v>
      </c>
      <c r="D153" s="46">
        <f t="shared" si="289"/>
        <v>0</v>
      </c>
      <c r="E153" s="46">
        <f t="shared" si="289"/>
        <v>6.7495559502664297E-3</v>
      </c>
      <c r="F153" s="46">
        <f t="shared" si="289"/>
        <v>3.7236913113869403E-2</v>
      </c>
      <c r="G153" s="46">
        <f t="shared" si="289"/>
        <v>3.2485875706214688E-2</v>
      </c>
      <c r="H153" s="46">
        <f t="shared" si="289"/>
        <v>3.4751181540172364E-2</v>
      </c>
      <c r="I153" s="46">
        <f t="shared" ref="I153:AS153" si="294">IFERROR(I147/I$144,0)</f>
        <v>4.1952054794520549E-2</v>
      </c>
      <c r="J153" s="46">
        <f t="shared" si="294"/>
        <v>4.3061023622047244E-2</v>
      </c>
      <c r="K153" s="46">
        <f t="shared" si="294"/>
        <v>3.64741641337386E-2</v>
      </c>
      <c r="L153" s="46">
        <f t="shared" si="294"/>
        <v>6.7015706806282729E-2</v>
      </c>
      <c r="M153" s="46">
        <f t="shared" si="294"/>
        <v>5.9925093632958802E-2</v>
      </c>
      <c r="N153" s="46">
        <f t="shared" si="294"/>
        <v>5.7612267250821469E-2</v>
      </c>
      <c r="O153" s="46">
        <f t="shared" ref="O153" si="295">IFERROR(O147/O$144,0)</f>
        <v>5.5665771968724471E-2</v>
      </c>
      <c r="P153" s="46">
        <f t="shared" si="294"/>
        <v>0</v>
      </c>
      <c r="Q153" s="46">
        <f t="shared" si="294"/>
        <v>0</v>
      </c>
      <c r="R153" s="46">
        <f t="shared" si="294"/>
        <v>0</v>
      </c>
      <c r="S153" s="46">
        <f t="shared" si="294"/>
        <v>0</v>
      </c>
      <c r="T153" s="46">
        <f t="shared" si="294"/>
        <v>0</v>
      </c>
      <c r="U153" s="46">
        <f t="shared" si="294"/>
        <v>0</v>
      </c>
      <c r="V153" s="46">
        <f t="shared" si="294"/>
        <v>0</v>
      </c>
      <c r="W153" s="46">
        <f t="shared" si="294"/>
        <v>0</v>
      </c>
      <c r="X153" s="46">
        <f t="shared" si="294"/>
        <v>0</v>
      </c>
      <c r="Y153" s="46">
        <f t="shared" si="294"/>
        <v>0</v>
      </c>
      <c r="Z153" s="46">
        <f t="shared" si="294"/>
        <v>0</v>
      </c>
      <c r="AA153" s="46">
        <f t="shared" si="294"/>
        <v>0</v>
      </c>
      <c r="AB153" s="46">
        <f t="shared" si="294"/>
        <v>0</v>
      </c>
      <c r="AC153" s="46">
        <f t="shared" si="294"/>
        <v>0</v>
      </c>
      <c r="AD153" s="46">
        <f t="shared" si="294"/>
        <v>0</v>
      </c>
      <c r="AE153" s="46">
        <f t="shared" si="294"/>
        <v>0</v>
      </c>
      <c r="AF153" s="46">
        <f t="shared" si="294"/>
        <v>0</v>
      </c>
      <c r="AG153" s="46">
        <f t="shared" si="294"/>
        <v>0</v>
      </c>
      <c r="AH153" s="46">
        <f t="shared" si="294"/>
        <v>0</v>
      </c>
      <c r="AI153" s="46">
        <f t="shared" si="294"/>
        <v>0</v>
      </c>
      <c r="AJ153" s="46">
        <f t="shared" si="294"/>
        <v>0</v>
      </c>
      <c r="AK153" s="46">
        <f t="shared" si="294"/>
        <v>0</v>
      </c>
      <c r="AL153" s="46">
        <f t="shared" si="294"/>
        <v>0</v>
      </c>
      <c r="AM153" s="46">
        <f t="shared" si="294"/>
        <v>0</v>
      </c>
      <c r="AN153" s="46">
        <f t="shared" si="294"/>
        <v>0</v>
      </c>
      <c r="AO153" s="46">
        <f t="shared" si="294"/>
        <v>0</v>
      </c>
      <c r="AP153" s="46">
        <f t="shared" si="294"/>
        <v>0</v>
      </c>
      <c r="AQ153" s="46">
        <f t="shared" si="294"/>
        <v>0</v>
      </c>
      <c r="AR153" s="46">
        <f t="shared" si="294"/>
        <v>0</v>
      </c>
      <c r="AS153" s="46">
        <f t="shared" si="294"/>
        <v>0</v>
      </c>
      <c r="AT153" s="1">
        <f t="shared" si="287"/>
        <v>-3.3786125333736816E-2</v>
      </c>
      <c r="AU153" s="1">
        <f t="shared" si="288"/>
        <v>-0.16936230890418957</v>
      </c>
      <c r="AV153" s="1">
        <f>IFERROR(HLOOKUP(LARGE($2:$2,1),$C$2:$XFD$210,ROW(AF152),FALSE)/HLOOKUP(SMALL($2:$2,1),$C$2:$XFD$210,ROW(AF152),FALSE)-1,"")</f>
        <v>0</v>
      </c>
    </row>
    <row r="154" spans="2:51" x14ac:dyDescent="0.3">
      <c r="B154" s="10" t="s">
        <v>102</v>
      </c>
      <c r="C154" s="46">
        <f t="shared" si="289"/>
        <v>0</v>
      </c>
      <c r="D154" s="46">
        <f t="shared" si="289"/>
        <v>0</v>
      </c>
      <c r="E154" s="46">
        <f t="shared" si="289"/>
        <v>3.1261101243339251E-2</v>
      </c>
      <c r="F154" s="46">
        <f t="shared" si="289"/>
        <v>5.0458715596330278E-2</v>
      </c>
      <c r="G154" s="46">
        <f t="shared" si="289"/>
        <v>6.5536723163841806E-2</v>
      </c>
      <c r="H154" s="46">
        <f t="shared" si="289"/>
        <v>5.615790936891854E-2</v>
      </c>
      <c r="I154" s="46">
        <f t="shared" ref="I154:AS154" si="296">IFERROR(I148/I$144,0)</f>
        <v>6.6780821917808222E-2</v>
      </c>
      <c r="J154" s="46">
        <f t="shared" si="296"/>
        <v>5.4625984251968504E-2</v>
      </c>
      <c r="K154" s="46">
        <f t="shared" si="296"/>
        <v>6.3576494427558264E-2</v>
      </c>
      <c r="L154" s="46">
        <f t="shared" si="296"/>
        <v>0.1006544502617801</v>
      </c>
      <c r="M154" s="46">
        <f t="shared" si="296"/>
        <v>8.254681647940075E-2</v>
      </c>
      <c r="N154" s="46">
        <f t="shared" si="296"/>
        <v>9.8904709748083242E-2</v>
      </c>
      <c r="O154" s="46">
        <f t="shared" ref="O154" si="297">IFERROR(O148/O$144,0)</f>
        <v>9.8261173999299803E-2</v>
      </c>
      <c r="P154" s="46">
        <f t="shared" si="296"/>
        <v>0</v>
      </c>
      <c r="Q154" s="46">
        <f t="shared" si="296"/>
        <v>0</v>
      </c>
      <c r="R154" s="46">
        <f t="shared" si="296"/>
        <v>0</v>
      </c>
      <c r="S154" s="46">
        <f t="shared" si="296"/>
        <v>0</v>
      </c>
      <c r="T154" s="46">
        <f t="shared" si="296"/>
        <v>0</v>
      </c>
      <c r="U154" s="46">
        <f t="shared" si="296"/>
        <v>0</v>
      </c>
      <c r="V154" s="46">
        <f t="shared" si="296"/>
        <v>0</v>
      </c>
      <c r="W154" s="46">
        <f t="shared" si="296"/>
        <v>0</v>
      </c>
      <c r="X154" s="46">
        <f t="shared" si="296"/>
        <v>0</v>
      </c>
      <c r="Y154" s="46">
        <f t="shared" si="296"/>
        <v>0</v>
      </c>
      <c r="Z154" s="46">
        <f t="shared" si="296"/>
        <v>0</v>
      </c>
      <c r="AA154" s="46">
        <f t="shared" si="296"/>
        <v>0</v>
      </c>
      <c r="AB154" s="46">
        <f t="shared" si="296"/>
        <v>0</v>
      </c>
      <c r="AC154" s="46">
        <f t="shared" si="296"/>
        <v>0</v>
      </c>
      <c r="AD154" s="46">
        <f t="shared" si="296"/>
        <v>0</v>
      </c>
      <c r="AE154" s="46">
        <f t="shared" si="296"/>
        <v>0</v>
      </c>
      <c r="AF154" s="46">
        <f t="shared" si="296"/>
        <v>0</v>
      </c>
      <c r="AG154" s="46">
        <f t="shared" si="296"/>
        <v>0</v>
      </c>
      <c r="AH154" s="46">
        <f t="shared" si="296"/>
        <v>0</v>
      </c>
      <c r="AI154" s="46">
        <f t="shared" si="296"/>
        <v>0</v>
      </c>
      <c r="AJ154" s="46">
        <f t="shared" si="296"/>
        <v>0</v>
      </c>
      <c r="AK154" s="46">
        <f t="shared" si="296"/>
        <v>0</v>
      </c>
      <c r="AL154" s="46">
        <f t="shared" si="296"/>
        <v>0</v>
      </c>
      <c r="AM154" s="46">
        <f t="shared" si="296"/>
        <v>0</v>
      </c>
      <c r="AN154" s="46">
        <f t="shared" si="296"/>
        <v>0</v>
      </c>
      <c r="AO154" s="46">
        <f t="shared" si="296"/>
        <v>0</v>
      </c>
      <c r="AP154" s="46">
        <f t="shared" si="296"/>
        <v>0</v>
      </c>
      <c r="AQ154" s="46">
        <f t="shared" si="296"/>
        <v>0</v>
      </c>
      <c r="AR154" s="46">
        <f t="shared" si="296"/>
        <v>0</v>
      </c>
      <c r="AS154" s="46">
        <f t="shared" si="296"/>
        <v>0</v>
      </c>
      <c r="AT154" s="1">
        <f t="shared" si="287"/>
        <v>-6.5066239051968511E-3</v>
      </c>
      <c r="AU154" s="1">
        <f t="shared" si="288"/>
        <v>-2.3777152984849836E-2</v>
      </c>
      <c r="AV154" s="1">
        <f>IFERROR(HLOOKUP(LARGE($2:$2,1),$C$2:$XFD$210,ROW(AF153),FALSE)/HLOOKUP(SMALL($2:$2,1),$C$2:$XFD$210,ROW(AF153),FALSE)-1,"")</f>
        <v>0</v>
      </c>
    </row>
    <row r="155" spans="2:51" x14ac:dyDescent="0.3">
      <c r="B155" s="9"/>
      <c r="C155" s="9"/>
      <c r="D155" s="9"/>
      <c r="E155" s="9"/>
      <c r="AT155" s="1"/>
      <c r="AU155" s="1"/>
      <c r="AV155" s="1"/>
    </row>
    <row r="156" spans="2:51" x14ac:dyDescent="0.3">
      <c r="B156" s="6" t="s">
        <v>105</v>
      </c>
      <c r="C156" s="42">
        <f t="shared" ref="C156:H156" si="298">IFERROR(SUM(C157:C167)-SUM(C162:C166),0)</f>
        <v>1004</v>
      </c>
      <c r="D156" s="42">
        <f t="shared" si="298"/>
        <v>1089</v>
      </c>
      <c r="E156" s="42">
        <f t="shared" si="298"/>
        <v>2090</v>
      </c>
      <c r="F156" s="42">
        <f t="shared" si="298"/>
        <v>2917</v>
      </c>
      <c r="G156" s="42">
        <f t="shared" si="298"/>
        <v>2866</v>
      </c>
      <c r="H156" s="42">
        <f t="shared" si="298"/>
        <v>2555</v>
      </c>
      <c r="I156" s="42">
        <v>3351</v>
      </c>
      <c r="J156" s="42">
        <v>3076</v>
      </c>
      <c r="K156" s="42">
        <v>3081</v>
      </c>
      <c r="L156" s="42">
        <v>5612</v>
      </c>
      <c r="M156" s="42">
        <v>4952</v>
      </c>
      <c r="N156" s="42">
        <v>6448</v>
      </c>
      <c r="O156" s="42">
        <f>SUM(O157:O167)</f>
        <v>6387</v>
      </c>
      <c r="AT156" s="1">
        <f t="shared" ref="AT156:AT167" si="299">O156/N156-1</f>
        <v>-9.4602977667493926E-3</v>
      </c>
      <c r="AU156" s="1">
        <f t="shared" ref="AU156:AU167" si="300">O156/L156-1</f>
        <v>0.1380969351389878</v>
      </c>
      <c r="AV156" s="1">
        <f t="shared" ref="AV156:AV167" si="301">IFERROR(HLOOKUP(LARGE($2:$2,1),$C$2:$XFD$210,ROW(AF155),FALSE)/HLOOKUP(SMALL($2:$2,1),$C$2:$XFD$210,ROW(AF155),FALSE)-1,"")</f>
        <v>0</v>
      </c>
    </row>
    <row r="157" spans="2:51" x14ac:dyDescent="0.3">
      <c r="B157" s="7" t="s">
        <v>1</v>
      </c>
      <c r="C157" s="43">
        <v>976</v>
      </c>
      <c r="D157" s="43">
        <v>1029</v>
      </c>
      <c r="E157" s="43">
        <v>1913</v>
      </c>
      <c r="F157" s="43">
        <v>2477</v>
      </c>
      <c r="G157" s="43">
        <v>2437</v>
      </c>
      <c r="H157" s="43">
        <v>2189</v>
      </c>
      <c r="I157" s="43">
        <v>2672</v>
      </c>
      <c r="J157" s="43">
        <v>2582</v>
      </c>
      <c r="K157" s="43">
        <v>2650</v>
      </c>
      <c r="L157" s="43">
        <v>4153</v>
      </c>
      <c r="M157" s="43">
        <v>3918</v>
      </c>
      <c r="N157" s="43">
        <v>4913</v>
      </c>
      <c r="O157" s="43">
        <v>4994</v>
      </c>
      <c r="AT157" s="1">
        <f t="shared" si="299"/>
        <v>1.6486871565235095E-2</v>
      </c>
      <c r="AU157" s="1">
        <f t="shared" si="300"/>
        <v>0.20250421382133399</v>
      </c>
      <c r="AV157" s="1">
        <f t="shared" si="301"/>
        <v>0</v>
      </c>
      <c r="AW157" s="67"/>
    </row>
    <row r="158" spans="2:51" x14ac:dyDescent="0.3">
      <c r="B158" s="7" t="s">
        <v>2</v>
      </c>
      <c r="C158" s="43">
        <f>IFERROR(GETPIVOTDATA("[Measures].[Sum of Registration]",'[1]Raw Data'!$A$3,"[Omniture].[Channel]","[Omniture].[Channel].&amp;["&amp;$B158&amp;"]","[Datekey].[YearMonth]","[Datekey].[YearMonth].&amp;["&amp;TEXT(C$2,"yyyy-aa-ggTss:dd:nn")&amp;"]"),0)</f>
        <v>0</v>
      </c>
      <c r="D158" s="43">
        <v>1</v>
      </c>
      <c r="E158" s="43">
        <v>29</v>
      </c>
      <c r="F158" s="43">
        <v>29</v>
      </c>
      <c r="G158" s="43">
        <v>4</v>
      </c>
      <c r="H158" s="43">
        <v>0</v>
      </c>
      <c r="I158" s="43">
        <v>0</v>
      </c>
      <c r="J158" s="43">
        <v>0</v>
      </c>
      <c r="K158" s="43">
        <v>0</v>
      </c>
      <c r="L158" s="43">
        <v>9</v>
      </c>
      <c r="M158" s="43">
        <v>0</v>
      </c>
      <c r="N158" s="43">
        <v>0</v>
      </c>
      <c r="O158" s="43">
        <v>0</v>
      </c>
      <c r="AT158" s="1" t="e">
        <f t="shared" si="299"/>
        <v>#DIV/0!</v>
      </c>
      <c r="AU158" s="1">
        <f t="shared" si="300"/>
        <v>-1</v>
      </c>
      <c r="AV158" s="1">
        <f t="shared" si="301"/>
        <v>0</v>
      </c>
    </row>
    <row r="159" spans="2:51" x14ac:dyDescent="0.3">
      <c r="B159" s="7" t="s">
        <v>3</v>
      </c>
      <c r="C159" s="43">
        <f>IFERROR(GETPIVOTDATA("[Measures].[Sum of Registration]",'[1]Raw Data'!$A$3,"[Omniture].[Channel]","[Omniture].[Channel].&amp;["&amp;$B159&amp;"]","[Datekey].[YearMonth]","[Datekey].[YearMonth].&amp;["&amp;TEXT(C$2,"yyyy-aa-ggTss:dd:nn")&amp;"]"),0)</f>
        <v>0</v>
      </c>
      <c r="D159" s="43">
        <v>0</v>
      </c>
      <c r="E159" s="43">
        <v>0</v>
      </c>
      <c r="F159" s="43">
        <v>2</v>
      </c>
      <c r="G159" s="43">
        <v>13</v>
      </c>
      <c r="H159" s="43">
        <v>8</v>
      </c>
      <c r="I159" s="43">
        <v>41</v>
      </c>
      <c r="J159" s="43">
        <v>31</v>
      </c>
      <c r="K159" s="43">
        <v>3</v>
      </c>
      <c r="L159" s="43">
        <v>31</v>
      </c>
      <c r="M159" s="43">
        <v>22</v>
      </c>
      <c r="N159" s="43">
        <v>23</v>
      </c>
      <c r="O159" s="43">
        <v>16</v>
      </c>
      <c r="AT159" s="1">
        <f t="shared" si="299"/>
        <v>-0.30434782608695654</v>
      </c>
      <c r="AU159" s="1">
        <f t="shared" si="300"/>
        <v>-0.4838709677419355</v>
      </c>
      <c r="AV159" s="1">
        <f t="shared" si="301"/>
        <v>0</v>
      </c>
    </row>
    <row r="160" spans="2:51" x14ac:dyDescent="0.3">
      <c r="B160" s="7" t="s">
        <v>0</v>
      </c>
      <c r="C160" s="43">
        <v>8</v>
      </c>
      <c r="D160" s="43">
        <v>29</v>
      </c>
      <c r="E160" s="43">
        <v>14</v>
      </c>
      <c r="F160" s="43">
        <v>64</v>
      </c>
      <c r="G160" s="43">
        <v>47</v>
      </c>
      <c r="H160" s="43">
        <v>12</v>
      </c>
      <c r="I160" s="43">
        <v>96</v>
      </c>
      <c r="J160" s="43">
        <v>34</v>
      </c>
      <c r="K160" s="43">
        <v>25</v>
      </c>
      <c r="L160" s="43">
        <v>112</v>
      </c>
      <c r="M160" s="43">
        <v>42</v>
      </c>
      <c r="N160" s="43">
        <v>61</v>
      </c>
      <c r="O160" s="43">
        <v>31</v>
      </c>
      <c r="AT160" s="1">
        <f t="shared" si="299"/>
        <v>-0.49180327868852458</v>
      </c>
      <c r="AU160" s="1">
        <f t="shared" si="300"/>
        <v>-0.7232142857142857</v>
      </c>
      <c r="AV160" s="1">
        <f t="shared" si="301"/>
        <v>0</v>
      </c>
    </row>
    <row r="161" spans="2:48" x14ac:dyDescent="0.3">
      <c r="B161" s="7" t="s">
        <v>17</v>
      </c>
      <c r="C161" s="43">
        <f t="shared" ref="C161:D161" si="302">IFERROR(SUM(C162:C166),0)</f>
        <v>0</v>
      </c>
      <c r="D161" s="43">
        <f t="shared" si="302"/>
        <v>0</v>
      </c>
      <c r="E161" s="43">
        <v>107</v>
      </c>
      <c r="F161" s="43">
        <v>325</v>
      </c>
      <c r="G161" s="43">
        <v>347</v>
      </c>
      <c r="H161" s="43">
        <v>327</v>
      </c>
      <c r="I161" s="43">
        <v>508</v>
      </c>
      <c r="J161" s="43">
        <v>397</v>
      </c>
      <c r="K161" s="43">
        <v>395</v>
      </c>
      <c r="L161" s="43">
        <v>1281</v>
      </c>
      <c r="M161" s="43">
        <v>951</v>
      </c>
      <c r="N161" s="43">
        <v>1429</v>
      </c>
      <c r="O161" s="43">
        <v>1319</v>
      </c>
      <c r="AT161" s="1">
        <f t="shared" si="299"/>
        <v>-7.6976906927921585E-2</v>
      </c>
      <c r="AU161" s="1">
        <f t="shared" si="300"/>
        <v>2.9664324746291992E-2</v>
      </c>
      <c r="AV161" s="1">
        <f t="shared" si="301"/>
        <v>0</v>
      </c>
    </row>
    <row r="162" spans="2:48" hidden="1" x14ac:dyDescent="0.3">
      <c r="B162" s="8" t="s">
        <v>8</v>
      </c>
      <c r="C162" s="41">
        <f t="shared" ref="C162" si="303">IFERROR(C147*80%*C124/(C124+C127),0)</f>
        <v>0</v>
      </c>
      <c r="D162" s="41">
        <v>0</v>
      </c>
      <c r="E162" s="41">
        <v>19</v>
      </c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AT162" s="1" t="e">
        <f t="shared" si="299"/>
        <v>#DIV/0!</v>
      </c>
      <c r="AU162" s="1" t="e">
        <f t="shared" si="300"/>
        <v>#DIV/0!</v>
      </c>
      <c r="AV162" s="1" t="str">
        <f t="shared" si="301"/>
        <v/>
      </c>
    </row>
    <row r="163" spans="2:48" hidden="1" x14ac:dyDescent="0.3">
      <c r="B163" s="8" t="s">
        <v>7</v>
      </c>
      <c r="C163" s="41">
        <f t="shared" ref="C163:D163" si="304">IFERROR(C148*80%*C125/(C125+C128),0)</f>
        <v>0</v>
      </c>
      <c r="D163" s="41">
        <f t="shared" si="304"/>
        <v>0</v>
      </c>
      <c r="E163" s="41"/>
      <c r="F163" s="41">
        <v>0</v>
      </c>
      <c r="G163" s="41">
        <v>0</v>
      </c>
      <c r="H163" s="41">
        <v>0</v>
      </c>
      <c r="I163" s="41"/>
      <c r="J163" s="41"/>
      <c r="K163" s="41"/>
      <c r="L163" s="41"/>
      <c r="M163" s="41"/>
      <c r="N163" s="41"/>
      <c r="O163" s="41"/>
      <c r="AT163" s="1" t="e">
        <f t="shared" si="299"/>
        <v>#DIV/0!</v>
      </c>
      <c r="AU163" s="1" t="e">
        <f t="shared" si="300"/>
        <v>#DIV/0!</v>
      </c>
      <c r="AV163" s="1" t="str">
        <f t="shared" si="301"/>
        <v/>
      </c>
    </row>
    <row r="164" spans="2:48" hidden="1" x14ac:dyDescent="0.3">
      <c r="B164" s="8" t="s">
        <v>18</v>
      </c>
      <c r="C164" s="41">
        <f t="shared" ref="C164:E164" si="305">IFERROR(C146*80%,0)</f>
        <v>0</v>
      </c>
      <c r="D164" s="41">
        <f t="shared" si="305"/>
        <v>0</v>
      </c>
      <c r="E164" s="41">
        <f t="shared" si="305"/>
        <v>0</v>
      </c>
      <c r="F164" s="41">
        <v>0</v>
      </c>
      <c r="G164" s="41">
        <v>0</v>
      </c>
      <c r="H164" s="41">
        <v>0</v>
      </c>
      <c r="I164" s="41"/>
      <c r="J164" s="41"/>
      <c r="K164" s="41"/>
      <c r="L164" s="41"/>
      <c r="M164" s="41"/>
      <c r="N164" s="41"/>
      <c r="O164" s="41"/>
      <c r="AT164" s="1" t="e">
        <f t="shared" si="299"/>
        <v>#DIV/0!</v>
      </c>
      <c r="AU164" s="1" t="e">
        <f t="shared" si="300"/>
        <v>#DIV/0!</v>
      </c>
      <c r="AV164" s="1" t="str">
        <f t="shared" si="301"/>
        <v/>
      </c>
    </row>
    <row r="165" spans="2:48" hidden="1" x14ac:dyDescent="0.3">
      <c r="B165" s="8" t="s">
        <v>6</v>
      </c>
      <c r="C165" s="41">
        <f t="shared" ref="C165:D165" si="306">IFERROR(C147*80%*C127/(C124+C127),0)</f>
        <v>0</v>
      </c>
      <c r="D165" s="41">
        <f t="shared" si="306"/>
        <v>0</v>
      </c>
      <c r="E165" s="41">
        <v>0</v>
      </c>
      <c r="F165" s="41">
        <v>0</v>
      </c>
      <c r="G165" s="41">
        <v>0</v>
      </c>
      <c r="H165" s="41">
        <v>0</v>
      </c>
      <c r="I165" s="41"/>
      <c r="J165" s="41"/>
      <c r="K165" s="41"/>
      <c r="L165" s="41"/>
      <c r="M165" s="41"/>
      <c r="N165" s="41"/>
      <c r="O165" s="41"/>
      <c r="AT165" s="1" t="e">
        <f t="shared" si="299"/>
        <v>#DIV/0!</v>
      </c>
      <c r="AU165" s="1" t="e">
        <f t="shared" si="300"/>
        <v>#DIV/0!</v>
      </c>
      <c r="AV165" s="1" t="str">
        <f t="shared" si="301"/>
        <v/>
      </c>
    </row>
    <row r="166" spans="2:48" hidden="1" x14ac:dyDescent="0.3">
      <c r="B166" s="8" t="s">
        <v>5</v>
      </c>
      <c r="C166" s="41">
        <f t="shared" ref="C166:D166" si="307">IFERROR(C148*80%*C128/(C125+C128),0)</f>
        <v>0</v>
      </c>
      <c r="D166" s="41">
        <f t="shared" si="307"/>
        <v>0</v>
      </c>
      <c r="E166" s="41">
        <v>0</v>
      </c>
      <c r="F166" s="41">
        <v>0</v>
      </c>
      <c r="G166" s="41">
        <v>0</v>
      </c>
      <c r="H166" s="41">
        <v>0</v>
      </c>
      <c r="I166" s="41"/>
      <c r="J166" s="41"/>
      <c r="K166" s="41"/>
      <c r="L166" s="41"/>
      <c r="M166" s="41"/>
      <c r="N166" s="41"/>
      <c r="O166" s="41"/>
      <c r="AT166" s="1" t="e">
        <f t="shared" si="299"/>
        <v>#DIV/0!</v>
      </c>
      <c r="AU166" s="1" t="e">
        <f t="shared" si="300"/>
        <v>#DIV/0!</v>
      </c>
      <c r="AV166" s="1" t="str">
        <f t="shared" si="301"/>
        <v/>
      </c>
    </row>
    <row r="167" spans="2:48" x14ac:dyDescent="0.3">
      <c r="B167" s="7" t="s">
        <v>4</v>
      </c>
      <c r="C167" s="43">
        <v>20</v>
      </c>
      <c r="D167" s="43">
        <v>30</v>
      </c>
      <c r="E167" s="43">
        <v>27</v>
      </c>
      <c r="F167" s="43">
        <v>20</v>
      </c>
      <c r="G167" s="43">
        <v>18</v>
      </c>
      <c r="H167" s="43">
        <v>19</v>
      </c>
      <c r="I167" s="43">
        <v>34</v>
      </c>
      <c r="J167" s="43">
        <v>32</v>
      </c>
      <c r="K167" s="43">
        <v>8</v>
      </c>
      <c r="L167" s="43">
        <v>26</v>
      </c>
      <c r="M167" s="43">
        <v>19</v>
      </c>
      <c r="N167" s="43">
        <v>22</v>
      </c>
      <c r="O167" s="43">
        <v>27</v>
      </c>
      <c r="AT167" s="1">
        <f t="shared" si="299"/>
        <v>0.22727272727272729</v>
      </c>
      <c r="AU167" s="1">
        <f t="shared" si="300"/>
        <v>3.8461538461538547E-2</v>
      </c>
      <c r="AV167" s="1">
        <f t="shared" si="301"/>
        <v>0</v>
      </c>
    </row>
    <row r="168" spans="2:48" x14ac:dyDescent="0.3">
      <c r="AT168" s="1"/>
      <c r="AU168" s="1"/>
    </row>
    <row r="169" spans="2:48" x14ac:dyDescent="0.3">
      <c r="B169" s="6" t="s">
        <v>106</v>
      </c>
      <c r="C169" s="53">
        <f t="shared" ref="C169:H169" si="308">IFERROR((C42)/C156,0)</f>
        <v>8.9515537848605558</v>
      </c>
      <c r="D169" s="53">
        <f t="shared" si="308"/>
        <v>8.184563820018365</v>
      </c>
      <c r="E169" s="53">
        <f t="shared" si="308"/>
        <v>11.465765550239235</v>
      </c>
      <c r="F169" s="53">
        <f t="shared" si="308"/>
        <v>15.929273225917038</v>
      </c>
      <c r="G169" s="53">
        <f t="shared" si="308"/>
        <v>11.919487090020933</v>
      </c>
      <c r="H169" s="53">
        <f t="shared" si="308"/>
        <v>9.4800313111545975</v>
      </c>
      <c r="I169" s="53">
        <f t="shared" ref="I169:J169" si="309">IFERROR((I42)/I156,0)</f>
        <v>10.533401969561325</v>
      </c>
      <c r="J169" s="53">
        <f t="shared" si="309"/>
        <v>10.565711963589077</v>
      </c>
      <c r="K169" s="53">
        <f t="shared" ref="K169:L169" si="310">IFERROR((K42)/K156,0)</f>
        <v>9.6117234664070139</v>
      </c>
      <c r="L169" s="53">
        <f t="shared" si="310"/>
        <v>7.646947612259444</v>
      </c>
      <c r="M169" s="53">
        <f t="shared" ref="M169:N169" si="311">IFERROR((M42)/M156,0)</f>
        <v>10.51020799676898</v>
      </c>
      <c r="N169" s="53">
        <f t="shared" si="311"/>
        <v>6.8529761166253103</v>
      </c>
      <c r="O169" s="53">
        <f t="shared" ref="O169" si="312">IFERROR((O42)/O156,0)</f>
        <v>7.8024127133239398</v>
      </c>
      <c r="AT169" s="1">
        <f t="shared" ref="AT169:AT175" si="313">O169/N169-1</f>
        <v>0.13854368971099973</v>
      </c>
      <c r="AU169" s="1">
        <f t="shared" ref="AU169:AU175" si="314">O169/L169-1</f>
        <v>2.0330347342154775E-2</v>
      </c>
      <c r="AV169" s="1">
        <f t="shared" ref="AV169:AV174" si="315">IFERROR(HLOOKUP(LARGE($2:$2,1),$C$2:$XFD$210,ROW(AF168),FALSE)/HLOOKUP(SMALL($2:$2,1),$C$2:$XFD$210,ROW(AF168),FALSE)-1,"")</f>
        <v>0</v>
      </c>
    </row>
    <row r="170" spans="2:48" x14ac:dyDescent="0.3">
      <c r="B170" s="7" t="s">
        <v>1</v>
      </c>
      <c r="C170" s="50">
        <f t="shared" ref="C170:H173" si="316">IFERROR(C43/C157,0)</f>
        <v>8.1284016393442613</v>
      </c>
      <c r="D170" s="50">
        <f t="shared" si="316"/>
        <v>7.9575315840621963</v>
      </c>
      <c r="E170" s="50">
        <f t="shared" si="316"/>
        <v>9.9375588081547299</v>
      </c>
      <c r="F170" s="50">
        <f t="shared" si="316"/>
        <v>11.017848203471942</v>
      </c>
      <c r="G170" s="50">
        <f t="shared" si="316"/>
        <v>10.171058678703323</v>
      </c>
      <c r="H170" s="50">
        <f t="shared" si="316"/>
        <v>10.195970762905436</v>
      </c>
      <c r="I170" s="50">
        <f t="shared" ref="I170:J170" si="317">IFERROR(I43/I157,0)</f>
        <v>11.742949101796407</v>
      </c>
      <c r="J170" s="50">
        <f t="shared" si="317"/>
        <v>11.138350116189001</v>
      </c>
      <c r="K170" s="50">
        <f t="shared" ref="K170:L170" si="318">IFERROR(K43/K157,0)</f>
        <v>10.505467924528302</v>
      </c>
      <c r="L170" s="50">
        <f t="shared" si="318"/>
        <v>8.254796532627017</v>
      </c>
      <c r="M170" s="50">
        <f t="shared" ref="M170:N170" si="319">IFERROR(M43/M157,0)</f>
        <v>10.295165900969883</v>
      </c>
      <c r="N170" s="50">
        <f t="shared" si="319"/>
        <v>7.7914207205373502</v>
      </c>
      <c r="O170" s="50">
        <f t="shared" ref="O170" si="320">IFERROR(O43/O157,0)</f>
        <v>9.1175410492591116</v>
      </c>
      <c r="AT170" s="1">
        <f t="shared" si="313"/>
        <v>0.17020263393378943</v>
      </c>
      <c r="AU170" s="1">
        <f t="shared" si="314"/>
        <v>0.10451432851459197</v>
      </c>
      <c r="AV170" s="1">
        <f t="shared" si="315"/>
        <v>0</v>
      </c>
    </row>
    <row r="171" spans="2:48" x14ac:dyDescent="0.3">
      <c r="B171" s="7" t="s">
        <v>2</v>
      </c>
      <c r="C171" s="50">
        <f t="shared" si="316"/>
        <v>0</v>
      </c>
      <c r="D171" s="50">
        <f t="shared" si="316"/>
        <v>142.41999999999999</v>
      </c>
      <c r="E171" s="50">
        <f t="shared" si="316"/>
        <v>0.93448275862068975</v>
      </c>
      <c r="F171" s="50">
        <f t="shared" si="316"/>
        <v>48.517586206896553</v>
      </c>
      <c r="G171" s="50">
        <f t="shared" si="316"/>
        <v>105.7</v>
      </c>
      <c r="H171" s="50">
        <f t="shared" si="316"/>
        <v>0</v>
      </c>
      <c r="I171" s="50">
        <f t="shared" ref="I171:J171" si="321">IFERROR(I44/I158,0)</f>
        <v>0</v>
      </c>
      <c r="J171" s="50">
        <f t="shared" si="321"/>
        <v>0</v>
      </c>
      <c r="K171" s="50">
        <f t="shared" ref="K171:L171" si="322">IFERROR(K44/K158,0)</f>
        <v>0</v>
      </c>
      <c r="L171" s="50">
        <f t="shared" si="322"/>
        <v>14.087777777777779</v>
      </c>
      <c r="M171" s="50">
        <f t="shared" ref="M171:N171" si="323">IFERROR(M44/M158,0)</f>
        <v>0</v>
      </c>
      <c r="N171" s="50">
        <f t="shared" si="323"/>
        <v>0</v>
      </c>
      <c r="O171" s="50">
        <f t="shared" ref="O171" si="324">IFERROR(O44/O158,0)</f>
        <v>0</v>
      </c>
      <c r="AT171" s="1" t="e">
        <f t="shared" si="313"/>
        <v>#DIV/0!</v>
      </c>
      <c r="AU171" s="1">
        <f t="shared" si="314"/>
        <v>-1</v>
      </c>
      <c r="AV171" s="1">
        <f t="shared" si="315"/>
        <v>0</v>
      </c>
    </row>
    <row r="172" spans="2:48" x14ac:dyDescent="0.3">
      <c r="B172" s="7" t="s">
        <v>3</v>
      </c>
      <c r="C172" s="50">
        <f t="shared" si="316"/>
        <v>0</v>
      </c>
      <c r="D172" s="50">
        <f t="shared" si="316"/>
        <v>0</v>
      </c>
      <c r="E172" s="50">
        <f t="shared" si="316"/>
        <v>0</v>
      </c>
      <c r="F172" s="50">
        <f t="shared" si="316"/>
        <v>1036.69</v>
      </c>
      <c r="G172" s="50">
        <f t="shared" si="316"/>
        <v>41.367692307692309</v>
      </c>
      <c r="H172" s="50">
        <f t="shared" si="316"/>
        <v>15.45</v>
      </c>
      <c r="I172" s="50">
        <f t="shared" ref="I172:J172" si="325">IFERROR(I45/I159,0)</f>
        <v>24.01439024390244</v>
      </c>
      <c r="J172" s="50">
        <f t="shared" si="325"/>
        <v>51.417741935483875</v>
      </c>
      <c r="K172" s="50">
        <f t="shared" ref="K172:L172" si="326">IFERROR(K45/K159,0)</f>
        <v>36.270000000000003</v>
      </c>
      <c r="L172" s="50">
        <f t="shared" si="326"/>
        <v>53.361612903225804</v>
      </c>
      <c r="M172" s="50">
        <f t="shared" ref="M172:N172" si="327">IFERROR(M45/M159,0)</f>
        <v>145.49181818181819</v>
      </c>
      <c r="N172" s="50">
        <f t="shared" si="327"/>
        <v>79.384782608695645</v>
      </c>
      <c r="O172" s="50">
        <f t="shared" ref="O172" si="328">IFERROR(O45/O159,0)</f>
        <v>114</v>
      </c>
      <c r="AT172" s="1">
        <f t="shared" si="313"/>
        <v>0.43604348659528447</v>
      </c>
      <c r="AU172" s="1">
        <f t="shared" si="314"/>
        <v>1.136367208516452</v>
      </c>
      <c r="AV172" s="1">
        <f t="shared" si="315"/>
        <v>0</v>
      </c>
    </row>
    <row r="173" spans="2:48" x14ac:dyDescent="0.3">
      <c r="B173" s="7" t="s">
        <v>0</v>
      </c>
      <c r="C173" s="50">
        <f t="shared" si="316"/>
        <v>34.863750000000003</v>
      </c>
      <c r="D173" s="50">
        <f t="shared" si="316"/>
        <v>15.693448275862069</v>
      </c>
      <c r="E173" s="50">
        <f t="shared" si="316"/>
        <v>41.855000000000004</v>
      </c>
      <c r="F173" s="50">
        <f t="shared" si="316"/>
        <v>45.859843750000003</v>
      </c>
      <c r="G173" s="50">
        <f t="shared" si="316"/>
        <v>30.653404255319149</v>
      </c>
      <c r="H173" s="50">
        <f t="shared" si="316"/>
        <v>18.092500000000001</v>
      </c>
      <c r="I173" s="50">
        <f t="shared" ref="I173:J173" si="329">IFERROR(I46/I160,0)</f>
        <v>15.008229166666666</v>
      </c>
      <c r="J173" s="50">
        <f t="shared" si="329"/>
        <v>19.651764705882353</v>
      </c>
      <c r="K173" s="50">
        <f t="shared" ref="K173:L173" si="330">IFERROR(K46/K160,0)</f>
        <v>7.4932000000000007</v>
      </c>
      <c r="L173" s="50">
        <f t="shared" si="330"/>
        <v>11.604732142857143</v>
      </c>
      <c r="M173" s="50">
        <f t="shared" ref="M173:N173" si="331">IFERROR(M46/M160,0)</f>
        <v>28.633571428571425</v>
      </c>
      <c r="N173" s="50">
        <f t="shared" si="331"/>
        <v>4.4672131147540988</v>
      </c>
      <c r="O173" s="50">
        <f t="shared" ref="O173" si="332">IFERROR(O46/O160,0)</f>
        <v>9.5161290322580641</v>
      </c>
      <c r="AT173" s="1">
        <f t="shared" si="313"/>
        <v>1.1302160402485941</v>
      </c>
      <c r="AU173" s="1">
        <f t="shared" si="314"/>
        <v>-0.17997857123179184</v>
      </c>
      <c r="AV173" s="1">
        <f t="shared" si="315"/>
        <v>0</v>
      </c>
    </row>
    <row r="174" spans="2:48" x14ac:dyDescent="0.3">
      <c r="B174" s="7" t="s">
        <v>17</v>
      </c>
      <c r="C174" s="50">
        <f>IFERROR(C47/C161,0)</f>
        <v>0</v>
      </c>
      <c r="D174" s="50">
        <f t="shared" ref="D174:H174" si="333">IFERROR(D47/D161,0)</f>
        <v>0</v>
      </c>
      <c r="E174" s="50">
        <f t="shared" si="333"/>
        <v>33.883177570093459</v>
      </c>
      <c r="F174" s="50">
        <f t="shared" si="333"/>
        <v>38.289415384615388</v>
      </c>
      <c r="G174" s="50">
        <f t="shared" si="333"/>
        <v>20.000403458213256</v>
      </c>
      <c r="H174" s="50">
        <f t="shared" si="333"/>
        <v>4.6455657492354741</v>
      </c>
      <c r="I174" s="50">
        <f t="shared" ref="I174:J174" si="334">IFERROR(I47/I161,0)</f>
        <v>0.84358267716535429</v>
      </c>
      <c r="J174" s="50">
        <f t="shared" si="334"/>
        <v>3.5229722921914357</v>
      </c>
      <c r="K174" s="50">
        <f t="shared" ref="K174:L174" si="335">IFERROR(K47/K161,0)</f>
        <v>3.6491898734177215</v>
      </c>
      <c r="L174" s="50">
        <f t="shared" si="335"/>
        <v>4.2829976580796245</v>
      </c>
      <c r="M174" s="50">
        <f t="shared" ref="M174:N174" si="336">IFERROR(M47/M161,0)</f>
        <v>7.6324710830704516</v>
      </c>
      <c r="N174" s="50">
        <f t="shared" si="336"/>
        <v>2.6220643806857944</v>
      </c>
      <c r="O174" s="50">
        <f t="shared" ref="O174" si="337">IFERROR(O47/O161,0)</f>
        <v>1.5916982562547384</v>
      </c>
      <c r="AT174" s="1">
        <f t="shared" si="313"/>
        <v>-0.39295988764454604</v>
      </c>
      <c r="AU174" s="1">
        <f t="shared" si="314"/>
        <v>-0.62836817030425118</v>
      </c>
      <c r="AV174" s="1">
        <f t="shared" si="315"/>
        <v>0</v>
      </c>
    </row>
    <row r="175" spans="2:48" x14ac:dyDescent="0.3">
      <c r="B175" s="7" t="s">
        <v>4</v>
      </c>
      <c r="C175" s="50">
        <f>IFERROR(C53/C167,0)</f>
        <v>0</v>
      </c>
      <c r="D175" s="50">
        <f t="shared" ref="D175:H175" si="338">IFERROR(D53/D167,0)</f>
        <v>0</v>
      </c>
      <c r="E175" s="50">
        <f t="shared" si="338"/>
        <v>10.62962962962963</v>
      </c>
      <c r="F175" s="50">
        <f t="shared" si="338"/>
        <v>15.75</v>
      </c>
      <c r="G175" s="50">
        <f t="shared" si="338"/>
        <v>1.8305555555555557</v>
      </c>
      <c r="H175" s="50">
        <f t="shared" si="338"/>
        <v>2.2468421052631578</v>
      </c>
      <c r="I175" s="50">
        <f t="shared" ref="I175:J175" si="339">IFERROR(I53/I167,0)</f>
        <v>1.6014705882352942</v>
      </c>
      <c r="J175" s="50">
        <f t="shared" si="339"/>
        <v>2.5056250000000002</v>
      </c>
      <c r="K175" s="50">
        <f t="shared" ref="K175:L175" si="340">IFERROR(K53/K167,0)</f>
        <v>4.5824999999999996</v>
      </c>
      <c r="L175" s="50">
        <f t="shared" si="340"/>
        <v>2.5096153846153846</v>
      </c>
      <c r="M175" s="50">
        <f t="shared" ref="M175:N175" si="341">IFERROR(M53/M167,0)</f>
        <v>2.5357894736842104</v>
      </c>
      <c r="N175" s="50">
        <f t="shared" si="341"/>
        <v>2.8845454545454547</v>
      </c>
      <c r="O175" s="50">
        <f>IFERROR(O53/O167,0)</f>
        <v>3.0577777777777779</v>
      </c>
      <c r="AT175" s="1">
        <f t="shared" si="313"/>
        <v>6.005532794060997E-2</v>
      </c>
      <c r="AU175" s="1">
        <f t="shared" si="314"/>
        <v>0.21842486164325248</v>
      </c>
      <c r="AV175" s="1" t="str">
        <f>IFERROR(HLOOKUP(LARGE($2:$2,1),$C$2:$XFD$210,ROW(#REF!),FALSE)/HLOOKUP(SMALL($2:$2,1),$C$2:$XFD$210,ROW(#REF!),FALSE)-1,"")</f>
        <v/>
      </c>
    </row>
    <row r="176" spans="2:48" x14ac:dyDescent="0.3">
      <c r="AT176" s="1"/>
    </row>
  </sheetData>
  <autoFilter ref="B2:XEU14"/>
  <conditionalFormatting sqref="AV143 AV67:AV72 AV75:AV92 AV117:AV130 AV105:AV110 AV54 AV3:AV41 AT3:AT105 AT108 AT111 AT117 AT130 AT139 AT143 AT149 AT155 AT168">
    <cfRule type="containsBlanks" dxfId="90" priority="3479">
      <formula>LEN(TRIM(AT3))=0</formula>
    </cfRule>
    <cfRule type="cellIs" dxfId="89" priority="3482" operator="lessThanOrEqual">
      <formula>-0.1</formula>
    </cfRule>
    <cfRule type="cellIs" dxfId="88" priority="3483" operator="greaterThanOrEqual">
      <formula>0.1</formula>
    </cfRule>
  </conditionalFormatting>
  <conditionalFormatting sqref="AV54">
    <cfRule type="cellIs" dxfId="87" priority="3481" operator="greaterThanOrEqual">
      <formula>0.1</formula>
    </cfRule>
  </conditionalFormatting>
  <conditionalFormatting sqref="AV54">
    <cfRule type="cellIs" dxfId="86" priority="3480" operator="lessThanOrEqual">
      <formula>-0.1</formula>
    </cfRule>
  </conditionalFormatting>
  <conditionalFormatting sqref="AV42:AV53 AV55:AV66 AV93:AV104 AV131:AV142 AV169:AV175">
    <cfRule type="cellIs" dxfId="85" priority="3477" operator="greaterThanOrEqual">
      <formula>0.1</formula>
    </cfRule>
    <cfRule type="cellIs" dxfId="84" priority="3478" operator="lessThanOrEqual">
      <formula>-0.1</formula>
    </cfRule>
  </conditionalFormatting>
  <conditionalFormatting sqref="AV73">
    <cfRule type="containsBlanks" dxfId="83" priority="3474">
      <formula>LEN(TRIM(AV73))=0</formula>
    </cfRule>
    <cfRule type="cellIs" dxfId="82" priority="3475" operator="lessThanOrEqual">
      <formula>-0.1</formula>
    </cfRule>
    <cfRule type="cellIs" dxfId="81" priority="3476" operator="greaterThanOrEqual">
      <formula>0.1</formula>
    </cfRule>
  </conditionalFormatting>
  <conditionalFormatting sqref="AV111">
    <cfRule type="containsBlanks" dxfId="80" priority="3471">
      <formula>LEN(TRIM(AV111))=0</formula>
    </cfRule>
    <cfRule type="cellIs" dxfId="79" priority="3472" operator="lessThanOrEqual">
      <formula>-0.1</formula>
    </cfRule>
    <cfRule type="cellIs" dxfId="78" priority="3473" operator="greaterThanOrEqual">
      <formula>0.1</formula>
    </cfRule>
  </conditionalFormatting>
  <conditionalFormatting sqref="AV113:AV116">
    <cfRule type="containsBlanks" dxfId="77" priority="3468">
      <formula>LEN(TRIM(AV113))=0</formula>
    </cfRule>
    <cfRule type="cellIs" dxfId="76" priority="3469" operator="lessThanOrEqual">
      <formula>-0.1</formula>
    </cfRule>
    <cfRule type="cellIs" dxfId="75" priority="3470" operator="greaterThanOrEqual">
      <formula>0.1</formula>
    </cfRule>
  </conditionalFormatting>
  <conditionalFormatting sqref="AV74">
    <cfRule type="containsBlanks" dxfId="74" priority="3465">
      <formula>LEN(TRIM(AV74))=0</formula>
    </cfRule>
    <cfRule type="cellIs" dxfId="73" priority="3466" operator="lessThanOrEqual">
      <formula>-0.1</formula>
    </cfRule>
    <cfRule type="cellIs" dxfId="72" priority="3467" operator="greaterThanOrEqual">
      <formula>0.1</formula>
    </cfRule>
  </conditionalFormatting>
  <conditionalFormatting sqref="AV112">
    <cfRule type="containsBlanks" dxfId="71" priority="3462">
      <formula>LEN(TRIM(AV112))=0</formula>
    </cfRule>
    <cfRule type="cellIs" dxfId="70" priority="3463" operator="lessThanOrEqual">
      <formula>-0.1</formula>
    </cfRule>
    <cfRule type="cellIs" dxfId="69" priority="3464" operator="greaterThanOrEqual">
      <formula>0.1</formula>
    </cfRule>
  </conditionalFormatting>
  <conditionalFormatting sqref="AV144:AV148 AV151:AV167">
    <cfRule type="containsBlanks" dxfId="68" priority="3057">
      <formula>LEN(TRIM(AV144))=0</formula>
    </cfRule>
    <cfRule type="cellIs" dxfId="67" priority="3058" operator="lessThanOrEqual">
      <formula>-0.1</formula>
    </cfRule>
    <cfRule type="cellIs" dxfId="66" priority="3059" operator="greaterThanOrEqual">
      <formula>0.1</formula>
    </cfRule>
  </conditionalFormatting>
  <conditionalFormatting sqref="AV149">
    <cfRule type="containsBlanks" dxfId="65" priority="3054">
      <formula>LEN(TRIM(AV149))=0</formula>
    </cfRule>
    <cfRule type="cellIs" dxfId="64" priority="3055" operator="lessThanOrEqual">
      <formula>-0.1</formula>
    </cfRule>
    <cfRule type="cellIs" dxfId="63" priority="3056" operator="greaterThanOrEqual">
      <formula>0.1</formula>
    </cfRule>
  </conditionalFormatting>
  <conditionalFormatting sqref="AV150">
    <cfRule type="containsBlanks" dxfId="62" priority="3051">
      <formula>LEN(TRIM(AV150))=0</formula>
    </cfRule>
    <cfRule type="cellIs" dxfId="61" priority="3052" operator="lessThanOrEqual">
      <formula>-0.1</formula>
    </cfRule>
    <cfRule type="cellIs" dxfId="60" priority="3053" operator="greaterThanOrEqual">
      <formula>0.1</formula>
    </cfRule>
  </conditionalFormatting>
  <conditionalFormatting sqref="AT176">
    <cfRule type="containsBlanks" dxfId="59" priority="454">
      <formula>LEN(TRIM(AT176))=0</formula>
    </cfRule>
    <cfRule type="cellIs" dxfId="58" priority="455" operator="lessThanOrEqual">
      <formula>-0.1</formula>
    </cfRule>
    <cfRule type="cellIs" dxfId="57" priority="456" operator="greaterThanOrEqual">
      <formula>0.1</formula>
    </cfRule>
  </conditionalFormatting>
  <conditionalFormatting sqref="AU3:AU105 AU108 AU111 AU117 AU130 AU139 AU143 AU149 AU155 AU168">
    <cfRule type="containsBlanks" dxfId="56" priority="394">
      <formula>LEN(TRIM(AU3))=0</formula>
    </cfRule>
    <cfRule type="cellIs" dxfId="55" priority="395" operator="lessThanOrEqual">
      <formula>-0.1</formula>
    </cfRule>
    <cfRule type="cellIs" dxfId="54" priority="396" operator="greaterThanOrEqual">
      <formula>0.1</formula>
    </cfRule>
  </conditionalFormatting>
  <conditionalFormatting sqref="AT106:AT107 AT109:AT110">
    <cfRule type="containsBlanks" dxfId="53" priority="52">
      <formula>LEN(TRIM(AT106))=0</formula>
    </cfRule>
    <cfRule type="cellIs" dxfId="52" priority="53" operator="lessThanOrEqual">
      <formula>-0.1</formula>
    </cfRule>
    <cfRule type="cellIs" dxfId="51" priority="54" operator="greaterThanOrEqual">
      <formula>0.1</formula>
    </cfRule>
  </conditionalFormatting>
  <conditionalFormatting sqref="AU106:AU107 AU109:AU110">
    <cfRule type="containsBlanks" dxfId="50" priority="49">
      <formula>LEN(TRIM(AU106))=0</formula>
    </cfRule>
    <cfRule type="cellIs" dxfId="49" priority="50" operator="lessThanOrEqual">
      <formula>-0.1</formula>
    </cfRule>
    <cfRule type="cellIs" dxfId="48" priority="51" operator="greaterThanOrEqual">
      <formula>0.1</formula>
    </cfRule>
  </conditionalFormatting>
  <conditionalFormatting sqref="AT112:AT116">
    <cfRule type="containsBlanks" dxfId="47" priority="46">
      <formula>LEN(TRIM(AT112))=0</formula>
    </cfRule>
    <cfRule type="cellIs" dxfId="46" priority="47" operator="lessThanOrEqual">
      <formula>-0.1</formula>
    </cfRule>
    <cfRule type="cellIs" dxfId="45" priority="48" operator="greaterThanOrEqual">
      <formula>0.1</formula>
    </cfRule>
  </conditionalFormatting>
  <conditionalFormatting sqref="AU112:AU116">
    <cfRule type="containsBlanks" dxfId="44" priority="43">
      <formula>LEN(TRIM(AU112))=0</formula>
    </cfRule>
    <cfRule type="cellIs" dxfId="43" priority="44" operator="lessThanOrEqual">
      <formula>-0.1</formula>
    </cfRule>
    <cfRule type="cellIs" dxfId="42" priority="45" operator="greaterThanOrEqual">
      <formula>0.1</formula>
    </cfRule>
  </conditionalFormatting>
  <conditionalFormatting sqref="AT118:AT129">
    <cfRule type="containsBlanks" dxfId="41" priority="40">
      <formula>LEN(TRIM(AT118))=0</formula>
    </cfRule>
    <cfRule type="cellIs" dxfId="40" priority="41" operator="lessThanOrEqual">
      <formula>-0.1</formula>
    </cfRule>
    <cfRule type="cellIs" dxfId="39" priority="42" operator="greaterThanOrEqual">
      <formula>0.1</formula>
    </cfRule>
  </conditionalFormatting>
  <conditionalFormatting sqref="AU118:AU129">
    <cfRule type="containsBlanks" dxfId="38" priority="37">
      <formula>LEN(TRIM(AU118))=0</formula>
    </cfRule>
    <cfRule type="cellIs" dxfId="37" priority="38" operator="lessThanOrEqual">
      <formula>-0.1</formula>
    </cfRule>
    <cfRule type="cellIs" dxfId="36" priority="39" operator="greaterThanOrEqual">
      <formula>0.1</formula>
    </cfRule>
  </conditionalFormatting>
  <conditionalFormatting sqref="AT131:AT138">
    <cfRule type="containsBlanks" dxfId="35" priority="34">
      <formula>LEN(TRIM(AT131))=0</formula>
    </cfRule>
    <cfRule type="cellIs" dxfId="34" priority="35" operator="lessThanOrEqual">
      <formula>-0.1</formula>
    </cfRule>
    <cfRule type="cellIs" dxfId="33" priority="36" operator="greaterThanOrEqual">
      <formula>0.1</formula>
    </cfRule>
  </conditionalFormatting>
  <conditionalFormatting sqref="AU131:AU138">
    <cfRule type="containsBlanks" dxfId="32" priority="31">
      <formula>LEN(TRIM(AU131))=0</formula>
    </cfRule>
    <cfRule type="cellIs" dxfId="31" priority="32" operator="lessThanOrEqual">
      <formula>-0.1</formula>
    </cfRule>
    <cfRule type="cellIs" dxfId="30" priority="33" operator="greaterThanOrEqual">
      <formula>0.1</formula>
    </cfRule>
  </conditionalFormatting>
  <conditionalFormatting sqref="AT140:AT142">
    <cfRule type="containsBlanks" dxfId="29" priority="28">
      <formula>LEN(TRIM(AT140))=0</formula>
    </cfRule>
    <cfRule type="cellIs" dxfId="28" priority="29" operator="lessThanOrEqual">
      <formula>-0.1</formula>
    </cfRule>
    <cfRule type="cellIs" dxfId="27" priority="30" operator="greaterThanOrEqual">
      <formula>0.1</formula>
    </cfRule>
  </conditionalFormatting>
  <conditionalFormatting sqref="AU140:AU142">
    <cfRule type="containsBlanks" dxfId="26" priority="25">
      <formula>LEN(TRIM(AU140))=0</formula>
    </cfRule>
    <cfRule type="cellIs" dxfId="25" priority="26" operator="lessThanOrEqual">
      <formula>-0.1</formula>
    </cfRule>
    <cfRule type="cellIs" dxfId="24" priority="27" operator="greaterThanOrEqual">
      <formula>0.1</formula>
    </cfRule>
  </conditionalFormatting>
  <conditionalFormatting sqref="AT144:AT148">
    <cfRule type="containsBlanks" dxfId="23" priority="22">
      <formula>LEN(TRIM(AT144))=0</formula>
    </cfRule>
    <cfRule type="cellIs" dxfId="22" priority="23" operator="lessThanOrEqual">
      <formula>-0.1</formula>
    </cfRule>
    <cfRule type="cellIs" dxfId="21" priority="24" operator="greaterThanOrEqual">
      <formula>0.1</formula>
    </cfRule>
  </conditionalFormatting>
  <conditionalFormatting sqref="AU144:AU148">
    <cfRule type="containsBlanks" dxfId="20" priority="19">
      <formula>LEN(TRIM(AU144))=0</formula>
    </cfRule>
    <cfRule type="cellIs" dxfId="19" priority="20" operator="lessThanOrEqual">
      <formula>-0.1</formula>
    </cfRule>
    <cfRule type="cellIs" dxfId="18" priority="21" operator="greaterThanOrEqual">
      <formula>0.1</formula>
    </cfRule>
  </conditionalFormatting>
  <conditionalFormatting sqref="AT150:AT154">
    <cfRule type="containsBlanks" dxfId="17" priority="16">
      <formula>LEN(TRIM(AT150))=0</formula>
    </cfRule>
    <cfRule type="cellIs" dxfId="16" priority="17" operator="lessThanOrEqual">
      <formula>-0.1</formula>
    </cfRule>
    <cfRule type="cellIs" dxfId="15" priority="18" operator="greaterThanOrEqual">
      <formula>0.1</formula>
    </cfRule>
  </conditionalFormatting>
  <conditionalFormatting sqref="AU150:AU154">
    <cfRule type="containsBlanks" dxfId="14" priority="13">
      <formula>LEN(TRIM(AU150))=0</formula>
    </cfRule>
    <cfRule type="cellIs" dxfId="13" priority="14" operator="lessThanOrEqual">
      <formula>-0.1</formula>
    </cfRule>
    <cfRule type="cellIs" dxfId="12" priority="15" operator="greaterThanOrEqual">
      <formula>0.1</formula>
    </cfRule>
  </conditionalFormatting>
  <conditionalFormatting sqref="AT156:AT167">
    <cfRule type="containsBlanks" dxfId="11" priority="10">
      <formula>LEN(TRIM(AT156))=0</formula>
    </cfRule>
    <cfRule type="cellIs" dxfId="10" priority="11" operator="lessThanOrEqual">
      <formula>-0.1</formula>
    </cfRule>
    <cfRule type="cellIs" dxfId="9" priority="12" operator="greaterThanOrEqual">
      <formula>0.1</formula>
    </cfRule>
  </conditionalFormatting>
  <conditionalFormatting sqref="AU156:AU167">
    <cfRule type="containsBlanks" dxfId="8" priority="7">
      <formula>LEN(TRIM(AU156))=0</formula>
    </cfRule>
    <cfRule type="cellIs" dxfId="7" priority="8" operator="lessThanOrEqual">
      <formula>-0.1</formula>
    </cfRule>
    <cfRule type="cellIs" dxfId="6" priority="9" operator="greaterThanOrEqual">
      <formula>0.1</formula>
    </cfRule>
  </conditionalFormatting>
  <conditionalFormatting sqref="AT169:AT175">
    <cfRule type="containsBlanks" dxfId="5" priority="4">
      <formula>LEN(TRIM(AT169))=0</formula>
    </cfRule>
    <cfRule type="cellIs" dxfId="4" priority="5" operator="lessThanOrEqual">
      <formula>-0.1</formula>
    </cfRule>
    <cfRule type="cellIs" dxfId="3" priority="6" operator="greaterThanOrEqual">
      <formula>0.1</formula>
    </cfRule>
  </conditionalFormatting>
  <conditionalFormatting sqref="AU169:AU175">
    <cfRule type="containsBlanks" dxfId="2" priority="1">
      <formula>LEN(TRIM(AU169))=0</formula>
    </cfRule>
    <cfRule type="cellIs" dxfId="1" priority="2" operator="lessThanOrEqual">
      <formula>-0.1</formula>
    </cfRule>
    <cfRule type="cellIs" dxfId="0" priority="3" operator="greaterThanOrEqual">
      <formula>0.1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O m n i t u r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 i : t y p e = " S a n d b o x E d i t o r M e a s u r e G r i d K e y " & g t ; & l t ; T a b l e N a m e & g t ; O m n i t u r e & l t ; / T a b l e N a m e & g t ; & l t ; / K e y & g t ; & l t ; M a i n t a i n e r 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 O r d e r s & l t ; / K e y & g t ; & l t ; / D i a g r a m O b j e c t K e y & g t ; & l t ; D i a g r a m O b j e c t K e y & g t ; & l t ; K e y & g t ; M e a s u r e s \ S u m   o f   O r d e r s \ T a g I n f o \ F o r m u l a & l t ; / K e y & g t ; & l t ; / D i a g r a m O b j e c t K e y & g t ; & l t ; D i a g r a m O b j e c t K e y & g t ; & l t ; K e y & g t ; M e a s u r e s \ S u m   o f   O r d e r s \ T a g I n f o \ V a l u e & l t ; / K e y & g t ; & l t ; / D i a g r a m O b j e c t K e y & g t ; & l t ; D i a g r a m O b j e c t K e y & g t ; & l t ; K e y & g t ; M e a s u r e s \ S u m   o f   R e g i s t r a t i o n & l t ; / K e y & g t ; & l t ; / D i a g r a m O b j e c t K e y & g t ; & l t ; D i a g r a m O b j e c t K e y & g t ; & l t ; K e y & g t ; M e a s u r e s \ S u m   o f   R e g i s t r a t i o n \ T a g I n f o \ F o r m u l a & l t ; / K e y & g t ; & l t ; / D i a g r a m O b j e c t K e y & g t ; & l t ; D i a g r a m O b j e c t K e y & g t ; & l t ; K e y & g t ; M e a s u r e s \ S u m   o f   R e g i s t r a t i o n \ T a g I n f o \ V a l u e & l t ; / K e y & g t ; & l t ; / D i a g r a m O b j e c t K e y & g t ; & l t ; D i a g r a m O b j e c t K e y & g t ; & l t ; K e y & g t ; M e a s u r e s \ S u m   o f   V i s i t s & l t ; / K e y & g t ; & l t ; / D i a g r a m O b j e c t K e y & g t ; & l t ; D i a g r a m O b j e c t K e y & g t ; & l t ; K e y & g t ; M e a s u r e s \ S u m   o f   V i s i t s \ T a g I n f o \ F o r m u l a & l t ; / K e y & g t ; & l t ; / D i a g r a m O b j e c t K e y & g t ; & l t ; D i a g r a m O b j e c t K e y & g t ; & l t ; K e y & g t ; M e a s u r e s \ S u m   o f   V i s i t s \ T a g I n f o \ V a l u e & l t ; / K e y & g t ; & l t ; / D i a g r a m O b j e c t K e y & g t ; & l t ; D i a g r a m O b j e c t K e y & g t ; & l t ; K e y & g t ; M e a s u r e s \ S u m   o f   R e v e n u e - U S D & l t ; / K e y & g t ; & l t ; / D i a g r a m O b j e c t K e y & g t ; & l t ; D i a g r a m O b j e c t K e y & g t ; & l t ; K e y & g t ; M e a s u r e s \ S u m   o f   R e v e n u e - U S D \ T a g I n f o \ F o r m u l a & l t ; / K e y & g t ; & l t ; / D i a g r a m O b j e c t K e y & g t ; & l t ; D i a g r a m O b j e c t K e y & g t ; & l t ; K e y & g t ; M e a s u r e s \ S u m   o f   R e v e n u e - U S D \ T a g I n f o \ V a l u e & l t ; / K e y & g t ; & l t ; / D i a g r a m O b j e c t K e y & g t ; & l t ; D i a g r a m O b j e c t K e y & g t ; & l t ; K e y & g t ; M e a s u r e s \ S u m   o f   R e v e n u e & l t ; / K e y & g t ; & l t ; / D i a g r a m O b j e c t K e y & g t ; & l t ; D i a g r a m O b j e c t K e y & g t ; & l t ; K e y & g t ; M e a s u r e s \ S u m   o f   R e v e n u e \ T a g I n f o \ F o r m u l a & l t ; / K e y & g t ; & l t ; / D i a g r a m O b j e c t K e y & g t ; & l t ; D i a g r a m O b j e c t K e y & g t ; & l t ; K e y & g t ; M e a s u r e s \ S u m   o f   R e v e n u e \ T a g I n f o \ V a l u e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C a m p a i g n N a m e & l t ; / K e y & g t ; & l t ; / D i a g r a m O b j e c t K e y & g t ; & l t ; D i a g r a m O b j e c t K e y & g t ; & l t ; K e y & g t ; C o l u m n s \ V i s i t s & l t ; / K e y & g t ; & l t ; / D i a g r a m O b j e c t K e y & g t ; & l t ; D i a g r a m O b j e c t K e y & g t ; & l t ; K e y & g t ; C o l u m n s \ U n i q u e   V i s i t o r s & l t ; / K e y & g t ; & l t ; / D i a g r a m O b j e c t K e y & g t ; & l t ; D i a g r a m O b j e c t K e y & g t ; & l t ; K e y & g t ; C o l u m n s \ R e g i s t r a t i o n & l t ; / K e y & g t ; & l t ; / D i a g r a m O b j e c t K e y & g t ; & l t ; D i a g r a m O b j e c t K e y & g t ; & l t ; K e y & g t ; C o l u m n s \ O r d e r s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C o l u m n s \ C h a n n e l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R e v e n u e - U S D & l t ; / K e y & g t ; & l t ; / D i a g r a m O b j e c t K e y & g t ; & l t ; D i a g r a m O b j e c t K e y & g t ; & l t ; K e y & g t ; L i n k s \ & a m p ; l t ; C o l u m n s \ S u m   o f   O r d e r s & a m p ; g t ; - & a m p ; l t ; M e a s u r e s \ O r d e r s & a m p ; g t ; & l t ; / K e y & g t ; & l t ; / D i a g r a m O b j e c t K e y & g t ; & l t ; D i a g r a m O b j e c t K e y & g t ; & l t ; K e y & g t ; L i n k s \ & a m p ; l t ; C o l u m n s \ S u m   o f   O r d e r s & a m p ; g t ; - & a m p ; l t ; M e a s u r e s \ O r d e r s & a m p ; g t ; \ C O L U M N & l t ; / K e y & g t ; & l t ; / D i a g r a m O b j e c t K e y & g t ; & l t ; D i a g r a m O b j e c t K e y & g t ; & l t ; K e y & g t ; L i n k s \ & a m p ; l t ; C o l u m n s \ S u m   o f   O r d e r s & a m p ; g t ; - & a m p ; l t ; M e a s u r e s \ O r d e r s & a m p ; g t ; \ M E A S U R E & l t ; / K e y & g t ; & l t ; / D i a g r a m O b j e c t K e y & g t ; & l t ; D i a g r a m O b j e c t K e y & g t ; & l t ; K e y & g t ; L i n k s \ & a m p ; l t ; C o l u m n s \ S u m   o f   R e g i s t r a t i o n & a m p ; g t ; - & a m p ; l t ; M e a s u r e s \ R e g i s t r a t i o n & a m p ; g t ; & l t ; / K e y & g t ; & l t ; / D i a g r a m O b j e c t K e y & g t ; & l t ; D i a g r a m O b j e c t K e y & g t ; & l t ; K e y & g t ; L i n k s \ & a m p ; l t ; C o l u m n s \ S u m   o f   R e g i s t r a t i o n & a m p ; g t ; - & a m p ; l t ; M e a s u r e s \ R e g i s t r a t i o n & a m p ; g t ; \ C O L U M N & l t ; / K e y & g t ; & l t ; / D i a g r a m O b j e c t K e y & g t ; & l t ; D i a g r a m O b j e c t K e y & g t ; & l t ; K e y & g t ; L i n k s \ & a m p ; l t ; C o l u m n s \ S u m   o f   R e g i s t r a t i o n & a m p ; g t ; - & a m p ; l t ; M e a s u r e s \ R e g i s t r a t i o n & a m p ; g t ; \ M E A S U R E & l t ; / K e y & g t ; & l t ; / D i a g r a m O b j e c t K e y & g t ; & l t ; D i a g r a m O b j e c t K e y & g t ; & l t ; K e y & g t ; L i n k s \ & a m p ; l t ; C o l u m n s \ S u m   o f   V i s i t s & a m p ; g t ; - & a m p ; l t ; M e a s u r e s \ V i s i t s & a m p ; g t ; & l t ; / K e y & g t ; & l t ; / D i a g r a m O b j e c t K e y & g t ; & l t ; D i a g r a m O b j e c t K e y & g t ; & l t ; K e y & g t ; L i n k s \ & a m p ; l t ; C o l u m n s \ S u m   o f   V i s i t s & a m p ; g t ; - & a m p ; l t ; M e a s u r e s \ V i s i t s & a m p ; g t ; \ C O L U M N & l t ; / K e y & g t ; & l t ; / D i a g r a m O b j e c t K e y & g t ; & l t ; D i a g r a m O b j e c t K e y & g t ; & l t ; K e y & g t ; L i n k s \ & a m p ; l t ; C o l u m n s \ S u m   o f   V i s i t s & a m p ; g t ; - & a m p ; l t ; M e a s u r e s \ V i s i t s & a m p ; g t ; \ M E A S U R E & l t ; / K e y & g t ; & l t ; / D i a g r a m O b j e c t K e y & g t ; & l t ; D i a g r a m O b j e c t K e y & g t ; & l t ; K e y & g t ; L i n k s \ & a m p ; l t ; C o l u m n s \ S u m   o f   R e v e n u e - U S D & a m p ; g t ; - & a m p ; l t ; M e a s u r e s \ R e v e n u e - U S D & a m p ; g t ; & l t ; / K e y & g t ; & l t ; / D i a g r a m O b j e c t K e y & g t ; & l t ; D i a g r a m O b j e c t K e y & g t ; & l t ; K e y & g t ; L i n k s \ & a m p ; l t ; C o l u m n s \ S u m   o f   R e v e n u e - U S D & a m p ; g t ; - & a m p ; l t ; M e a s u r e s \ R e v e n u e - U S D & a m p ; g t ; \ C O L U M N & l t ; / K e y & g t ; & l t ; / D i a g r a m O b j e c t K e y & g t ; & l t ; D i a g r a m O b j e c t K e y & g t ; & l t ; K e y & g t ; L i n k s \ & a m p ; l t ; C o l u m n s \ S u m   o f   R e v e n u e - U S D & a m p ; g t ; - & a m p ; l t ; M e a s u r e s \ R e v e n u e - U S D & a m p ; g t ; \ M E A S U R E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C O L U M N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 V i s i t s & l t ; / K e y & g t ; & l t ; / a : K e y & g t ; & l t ; a : V a l u e 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 V i s i t s \ T a g I n f o \ F o r m u l a & l t ; / K e y & g t ; & l t ; / a : K e y & g t ; & l t ; a : V a l u e 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 V i s i t s \ T a g I n f o \ V a l u e & l t ; / K e y & g t ; & l t ; / a : K e y & g t ; & l t ; a : V a l u e 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 R e v e n u e - U S D & l t ; / K e y & g t ; & l t ; / a : K e y & g t ; & l t ; a : V a l u e 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 R e v e n u e - U S D \ T a g I n f o \ F o r m u l a & l t ; / K e y & g t ; & l t ; / a : K e y & g t ; & l t ; a : V a l u e 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 R e v e n u e - U S D \ T a g I n f o \ V a l u e & l t ; / K e y & g t ; & l t ; / a : K e y & g t ; & l t ; a : V a l u e 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i s i t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q u e   V i s i t o r s & l t ; / K e y & g t ; & l t ; / a : K e y & g t ; & l t ; a : V a l u e 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a n n e l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- U S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 O r d e r s & a m p ; g t ; - & a m p ; l t ; M e a s u r e s \ O r d e r s & a m p ; g t ; & l t ; / K e y & g t ; & l t ; / a : K e y & g t ; & l t ; a : V a l u e 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 O r d e r s & a m p ; g t ; - & a m p ; l t ; M e a s u r e s \ O r d e r s & a m p ; g t ; \ C O L U M N & l t ; / K e y & g t ; & l t ; / a : K e y & g t ; & l t ; a : V a l u e 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 O r d e r s & a m p ; g t ; - & a m p ; l t ; M e a s u r e s \ O r d e r s & a m p ; g t ; \ M E A S U R E & l t ; / K e y & g t ; & l t ; / a : K e y & g t ; & l t ; a : V a l u e 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 R e g i s t r a t i o n & a m p ; g t ; - & a m p ; l t ; M e a s u r e s \ R e g i s t r a t i o n & a m p ; g t ; & l t ; / K e y & g t ; & l t ; / a : K e y & g t ; & l t ; a : V a l u e 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 R e g i s t r a t i o n & a m p ; g t ; - & a m p ; l t ; M e a s u r e s \ R e g i s t r a t i o n & a m p ; g t ; \ C O L U M N & l t ; / K e y & g t ; & l t ; / a : K e y & g t ; & l t ; a : V a l u e 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 R e g i s t r a t i o n & a m p ; g t ; - & a m p ; l t ; M e a s u r e s \ R e g i s t r a t i o n & a m p ; g t ; \ M E A S U R E & l t ; / K e y & g t ; & l t ; / a : K e y & g t ; & l t ; a : V a l u e 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 V i s i t s & a m p ; g t ; - & a m p ; l t ; M e a s u r e s \ V i s i t s & a m p ; g t ; & l t ; / K e y & g t ; & l t ; / a : K e y & g t ; & l t ; a : V a l u e 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 V i s i t s & a m p ; g t ; - & a m p ; l t ; M e a s u r e s \ V i s i t s & a m p ; g t ; \ C O L U M N & l t ; / K e y & g t ; & l t ; / a : K e y & g t ; & l t ; a : V a l u e 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 V i s i t s & a m p ; g t ; - & a m p ; l t ; M e a s u r e s \ V i s i t s & a m p ; g t ; \ M E A S U R E & l t ; / K e y & g t ; & l t ; / a : K e y & g t ; & l t ; a : V a l u e 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 R e v e n u e - U S D & a m p ; g t ; - & a m p ; l t ; M e a s u r e s \ R e v e n u e - U S D & a m p ; g t ; & l t ; / K e y & g t ; & l t ; / a : K e y & g t ; & l t ; a : V a l u e 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 R e v e n u e - U S D & a m p ; g t ; - & a m p ; l t ; M e a s u r e s \ R e v e n u e - U S D & a m p ; g t ; \ C O L U M N & l t ; / K e y & g t ; & l t ; / a : K e y & g t ; & l t ; a : V a l u e 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 R e v e n u e - U S D & a m p ; g t ; - & a m p ; l t ; M e a s u r e s \ R e v e n u e - U S D & a m p ; g t ; \ M E A S U R E & l t ; / K e y & g t ; & l t ; / a : K e y & g t ; & l t ; a : V a l u e 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 O r d e r   C o u n t & l t ; / K e y & g t ; & l t ; / D i a g r a m O b j e c t K e y & g t ; & l t ; D i a g r a m O b j e c t K e y & g t ; & l t ; K e y & g t ; M e a s u r e s \ S u m   o f   O r d e r   C o u n t \ T a g I n f o \ F o r m u l a & l t ; / K e y & g t ; & l t ; / D i a g r a m O b j e c t K e y & g t ; & l t ; D i a g r a m O b j e c t K e y & g t ; & l t ; K e y & g t ; M e a s u r e s \ S u m   o f   O r d e r   C o u n t \ T a g I n f o \ V a l u e & l t ; / K e y & g t ; & l t ; / D i a g r a m O b j e c t K e y & g t ; & l t ; D i a g r a m O b j e c t K e y & g t ; & l t ; K e y & g t ; C o l u m n s \ D a t e 1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O r d e r   C h a n n e l & l t ; / K e y & g t ; & l t ; / D i a g r a m O b j e c t K e y & g t ; & l t ; D i a g r a m O b j e c t K e y & g t ; & l t ; K e y & g t ; C o l u m n s \ O r d e r   C o u n t & l t ; / K e y & g t ; & l t ; / D i a g r a m O b j e c t K e y & g t ; & l t ; D i a g r a m O b j e c t K e y & g t ; & l t ; K e y & g t ; C o l u m n s \ Y e a r M o n t h & l t ; / K e y & g t ; & l t ; / D i a g r a m O b j e c t K e y & g t ; & l t ; D i a g r a m O b j e c t K e y & g t ; & l t ; K e y & g t ; C o l u m n s \ W e e k S t a r t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L i n k s \ & a m p ; l t ; C o l u m n s \ S u m   o f   O r d e r   C o u n t & a m p ; g t ; - & a m p ; l t ; M e a s u r e s \ O r d e r   C o u n t & a m p ; g t ; & l t ; / K e y & g t ; & l t ; / D i a g r a m O b j e c t K e y & g t ; & l t ; D i a g r a m O b j e c t K e y & g t ; & l t ; K e y & g t ; L i n k s \ & a m p ; l t ; C o l u m n s \ S u m   o f   O r d e r   C o u n t & a m p ; g t ; - & a m p ; l t ; M e a s u r e s \ O r d e r   C o u n t & a m p ; g t ; \ C O L U M N & l t ; / K e y & g t ; & l t ; / D i a g r a m O b j e c t K e y & g t ; & l t ; D i a g r a m O b j e c t K e y & g t ; & l t ; K e y & g t ; L i n k s \ & a m p ; l t ; C o l u m n s \ S u m   o f   O r d e r   C o u n t & a m p ; g t ; - & a m p ; l t ; M e a s u r e s \ O r d e r   C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 C o u n t \ T a g I n f o \ F o r m u l a & l t ; / K e y & g t ; & l t ; / a : K e y & g t ; & l t ; a : V a l u e 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 C o u n t \ T a g I n f o \ V a l u e & l t ; / K e y & g t ; & l t ; / a : K e y & g t ; & l t ; a : V a l u e 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 C h a n n e l & l t ; / K e y & g t ; & l t ; / a : K e y & g t ; & l t ; a : V a l u e 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t a r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 C o u n t & a m p ; g t ; - & a m p ; l t ; M e a s u r e s \ O r d e r   C o u n t & a m p ; g t ; & l t ; / K e y & g t ; & l t ; / a : K e y & g t ; & l t ; a : V a l u e 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 C o u n t & a m p ; g t ; - & a m p ; l t ; M e a s u r e s \ O r d e r   C o u n t & a m p ; g t ; \ C O L U M N & l t ; / K e y & g t ; & l t ; / a : K e y & g t ; & l t ; a : V a l u e 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 C o u n t & a m p ; g t ; - & a m p ; l t ; M e a s u r e s \ O r d e r   C o u n t & a m p ; g t ; \ M E A S U R E & l t ; / K e y & g t ; & l t ; / a : K e y & g t ; & l t ; a : V a l u e 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 T a g s \ T a b l e s \ & a m p ; l t ; T a b l e s \ D a t e k e y & a m p ; g t ; & l t ; / K e y & g t ; & l t ; / D i a g r a m O b j e c t K e y & g t ; & l t ; D i a g r a m O b j e c t K e y & g t ; & l t ; K e y & g t ; D y n a m i c   T a g s \ T a b l e s \ & a m p ; l t ; T a b l e s \ C h a n n e l s & a m p ; g t ; & l t ; / K e y & g t ; & l t ; / D i a g r a m O b j e c t K e y & g t ; & l t ; D i a g r a m O b j e c t K e y & g t ; & l t ; K e y & g t ; D y n a m i c   T a g s \ T a b l e s \ & a m p ; l t ; T a b l e s \ O m n i t u r e & a m p ; g t ; & l t ; / K e y & g t ; & l t ; / D i a g r a m O b j e c t K e y & g t ; & l t ; D i a g r a m O b j e c t K e y & g t ; & l t ; K e y & g t ; D y n a m i c   T a g s \ T a b l e s \ & a m p ; l t ; T a b l e s \ O r d e r & a m p ; g t ; & l t ; / K e y & g t ; & l t ; / D i a g r a m O b j e c t K e y & g t ; & l t ; D i a g r a m O b j e c t K e y & g t ; & l t ; K e y & g t ; D y n a m i c   T a g s \ T a b l e s \ & a m p ; l t ; T a b l e s \ R e g i s t r a t i o n & a m p ; g t ; & l t ; / K e y & g t ; & l t ; / D i a g r a m O b j e c t K e y & g t ; & l t ; D i a g r a m O b j e c t K e y & g t ; & l t ; K e y & g t ; T a b l e s \ D a t e k e y & l t ; / K e y & g t ; & l t ; / D i a g r a m O b j e c t K e y & g t ; & l t ; D i a g r a m O b j e c t K e y & g t ; & l t ; K e y & g t ; T a b l e s \ D a t e k e y \ C o l u m n s \ D a t e K e y & l t ; / K e y & g t ; & l t ; / D i a g r a m O b j e c t K e y & g t ; & l t ; D i a g r a m O b j e c t K e y & g t ; & l t ; K e y & g t ; T a b l e s \ D a t e k e y \ C o l u m n s \ W e e k S t a r t & l t ; / K e y & g t ; & l t ; / D i a g r a m O b j e c t K e y & g t ; & l t ; D i a g r a m O b j e c t K e y & g t ; & l t ; K e y & g t ; T a b l e s \ D a t e k e y \ C o l u m n s \ Y e a r M o n t h & l t ; / K e y & g t ; & l t ; / D i a g r a m O b j e c t K e y & g t ; & l t ; D i a g r a m O b j e c t K e y & g t ; & l t ; K e y & g t ; T a b l e s \ C h a n n e l s & l t ; / K e y & g t ; & l t ; / D i a g r a m O b j e c t K e y & g t ; & l t ; D i a g r a m O b j e c t K e y & g t ; & l t ; K e y & g t ; T a b l e s \ C h a n n e l s \ C o l u m n s \ A c c o u n t & l t ; / K e y & g t ; & l t ; / D i a g r a m O b j e c t K e y & g t ; & l t ; D i a g r a m O b j e c t K e y & g t ; & l t ; K e y & g t ; T a b l e s \ C h a n n e l s \ C o l u m n s \ D a y & l t ; / K e y & g t ; & l t ; / D i a g r a m O b j e c t K e y & g t ; & l t ; D i a g r a m O b j e c t K e y & g t ; & l t ; K e y & g t ; T a b l e s \ C h a n n e l s \ C o l u m n s \ C a m p a i g n & l t ; / K e y & g t ; & l t ; / D i a g r a m O b j e c t K e y & g t ; & l t ; D i a g r a m O b j e c t K e y & g t ; & l t ; K e y & g t ; T a b l e s \ C h a n n e l s \ C o l u m n s \ C l i c k s & l t ; / K e y & g t ; & l t ; / D i a g r a m O b j e c t K e y & g t ; & l t ; D i a g r a m O b j e c t K e y & g t ; & l t ; K e y & g t ; T a b l e s \ C h a n n e l s \ C o l u m n s \ I m p r e s s i o n s & l t ; / K e y & g t ; & l t ; / D i a g r a m O b j e c t K e y & g t ; & l t ; D i a g r a m O b j e c t K e y & g t ; & l t ; K e y & g t ; T a b l e s \ C h a n n e l s \ C o l u m n s \ C T R & l t ; / K e y & g t ; & l t ; / D i a g r a m O b j e c t K e y & g t ; & l t ; D i a g r a m O b j e c t K e y & g t ; & l t ; K e y & g t ; T a b l e s \ C h a n n e l s \ C o l u m n s \ A v g #   C P C & l t ; / K e y & g t ; & l t ; / D i a g r a m O b j e c t K e y & g t ; & l t ; D i a g r a m O b j e c t K e y & g t ; & l t ; K e y & g t ; T a b l e s \ C h a n n e l s \ C o l u m n s \ A v g #   C P M & l t ; / K e y & g t ; & l t ; / D i a g r a m O b j e c t K e y & g t ; & l t ; D i a g r a m O b j e c t K e y & g t ; & l t ; K e y & g t ; T a b l e s \ C h a n n e l s \ C o l u m n s \ C o s t & l t ; / K e y & g t ; & l t ; / D i a g r a m O b j e c t K e y & g t ; & l t ; D i a g r a m O b j e c t K e y & g t ; & l t ; K e y & g t ; T a b l e s \ C h a n n e l s \ C o l u m n s \ A v g #   p o s i t i o n & l t ; / K e y & g t ; & l t ; / D i a g r a m O b j e c t K e y & g t ; & l t ; D i a g r a m O b j e c t K e y & g t ; & l t ; K e y & g t ; T a b l e s \ C h a n n e l s \ C o l u m n s \ C o n v #   m a n y - p e r - c l i c k & l t ; / K e y & g t ; & l t ; / D i a g r a m O b j e c t K e y & g t ; & l t ; D i a g r a m O b j e c t K e y & g t ; & l t ; K e y & g t ; T a b l e s \ C h a n n e l s \ C o l u m n s \ C o n v #   r a t e   m a n y - p e r - c l i c k & l t ; / K e y & g t ; & l t ; / D i a g r a m O b j e c t K e y & g t ; & l t ; D i a g r a m O b j e c t K e y & g t ; & l t ; K e y & g t ; T a b l e s \ C h a n n e l s \ C o l u m n s \ V i e w - t h r o u g h   c o n v # & l t ; / K e y & g t ; & l t ; / D i a g r a m O b j e c t K e y & g t ; & l t ; D i a g r a m O b j e c t K e y & g t ; & l t ; K e y & g t ; T a b l e s \ C h a n n e l s \ C o l u m n s \ V i e w - t h r o u g h   c o n v #   r a t e & l t ; / K e y & g t ; & l t ; / D i a g r a m O b j e c t K e y & g t ; & l t ; D i a g r a m O b j e c t K e y & g t ; & l t ; K e y & g t ; T a b l e s \ C h a n n e l s \ C o l u m n s \ C h a n n e l & l t ; / K e y & g t ; & l t ; / D i a g r a m O b j e c t K e y & g t ; & l t ; D i a g r a m O b j e c t K e y & g t ; & l t ; K e y & g t ; T a b l e s \ C h a n n e l s \ C o l u m n s \ C o u n t r y & l t ; / K e y & g t ; & l t ; / D i a g r a m O b j e c t K e y & g t ; & l t ; D i a g r a m O b j e c t K e y & g t ; & l t ; K e y & g t ; T a b l e s \ C h a n n e l s \ C o l u m n s \ L a n g u a g e & l t ; / K e y & g t ; & l t ; / D i a g r a m O b j e c t K e y & g t ; & l t ; D i a g r a m O b j e c t K e y & g t ; & l t ; K e y & g t ; T a b l e s \ C h a n n e l s \ C o l u m n s \ O r d e r & l t ; / K e y & g t ; & l t ; / D i a g r a m O b j e c t K e y & g t ; & l t ; D i a g r a m O b j e c t K e y & g t ; & l t ; K e y & g t ; T a b l e s \ C h a n n e l s \ C o l u m n s \ R e g i s t r a t i o n & l t ; / K e y & g t ; & l t ; / D i a g r a m O b j e c t K e y & g t ; & l t ; D i a g r a m O b j e c t K e y & g t ; & l t ; K e y & g t ; T a b l e s \ O m n i t u r e & l t ; / K e y & g t ; & l t ; / D i a g r a m O b j e c t K e y & g t ; & l t ; D i a g r a m O b j e c t K e y & g t ; & l t ; K e y & g t ; T a b l e s \ O m n i t u r e \ C o l u m n s \ D a t e & l t ; / K e y & g t ; & l t ; / D i a g r a m O b j e c t K e y & g t ; & l t ; D i a g r a m O b j e c t K e y & g t ; & l t ; K e y & g t ; T a b l e s \ O m n i t u r e \ C o l u m n s \ C a m p a i g n N a m e & l t ; / K e y & g t ; & l t ; / D i a g r a m O b j e c t K e y & g t ; & l t ; D i a g r a m O b j e c t K e y & g t ; & l t ; K e y & g t ; T a b l e s \ O m n i t u r e \ C o l u m n s \ V i s i t s & l t ; / K e y & g t ; & l t ; / D i a g r a m O b j e c t K e y & g t ; & l t ; D i a g r a m O b j e c t K e y & g t ; & l t ; K e y & g t ; T a b l e s \ O m n i t u r e \ C o l u m n s \ U n i q u e   V i s i t o r s & l t ; / K e y & g t ; & l t ; / D i a g r a m O b j e c t K e y & g t ; & l t ; D i a g r a m O b j e c t K e y & g t ; & l t ; K e y & g t ; T a b l e s \ O m n i t u r e \ C o l u m n s \ R e g i s t r a t i o n & l t ; / K e y & g t ; & l t ; / D i a g r a m O b j e c t K e y & g t ; & l t ; D i a g r a m O b j e c t K e y & g t ; & l t ; K e y & g t ; T a b l e s \ O m n i t u r e \ C o l u m n s \ O r d e r s & l t ; / K e y & g t ; & l t ; / D i a g r a m O b j e c t K e y & g t ; & l t ; D i a g r a m O b j e c t K e y & g t ; & l t ; K e y & g t ; T a b l e s \ O m n i t u r e \ C o l u m n s \ R e v e n u e & l t ; / K e y & g t ; & l t ; / D i a g r a m O b j e c t K e y & g t ; & l t ; D i a g r a m O b j e c t K e y & g t ; & l t ; K e y & g t ; T a b l e s \ O m n i t u r e \ C o l u m n s \ C h a n n e l & l t ; / K e y & g t ; & l t ; / D i a g r a m O b j e c t K e y & g t ; & l t ; D i a g r a m O b j e c t K e y & g t ; & l t ; K e y & g t ; T a b l e s \ O m n i t u r e \ C o l u m n s \ C o u n t r y & l t ; / K e y & g t ; & l t ; / D i a g r a m O b j e c t K e y & g t ; & l t ; D i a g r a m O b j e c t K e y & g t ; & l t ; K e y & g t ; T a b l e s \ O m n i t u r e \ C o l u m n s \ R e v e n u e - U S D & l t ; / K e y & g t ; & l t ; / D i a g r a m O b j e c t K e y & g t ; & l t ; D i a g r a m O b j e c t K e y & g t ; & l t ; K e y & g t ; T a b l e s \ O m n i t u r e \ M e a s u r e s \ S u m   o f   O r d e r s & l t ; / K e y & g t ; & l t ; / D i a g r a m O b j e c t K e y & g t ; & l t ; D i a g r a m O b j e c t K e y & g t ; & l t ; K e y & g t ; T a b l e s \ O m n i t u r e \ S u m   o f   O r d e r s \ A d d i t i o n a l   I n f o \ I m p l i c i t   M e a s u r e & l t ; / K e y & g t ; & l t ; / D i a g r a m O b j e c t K e y & g t ; & l t ; D i a g r a m O b j e c t K e y & g t ; & l t ; K e y & g t ; T a b l e s \ O r d e r & l t ; / K e y & g t ; & l t ; / D i a g r a m O b j e c t K e y & g t ; & l t ; D i a g r a m O b j e c t K e y & g t ; & l t ; K e y & g t ; T a b l e s \ O r d e r \ C o l u m n s \ D a t e 1 & l t ; / K e y & g t ; & l t ; / D i a g r a m O b j e c t K e y & g t ; & l t ; D i a g r a m O b j e c t K e y & g t ; & l t ; K e y & g t ; T a b l e s \ O r d e r \ C o l u m n s \ C i t y & l t ; / K e y & g t ; & l t ; / D i a g r a m O b j e c t K e y & g t ; & l t ; D i a g r a m O b j e c t K e y & g t ; & l t ; K e y & g t ; T a b l e s \ O r d e r \ C o l u m n s \ O r d e r   C h a n n e l & l t ; / K e y & g t ; & l t ; / D i a g r a m O b j e c t K e y & g t ; & l t ; D i a g r a m O b j e c t K e y & g t ; & l t ; K e y & g t ; T a b l e s \ O r d e r \ C o l u m n s \ O r d e r   C o u n t & l t ; / K e y & g t ; & l t ; / D i a g r a m O b j e c t K e y & g t ; & l t ; D i a g r a m O b j e c t K e y & g t ; & l t ; K e y & g t ; T a b l e s \ O r d e r \ C o l u m n s \ Y e a r M o n t h & l t ; / K e y & g t ; & l t ; / D i a g r a m O b j e c t K e y & g t ; & l t ; D i a g r a m O b j e c t K e y & g t ; & l t ; K e y & g t ; T a b l e s \ O r d e r \ C o l u m n s \ W e e k S t a r t & l t ; / K e y & g t ; & l t ; / D i a g r a m O b j e c t K e y & g t ; & l t ; D i a g r a m O b j e c t K e y & g t ; & l t ; K e y & g t ; T a b l e s \ O r d e r \ C o l u m n s \ C o u n t r y & l t ; / K e y & g t ; & l t ; / D i a g r a m O b j e c t K e y & g t ; & l t ; D i a g r a m O b j e c t K e y & g t ; & l t ; K e y & g t ; T a b l e s \ R e g i s t r a t i o n & l t ; / K e y & g t ; & l t ; / D i a g r a m O b j e c t K e y & g t ; & l t ; D i a g r a m O b j e c t K e y & g t ; & l t ; K e y & g t ; T a b l e s \ R e g i s t r a t i o n \ C o l u m n s \ D a t e & l t ; / K e y & g t ; & l t ; / D i a g r a m O b j e c t K e y & g t ; & l t ; D i a g r a m O b j e c t K e y & g t ; & l t ; K e y & g t ; T a b l e s \ R e g i s t r a t i o n \ C o l u m n s \ R e g i s t r a t i o n   C i t y & l t ; / K e y & g t ; & l t ; / D i a g r a m O b j e c t K e y & g t ; & l t ; D i a g r a m O b j e c t K e y & g t ; & l t ; K e y & g t ; T a b l e s \ R e g i s t r a t i o n \ C o l u m n s \ R e g #   C h a n n e l & l t ; / K e y & g t ; & l t ; / D i a g r a m O b j e c t K e y & g t ; & l t ; D i a g r a m O b j e c t K e y & g t ; & l t ; K e y & g t ; T a b l e s \ R e g i s t r a t i o n \ C o l u m n s \ U n i q u e   C u s t o m e r & l t ; / K e y & g t ; & l t ; / D i a g r a m O b j e c t K e y & g t ; & l t ; D i a g r a m O b j e c t K e y & g t ; & l t ; K e y & g t ; T a b l e s \ R e g i s t r a t i o n \ C o l u m n s \ Y e a r M o n t h & l t ; / K e y & g t ; & l t ; / D i a g r a m O b j e c t K e y & g t ; & l t ; D i a g r a m O b j e c t K e y & g t ; & l t ; K e y & g t ; T a b l e s \ R e g i s t r a t i o n \ C o l u m n s \ W e e k S t a r t & l t ; / K e y & g t ; & l t ; / D i a g r a m O b j e c t K e y & g t ; & l t ; D i a g r a m O b j e c t K e y & g t ; & l t ; K e y & g t ; T a b l e s \ R e g i s t r a t i o n \ C o l u m n s \ C o u n t r y & l t ; / K e y & g t ; & l t ; / D i a g r a m O b j e c t K e y & g t ; & l t ; D i a g r a m O b j e c t K e y & g t ; & l t ; K e y & g t ; R e l a t i o n s h i p s \ & a m p ; l t ; T a b l e s \ C h a n n e l s \ C o l u m n s \ D a y & a m p ; g t ; - & a m p ; l t ; T a b l e s \ D a t e k e y \ C o l u m n s \ D a t e K e y & a m p ; g t ; & l t ; / K e y & g t ; & l t ; / D i a g r a m O b j e c t K e y & g t ; & l t ; D i a g r a m O b j e c t K e y & g t ; & l t ; K e y & g t ; R e l a t i o n s h i p s \ & a m p ; l t ; T a b l e s \ C h a n n e l s \ C o l u m n s \ D a y & a m p ; g t ; - & a m p ; l t ; T a b l e s \ D a t e k e y \ C o l u m n s \ D a t e K e y & a m p ; g t ; \ F K & l t ; / K e y & g t ; & l t ; / D i a g r a m O b j e c t K e y & g t ; & l t ; D i a g r a m O b j e c t K e y & g t ; & l t ; K e y & g t ; R e l a t i o n s h i p s \ & a m p ; l t ; T a b l e s \ C h a n n e l s \ C o l u m n s \ D a y & a m p ; g t ; - & a m p ; l t ; T a b l e s \ D a t e k e y \ C o l u m n s \ D a t e K e y & a m p ; g t ; \ P K & l t ; / K e y & g t ; & l t ; / D i a g r a m O b j e c t K e y & g t ; & l t ; D i a g r a m O b j e c t K e y & g t ; & l t ; K e y & g t ; R e l a t i o n s h i p s \ & a m p ; l t ; T a b l e s \ O m n i t u r e \ C o l u m n s \ D a t e & a m p ; g t ; - & a m p ; l t ; T a b l e s \ D a t e k e y \ C o l u m n s \ D a t e K e y & a m p ; g t ; & l t ; / K e y & g t ; & l t ; / D i a g r a m O b j e c t K e y & g t ; & l t ; D i a g r a m O b j e c t K e y & g t ; & l t ; K e y & g t ; R e l a t i o n s h i p s \ & a m p ; l t ; T a b l e s \ O m n i t u r e \ C o l u m n s \ D a t e & a m p ; g t ; - & a m p ; l t ; T a b l e s \ D a t e k e y \ C o l u m n s \ D a t e K e y & a m p ; g t ; \ F K & l t ; / K e y & g t ; & l t ; / D i a g r a m O b j e c t K e y & g t ; & l t ; D i a g r a m O b j e c t K e y & g t ; & l t ; K e y & g t ; R e l a t i o n s h i p s \ & a m p ; l t ; T a b l e s \ O m n i t u r e \ C o l u m n s \ D a t e & a m p ; g t ; - & a m p ; l t ; T a b l e s \ D a t e k e y \ C o l u m n s \ D a t e K e y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O m n i t u r e \ C o l u m n s \ D a t e & a m p ; g t ; - & a m p ; l t ; T a b l e s \ D a t e k e y \ C o l u m n s \ D a t e K e y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 T a g s \ T a b l e s \ & a m p ; l t ; T a b l e s \ D a t e k e y & a m p ; g t ; & l t ; / K e y & g t ; & l t ; / a : K e y & g t ; & l t ; a : V a l u e 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 T a g s \ T a b l e s \ & a m p ; l t ; T a b l e s \ C h a n n e l s & a m p ; g t ; & l t ; / K e y & g t ; & l t ; / a : K e y & g t ; & l t ; a : V a l u e 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 T a g s \ T a b l e s \ & a m p ; l t ; T a b l e s \ O m n i t u r e & a m p ; g t ; & l t ; / K e y & g t ; & l t ; / a : K e y & g t ; & l t ; a : V a l u e 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 T a g s \ T a b l e s \ & a m p ; l t ; T a b l e s \ R e g i s t r a t i o n & a m p ; g t ; & l t ; / K e y & g t ; & l t ; / a : K e y & g t ; & l t ; a : V a l u e 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k e y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k e y \ C o l u m n s \ W e e k S t a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k e y \ C o l u m n s \ Y e a r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a m p a i g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l i c k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I m p r e s s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T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A v g #   C P C & l t ; / K e y & g t ; & l t ; / a : K e y & g t ; & l t ; a : V a l u e 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A v g #   C P M & l t ; / K e y & g t ; & l t ; / a : K e y & g t ; & l t ; a : V a l u e 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A v g #   p o s i t i o n & l t ; / K e y & g t ; & l t ; / a : K e y & g t ; & l t ; a : V a l u e 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o n v #   m a n y - p e r - c l i c k & l t ; / K e y & g t ; & l t ; / a : K e y & g t ; & l t ; a : V a l u e 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o n v #   r a t e   m a n y - p e r - c l i c k & l t ; / K e y & g t ; & l t ; / a : K e y & g t ; & l t ; a : V a l u e 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V i e w - t h r o u g h   c o n v # & l t ; / K e y & g t ; & l t ; / a : K e y & g t ; & l t ; a : V a l u e 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V i e w - t h r o u g h   c o n v #   r a t e & l t ; / K e y & g t ; & l t ; / a : K e y & g t ; & l t ; a : V a l u e 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L a n g u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R e g i s t r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C a m p a i g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V i s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U n i q u e   V i s i t o r s & l t ; / K e y & g t ; & l t ; / a : K e y & g t ; & l t ; a : V a l u e 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R e g i s t r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R e v e n u e - U S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M e a s u r e s \ S u m   o f  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S u m   o f   O r d e r s \ A d d i t i o n a l 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8 9 . 7 1 1 4 3 1 7 0 2 9 9 7 2 9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D a t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O r d e r  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O r d e r  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Y e a r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W e e k S t a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1 9 . 6 1 5 2 4 2 2 7 0 6 6 3 2 & l t ; / L e f t & g t ; & l t ; T a b I n d e x & g t ; 4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R e g i s t r a t i o n  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R e g #  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U n i q u e  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Y e a r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W e e k S t a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h a n n e l s \ C o l u m n s \ D a y & a m p ; g t ; - & a m p ; l t ; T a b l e s \ D a t e k e y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 ( 3 2 1 , 9 0 3 8 1 0 5 6 7 6 6 6 , 7 0 , 7 5 ) .   E n d   p o i n t   2 :   ( 2 0 8 , 7 0 , 7 5 ) 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2 1 . 9 0 3 8 1 0 5 6 7 6 6 5 8 & l t ; / b : _ x & g t ; & l t ; b : _ y & g t ; 7 0 . 7 5 & l t ; / b : _ y & g t ; & l t ; / b : P o i n t & g t ; & l t ; b : P o i n t & g t ; & l t ; b : _ x & g t ; 2 0 8 & l t ; / b : _ x & g t ; & l t ; b : _ y & g t ; 7 0 .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h a n n e l s \ C o l u m n s \ D a y & a m p ; g t ; - & a m p ; l t ; T a b l e s \ D a t e k e y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0 .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h a n n e l s \ C o l u m n s \ D a y & a m p ; g t ; - & a m p ; l t ; T a b l e s \ D a t e k e y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0 .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m n i t u r e \ C o l u m n s \ D a t e & a m p ; g t ; - & a m p ; l t ; T a b l e s \ D a t e k e y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 ( 6 5 1 , 8 0 7 6 2 1 1 3 5 3 3 2 , 7 5 ) .   E n d   p o i n t   2 :   ( 2 0 8 , 7 9 , 2 5 ) 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1 . 8 0 7 6 2 1 1 3 5 3 3 1 6 & l t ; / b : _ x & g t ; & l t ; b : _ y & g t ; 7 5 & l t ; / b : _ y & g t ; & l t ; / b : P o i n t & g t ; & l t ; b : P o i n t & g t ; & l t ; b : _ x & g t ; 5 5 1 . 4 0 3 8 1 0 9 9 5 5 & l t ; / b : _ x & g t ; & l t ; b : _ y & g t ; 7 5 & l t ; / b : _ y & g t ; & l t ; / b : P o i n t & g t ; & l t ; b : P o i n t & g t ; & l t ; b : _ x & g t ; 5 4 9 . 4 0 3 8 1 0 9 9 5 5 & l t ; / b : _ x & g t ; & l t ; b : _ y & g t ; 7 7 & l t ; / b : _ y & g t ; & l t ; / b : P o i n t & g t ; & l t ; b : P o i n t & g t ; & l t ; b : _ x & g t ; 5 4 9 . 4 0 3 8 1 0 9 9 5 5 & l t ; / b : _ x & g t ; & l t ; b : _ y & g t ; 1 6 7 . 5 & l t ; / b : _ y & g t ; & l t ; / b : P o i n t & g t ; & l t ; b : P o i n t & g t ; & l t ; b : _ x & g t ; 5 4 7 . 4 0 3 8 1 0 9 9 5 5 & l t ; / b : _ x & g t ; & l t ; b : _ y & g t ; 1 6 9 . 5 & l t ; / b : _ y & g t ; & l t ; / b : P o i n t & g t ; & l t ; b : P o i n t & g t ; & l t ; b : _ x & g t ; 3 1 2 . 4 0 3 8 1 1 0 0 4 4 9 9 9 7 & l t ; / b : _ x & g t ; & l t ; b : _ y & g t ; 1 6 9 . 5 & l t ; / b : _ y & g t ; & l t ; / b : P o i n t & g t ; & l t ; b : P o i n t & g t ; & l t ; b : _ x & g t ; 3 1 0 . 4 0 3 8 1 1 0 0 4 4 9 9 9 7 & l t ; / b : _ x & g t ; & l t ; b : _ y & g t ; 1 6 7 . 5 & l t ; / b : _ y & g t ; & l t ; / b : P o i n t & g t ; & l t ; b : P o i n t & g t ; & l t ; b : _ x & g t ; 3 1 0 . 4 0 3 8 1 1 0 0 4 4 9 9 9 7 & l t ; / b : _ x & g t ; & l t ; b : _ y & g t ; 8 1 . 2 5 & l t ; / b : _ y & g t ; & l t ; / b : P o i n t & g t ; & l t ; b : P o i n t & g t ; & l t ; b : _ x & g t ; 3 0 8 . 4 0 3 8 1 1 0 0 4 4 9 9 9 7 & l t ; / b : _ x & g t ; & l t ; b : _ y & g t ; 7 9 . 2 5 & l t ; / b : _ y & g t ; & l t ; / b : P o i n t & g t ; & l t ; b : P o i n t & g t ; & l t ; b : _ x & g t ; 2 0 8 . 0 0 0 0 0 0 0 0 0 0 0 0 0 6 & l t ; / b : _ x & g t ; & l t ; b : _ y & g t ; 7 9 .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m n i t u r e \ C o l u m n s \ D a t e & a m p ; g t ; - & a m p ; l t ; T a b l e s \ D a t e k e y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m n i t u r e \ C o l u m n s \ D a t e & a m p ; g t ; - & a m p ; l t ; T a b l e s \ D a t e k e y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0 9 & l t ; / b : _ x & g t ; & l t ; b : _ y & g t ; 7 9 . 2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h a n n e l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 i : t y p e = " S a n d b o x E d i t o r M e a s u r e G r i d K e y " & g t ; & l t ; T a b l e N a m e & g t ; C h a n n e l s & l t ; / T a b l e N a m e & g t ; & l t ; / K e y & g t ; & l t ; M a i n t a i n e r 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 C o s t & l t ; / K e y & g t ; & l t ; / D i a g r a m O b j e c t K e y & g t ; & l t ; D i a g r a m O b j e c t K e y & g t ; & l t ; K e y & g t ; M e a s u r e s \ S u m   o f   C o s t \ T a g I n f o \ F o r m u l a & l t ; / K e y & g t ; & l t ; / D i a g r a m O b j e c t K e y & g t ; & l t ; D i a g r a m O b j e c t K e y & g t ; & l t ; K e y & g t ; M e a s u r e s \ S u m   o f   C o s t \ T a g I n f o \ V a l u e & l t ; / K e y & g t ; & l t ; / D i a g r a m O b j e c t K e y & g t ; & l t ; D i a g r a m O b j e c t K e y & g t ; & l t ; K e y & g t ; M e a s u r e s \ S u m   o f   I m p r e s s i o n s & l t ; / K e y & g t ; & l t ; / D i a g r a m O b j e c t K e y & g t ; & l t ; D i a g r a m O b j e c t K e y & g t ; & l t ; K e y & g t ; M e a s u r e s \ S u m   o f   I m p r e s s i o n s \ T a g I n f o \ F o r m u l a & l t ; / K e y & g t ; & l t ; / D i a g r a m O b j e c t K e y & g t ; & l t ; D i a g r a m O b j e c t K e y & g t ; & l t ; K e y & g t ; M e a s u r e s \ S u m   o f   I m p r e s s i o n s \ T a g I n f o \ V a l u e & l t ; / K e y & g t ; & l t ; / D i a g r a m O b j e c t K e y & g t ; & l t ; D i a g r a m O b j e c t K e y & g t ; & l t ; K e y & g t ; M e a s u r e s \ S u m   o f   C l i c k s & l t ; / K e y & g t ; & l t ; / D i a g r a m O b j e c t K e y & g t ; & l t ; D i a g r a m O b j e c t K e y & g t ; & l t ; K e y & g t ; M e a s u r e s \ S u m   o f   C l i c k s \ T a g I n f o \ F o r m u l a & l t ; / K e y & g t ; & l t ; / D i a g r a m O b j e c t K e y & g t ; & l t ; D i a g r a m O b j e c t K e y & g t ; & l t ; K e y & g t ; M e a s u r e s \ S u m   o f   C l i c k s \ T a g I n f o \ V a l u e & l t ; / K e y & g t ; & l t ; / D i a g r a m O b j e c t K e y & g t ; & l t ; D i a g r a m O b j e c t K e y & g t ; & l t ; K e y & g t ; M e a s u r e s \ S u m   o f   R e g i s t r a t i o n   2 & l t ; / K e y & g t ; & l t ; / D i a g r a m O b j e c t K e y & g t ; & l t ; D i a g r a m O b j e c t K e y & g t ; & l t ; K e y & g t ; M e a s u r e s \ S u m   o f   R e g i s t r a t i o n   2 \ T a g I n f o \ F o r m u l a & l t ; / K e y & g t ; & l t ; / D i a g r a m O b j e c t K e y & g t ; & l t ; D i a g r a m O b j e c t K e y & g t ; & l t ; K e y & g t ; M e a s u r e s \ S u m   o f   R e g i s t r a t i o n   2 \ T a g I n f o \ V a l u e & l t ; / K e y & g t ; & l t ; / D i a g r a m O b j e c t K e y & g t ; & l t ; D i a g r a m O b j e c t K e y & g t ; & l t ; K e y & g t ; M e a s u r e s \ S u m   o f   O r d e r & l t ; / K e y & g t ; & l t ; / D i a g r a m O b j e c t K e y & g t ; & l t ; D i a g r a m O b j e c t K e y & g t ; & l t ; K e y & g t ; M e a s u r e s \ S u m   o f   O r d e r \ T a g I n f o \ F o r m u l a & l t ; / K e y & g t ; & l t ; / D i a g r a m O b j e c t K e y & g t ; & l t ; D i a g r a m O b j e c t K e y & g t ; & l t ; K e y & g t ; M e a s u r e s \ S u m   o f   O r d e r \ T a g I n f o \ V a l u e & l t ; / K e y & g t ; & l t ; / D i a g r a m O b j e c t K e y & g t ; & l t ; D i a g r a m O b j e c t K e y & g t ; & l t ; K e y & g t ; M e a s u r e s \ S u m   o f   V i e w - t h r o u g h   c o n v # & l t ; / K e y & g t ; & l t ; / D i a g r a m O b j e c t K e y & g t ; & l t ; D i a g r a m O b j e c t K e y & g t ; & l t ; K e y & g t ; M e a s u r e s \ S u m   o f   V i e w - t h r o u g h   c o n v # \ T a g I n f o \ F o r m u l a & l t ; / K e y & g t ; & l t ; / D i a g r a m O b j e c t K e y & g t ; & l t ; D i a g r a m O b j e c t K e y & g t ; & l t ; K e y & g t ; M e a s u r e s \ S u m   o f   V i e w - t h r o u g h   c o n v # \ T a g I n f o \ V a l u e & l t ; / K e y & g t ; & l t ; / D i a g r a m O b j e c t K e y & g t ; & l t ; D i a g r a m O b j e c t K e y & g t ; & l t ; K e y & g t ; C o l u m n s \ A c c o u n t & l t ; / K e y & g t ; & l t ; / D i a g r a m O b j e c t K e y & g t ; & l t ; D i a g r a m O b j e c t K e y & g t ; & l t ; K e y & g t ; C o l u m n s \ D a y & l t ; / K e y & g t ; & l t ; / D i a g r a m O b j e c t K e y & g t ; & l t ; D i a g r a m O b j e c t K e y & g t ; & l t ; K e y & g t ; C o l u m n s \ C a m p a i g n & l t ; / K e y & g t ; & l t ; / D i a g r a m O b j e c t K e y & g t ; & l t ; D i a g r a m O b j e c t K e y & g t ; & l t ; K e y & g t ; C o l u m n s \ C l i c k s & l t ; / K e y & g t ; & l t ; / D i a g r a m O b j e c t K e y & g t ; & l t ; D i a g r a m O b j e c t K e y & g t ; & l t ; K e y & g t ; C o l u m n s \ I m p r e s s i o n s & l t ; / K e y & g t ; & l t ; / D i a g r a m O b j e c t K e y & g t ; & l t ; D i a g r a m O b j e c t K e y & g t ; & l t ; K e y & g t ; C o l u m n s \ C T R & l t ; / K e y & g t ; & l t ; / D i a g r a m O b j e c t K e y & g t ; & l t ; D i a g r a m O b j e c t K e y & g t ; & l t ; K e y & g t ; C o l u m n s \ A v g #   C P C & l t ; / K e y & g t ; & l t ; / D i a g r a m O b j e c t K e y & g t ; & l t ; D i a g r a m O b j e c t K e y & g t ; & l t ; K e y & g t ; C o l u m n s \ A v g #   C P M & l t ; / K e y & g t ; & l t ; / D i a g r a m O b j e c t K e y & g t ; & l t ; D i a g r a m O b j e c t K e y & g t ; & l t ; K e y & g t ; C o l u m n s \ C o s t & l t ; / K e y & g t ; & l t ; / D i a g r a m O b j e c t K e y & g t ; & l t ; D i a g r a m O b j e c t K e y & g t ; & l t ; K e y & g t ; C o l u m n s \ A v g #   p o s i t i o n & l t ; / K e y & g t ; & l t ; / D i a g r a m O b j e c t K e y & g t ; & l t ; D i a g r a m O b j e c t K e y & g t ; & l t ; K e y & g t ; C o l u m n s \ C o n v #   m a n y - p e r - c l i c k & l t ; / K e y & g t ; & l t ; / D i a g r a m O b j e c t K e y & g t ; & l t ; D i a g r a m O b j e c t K e y & g t ; & l t ; K e y & g t ; C o l u m n s \ C o n v #   r a t e   m a n y - p e r - c l i c k & l t ; / K e y & g t ; & l t ; / D i a g r a m O b j e c t K e y & g t ; & l t ; D i a g r a m O b j e c t K e y & g t ; & l t ; K e y & g t ; C o l u m n s \ V i e w - t h r o u g h   c o n v # & l t ; / K e y & g t ; & l t ; / D i a g r a m O b j e c t K e y & g t ; & l t ; D i a g r a m O b j e c t K e y & g t ; & l t ; K e y & g t ; C o l u m n s \ V i e w - t h r o u g h   c o n v #   r a t e & l t ; / K e y & g t ; & l t ; / D i a g r a m O b j e c t K e y & g t ; & l t ; D i a g r a m O b j e c t K e y & g t ; & l t ; K e y & g t ; C o l u m n s \ C h a n n e l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L a n g u a g e & l t ; / K e y & g t ; & l t ; / D i a g r a m O b j e c t K e y & g t ; & l t ; D i a g r a m O b j e c t K e y & g t ; & l t ; K e y & g t ; C o l u m n s \ O r d e r & l t ; / K e y & g t ; & l t ; / D i a g r a m O b j e c t K e y & g t ; & l t ; D i a g r a m O b j e c t K e y & g t ; & l t ; K e y & g t ; C o l u m n s \ R e g i s t r a t i o n & l t ; / K e y & g t ; & l t ; / D i a g r a m O b j e c t K e y & g t ; & l t ; D i a g r a m O b j e c t K e y & g t ; & l t ; K e y & g t ; L i n k s \ & a m p ; l t ; C o l u m n s \ S u m   o f   C o s t & a m p ; g t ; - & a m p ; l t ; M e a s u r e s \ C o s t & a m p ; g t ; & l t ; / K e y & g t ; & l t ; / D i a g r a m O b j e c t K e y & g t ; & l t ; D i a g r a m O b j e c t K e y & g t ; & l t ; K e y & g t ; L i n k s \ & a m p ; l t ; C o l u m n s \ S u m   o f   C o s t & a m p ; g t ; - & a m p ; l t ; M e a s u r e s \ C o s t & a m p ; g t ; \ C O L U M N & l t ; / K e y & g t ; & l t ; / D i a g r a m O b j e c t K e y & g t ; & l t ; D i a g r a m O b j e c t K e y & g t ; & l t ; K e y & g t ; L i n k s \ & a m p ; l t ; C o l u m n s \ S u m   o f   C o s t & a m p ; g t ; - & a m p ; l t ; M e a s u r e s \ C o s t & a m p ; g t ; \ M E A S U R E & l t ; / K e y & g t ; & l t ; / D i a g r a m O b j e c t K e y & g t ; & l t ; D i a g r a m O b j e c t K e y & g t ; & l t ; K e y & g t ; L i n k s \ & a m p ; l t ; C o l u m n s \ S u m   o f   I m p r e s s i o n s & a m p ; g t ; - & a m p ; l t ; M e a s u r e s \ I m p r e s s i o n s & a m p ; g t ; & l t ; / K e y & g t ; & l t ; / D i a g r a m O b j e c t K e y & g t ; & l t ; D i a g r a m O b j e c t K e y & g t ; & l t ; K e y & g t ; L i n k s \ & a m p ; l t ; C o l u m n s \ S u m   o f   I m p r e s s i o n s & a m p ; g t ; - & a m p ; l t ; M e a s u r e s \ I m p r e s s i o n s & a m p ; g t ; \ C O L U M N & l t ; / K e y & g t ; & l t ; / D i a g r a m O b j e c t K e y & g t ; & l t ; D i a g r a m O b j e c t K e y & g t ; & l t ; K e y & g t ; L i n k s \ & a m p ; l t ; C o l u m n s \ S u m   o f   I m p r e s s i o n s & a m p ; g t ; - & a m p ; l t ; M e a s u r e s \ I m p r e s s i o n s & a m p ; g t ; \ M E A S U R E & l t ; / K e y & g t ; & l t ; / D i a g r a m O b j e c t K e y & g t ; & l t ; D i a g r a m O b j e c t K e y & g t ; & l t ; K e y & g t ; L i n k s \ & a m p ; l t ; C o l u m n s \ S u m   o f   C l i c k s & a m p ; g t ; - & a m p ; l t ; M e a s u r e s \ C l i c k s & a m p ; g t ; & l t ; / K e y & g t ; & l t ; / D i a g r a m O b j e c t K e y & g t ; & l t ; D i a g r a m O b j e c t K e y & g t ; & l t ; K e y & g t ; L i n k s \ & a m p ; l t ; C o l u m n s \ S u m   o f   C l i c k s & a m p ; g t ; - & a m p ; l t ; M e a s u r e s \ C l i c k s & a m p ; g t ; \ C O L U M N & l t ; / K e y & g t ; & l t ; / D i a g r a m O b j e c t K e y & g t ; & l t ; D i a g r a m O b j e c t K e y & g t ; & l t ; K e y & g t ; L i n k s \ & a m p ; l t ; C o l u m n s \ S u m   o f   C l i c k s & a m p ; g t ; - & a m p ; l t ; M e a s u r e s \ C l i c k s & a m p ; g t ; \ M E A S U R E & l t ; / K e y & g t ; & l t ; / D i a g r a m O b j e c t K e y & g t ; & l t ; D i a g r a m O b j e c t K e y & g t ; & l t ; K e y & g t ; L i n k s \ & a m p ; l t ; C o l u m n s \ S u m   o f   R e g i s t r a t i o n   2 & a m p ; g t ; - & a m p ; l t ; M e a s u r e s \ R e g i s t r a t i o n & a m p ; g t ; & l t ; / K e y & g t ; & l t ; / D i a g r a m O b j e c t K e y & g t ; & l t ; D i a g r a m O b j e c t K e y & g t ; & l t ; K e y & g t ; L i n k s \ & a m p ; l t ; C o l u m n s \ S u m   o f   R e g i s t r a t i o n   2 & a m p ; g t ; - & a m p ; l t ; M e a s u r e s \ R e g i s t r a t i o n & a m p ; g t ; \ C O L U M N & l t ; / K e y & g t ; & l t ; / D i a g r a m O b j e c t K e y & g t ; & l t ; D i a g r a m O b j e c t K e y & g t ; & l t ; K e y & g t ; L i n k s \ & a m p ; l t ; C o l u m n s \ S u m   o f   R e g i s t r a t i o n   2 & a m p ; g t ; - & a m p ; l t ; M e a s u r e s \ R e g i s t r a t i o n & a m p ; g t ; \ M E A S U R E & l t ; / K e y & g t ; & l t ; / D i a g r a m O b j e c t K e y & g t ; & l t ; D i a g r a m O b j e c t K e y & g t ; & l t ; K e y & g t ; L i n k s \ & a m p ; l t ; C o l u m n s \ S u m   o f   O r d e r & a m p ; g t ; - & a m p ; l t ; M e a s u r e s \ O r d e r & a m p ; g t ; & l t ; / K e y & g t ; & l t ; / D i a g r a m O b j e c t K e y & g t ; & l t ; D i a g r a m O b j e c t K e y & g t ; & l t ; K e y & g t ; L i n k s \ & a m p ; l t ; C o l u m n s \ S u m   o f   O r d e r & a m p ; g t ; - & a m p ; l t ; M e a s u r e s \ O r d e r & a m p ; g t ; \ C O L U M N & l t ; / K e y & g t ; & l t ; / D i a g r a m O b j e c t K e y & g t ; & l t ; D i a g r a m O b j e c t K e y & g t ; & l t ; K e y & g t ; L i n k s \ & a m p ; l t ; C o l u m n s \ S u m   o f   O r d e r & a m p ; g t ; - & a m p ; l t ; M e a s u r e s \ O r d e r & a m p ; g t ; \ M E A S U R E & l t ; / K e y & g t ; & l t ; / D i a g r a m O b j e c t K e y & g t ; & l t ; D i a g r a m O b j e c t K e y & g t ; & l t ; K e y & g t ; L i n k s \ & a m p ; l t ; C o l u m n s \ S u m   o f   V i e w - t h r o u g h   c o n v # & a m p ; g t ; - & a m p ; l t ; M e a s u r e s \ V i e w - t h r o u g h   c o n v # & a m p ; g t ; & l t ; / K e y & g t ; & l t ; / D i a g r a m O b j e c t K e y & g t ; & l t ; D i a g r a m O b j e c t K e y & g t ; & l t ; K e y & g t ; L i n k s \ & a m p ; l t ; C o l u m n s \ S u m   o f   V i e w - t h r o u g h   c o n v # & a m p ; g t ; - & a m p ; l t ; M e a s u r e s \ V i e w - t h r o u g h   c o n v # & a m p ; g t ; \ C O L U M N & l t ; / K e y & g t ; & l t ; / D i a g r a m O b j e c t K e y & g t ; & l t ; D i a g r a m O b j e c t K e y & g t ; & l t ; K e y & g t ; L i n k s \ & a m p ; l t ; C o l u m n s \ S u m   o f   V i e w - t h r o u g h   c o n v # & a m p ; g t ; - & a m p ; l t ; M e a s u r e s \ V i e w - t h r o u g h   c o n v #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 I m p r e s s i o n s & l t ; / K e y & g t ; & l t ; / a : K e y & g t ; & l t ; a : V a l u e 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 I m p r e s s i o n s \ T a g I n f o \ F o r m u l a & l t ; / K e y & g t ; & l t ; / a : K e y & g t ; & l t ; a : V a l u e 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 I m p r e s s i o n s \ T a g I n f o \ V a l u e & l t ; / K e y & g t ; & l t ; / a : K e y & g t ; & l t ; a : V a l u e 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 C l i c k s & l t ; / K e y & g t ; & l t ; / a : K e y & g t ; & l t ; a : V a l u e 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 C l i c k s \ T a g I n f o \ F o r m u l a & l t ; / K e y & g t ; & l t ; / a : K e y & g t ; & l t ; a : V a l u e 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 C l i c k s \ T a g I n f o \ V a l u e & l t ; / K e y & g t ; & l t ; / a : K e y & g t ; & l t ; a : V a l u e 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  2 & l t ; / K e y & g t ; & l t ; / a : K e y & g t ; & l t ; a : V a l u e 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  2 \ T a g I n f o \ F o r m u l a & l t ; / K e y & g t ; & l t ; / a : K e y & g t ; & l t ; a : V a l u e 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  2 \ T a g I n f o \ V a l u e & l t ; / K e y & g t ; & l t ; / a : K e y & g t ; & l t ; a : V a l u e 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 V i e w - t h r o u g h   c o n v # & l t ; / K e y & g t ; & l t ; / a : K e y & g t ; & l t ; a : V a l u e 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 V i e w - t h r o u g h   c o n v # \ T a g I n f o \ F o r m u l a & l t ; / K e y & g t ; & l t ; / a : K e y & g t ; & l t ; a : V a l u e 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 V i e w - t h r o u g h   c o n v # \ T a g I n f o \ V a l u e & l t ; / K e y & g t ; & l t ; / a : K e y & g t ; & l t ; a : V a l u e 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c k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r e s s i o n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T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#   C P C & l t ; / K e y & g t ; & l t ; / a : K e y & g t ; & l t ; a : V a l u e 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#   C P M & l t ; / K e y & g t ; & l t ; / a : K e y & g t ; & l t ; a : V a l u e 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#   p o s i t i o n & l t ; / K e y & g t ; & l t ; / a : K e y & g t ; & l t ; a : V a l u e 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v #   m a n y - p e r - c l i c k & l t ; / K e y & g t ; & l t ; / a : K e y & g t ; & l t ; a : V a l u e 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v #   r a t e   m a n y - p e r - c l i c k & l t ; / K e y & g t ; & l t ; / a : K e y & g t ; & l t ; a : V a l u e 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i e w - t h r o u g h   c o n v # & l t ; / K e y & g t ; & l t ; / a : K e y & g t ; & l t ; a : V a l u e 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i e w - t h r o u g h   c o n v #   r a t e & l t ; / K e y & g t ; & l t ; / a : K e y & g t ; & l t ; a : V a l u e 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a n n e l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n g u a g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 C o s t & a m p ; g t ; - & a m p ; l t ; M e a s u r e s \ C o s t & a m p ; g t ; & l t ; / K e y & g t ; & l t ; / a : K e y & g t ; & l t ; a : V a l u e 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 C o s t & a m p ; g t ; - & a m p ; l t ; M e a s u r e s \ C o s t & a m p ; g t ; \ C O L U M N & l t ; / K e y & g t ; & l t ; / a : K e y & g t ; & l t ; a : V a l u e 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 C o s t & a m p ; g t ; - & a m p ; l t ; M e a s u r e s \ C o s t & a m p ; g t ; \ M E A S U R E & l t ; / K e y & g t ; & l t ; / a : K e y & g t ; & l t ; a : V a l u e 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 I m p r e s s i o n s & a m p ; g t ; - & a m p ; l t ; M e a s u r e s \ I m p r e s s i o n s & a m p ; g t ; & l t ; / K e y & g t ; & l t ; / a : K e y & g t ; & l t ; a : V a l u e 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 I m p r e s s i o n s & a m p ; g t ; - & a m p ; l t ; M e a s u r e s \ I m p r e s s i o n s & a m p ; g t ; \ C O L U M N & l t ; / K e y & g t ; & l t ; / a : K e y & g t ; & l t ; a : V a l u e 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 I m p r e s s i o n s & a m p ; g t ; - & a m p ; l t ; M e a s u r e s \ I m p r e s s i o n s & a m p ; g t ; \ M E A S U R E & l t ; / K e y & g t ; & l t ; / a : K e y & g t ; & l t ; a : V a l u e 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 C l i c k s & a m p ; g t ; - & a m p ; l t ; M e a s u r e s \ C l i c k s & a m p ; g t ; & l t ; / K e y & g t ; & l t ; / a : K e y & g t ; & l t ; a : V a l u e 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 C l i c k s & a m p ; g t ; - & a m p ; l t ; M e a s u r e s \ C l i c k s & a m p ; g t ; \ C O L U M N & l t ; / K e y & g t ; & l t ; / a : K e y & g t ; & l t ; a : V a l u e 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 C l i c k s & a m p ; g t ; - & a m p ; l t ; M e a s u r e s \ C l i c k s & a m p ; g t ; \ M E A S U R E & l t ; / K e y & g t ; & l t ; / a : K e y & g t ; & l t ; a : V a l u e 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  2 & a m p ; g t ; - & a m p ; l t ; M e a s u r e s \ R e g i s t r a t i o n & a m p ; g t ; & l t ; / K e y & g t ; & l t ; / a : K e y & g t ; & l t ; a : V a l u e 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  2 & a m p ; g t ; - & a m p ; l t ; M e a s u r e s \ R e g i s t r a t i o n & a m p ; g t ; \ C O L U M N & l t ; / K e y & g t ; & l t ; / a : K e y & g t ; & l t ; a : V a l u e 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  2 & a m p ; g t ; - & a m p ; l t ; M e a s u r e s \ R e g i s t r a t i o n & a m p ; g t ; \ M E A S U R E & l t ; / K e y & g t ; & l t ; / a : K e y & g t ; & l t ; a : V a l u e 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 O r d e r & a m p ; g t ; - & a m p ; l t ; M e a s u r e s \ O r d e r & a m p ; g t ; & l t ; / K e y & g t ; & l t ; / a : K e y & g t ; & l t ; a : V a l u e 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 O r d e r & a m p ; g t ; - & a m p ; l t ; M e a s u r e s \ O r d e r & a m p ; g t ; \ C O L U M N & l t ; / K e y & g t ; & l t ; / a : K e y & g t ; & l t ; a : V a l u e 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 O r d e r & a m p ; g t ; - & a m p ; l t ; M e a s u r e s \ O r d e r & a m p ; g t ; \ M E A S U R E & l t ; / K e y & g t ; & l t ; / a : K e y & g t ; & l t ; a : V a l u e 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 V i e w - t h r o u g h   c o n v # & a m p ; g t ; - & a m p ; l t ; M e a s u r e s \ V i e w - t h r o u g h   c o n v # & a m p ; g t ; & l t ; / K e y & g t ; & l t ; / a : K e y & g t ; & l t ; a : V a l u e 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 V i e w - t h r o u g h   c o n v # & a m p ; g t ; - & a m p ; l t ; M e a s u r e s \ V i e w - t h r o u g h   c o n v # & a m p ; g t ; \ C O L U M N & l t ; / K e y & g t ; & l t ; / a : K e y & g t ; & l t ; a : V a l u e 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 V i e w - t h r o u g h   c o n v # & a m p ; g t ; - & a m p ; l t ; M e a s u r e s \ V i e w - t h r o u g h   c o n v # & a m p ; g t ; \ M E A S U R E & l t ; / K e y & g t ; & l t ; / a : K e y & g t ; & l t ; a : V a l u e 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k e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 i : t y p e = " S a n d b o x E d i t o r M e a s u r e G r i d K e y " & g t ; & l t ; T a b l e N a m e & g t ; D a t e k e y & l t ; / T a b l e N a m e & g t ; & l t ; / K e y & g t ; & l t ; M a i n t a i n e r 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W e e k S t a r t & l t ; / K e y & g t ; & l t ; / D i a g r a m O b j e c t K e y & g t ; & l t ; D i a g r a m O b j e c t K e y & g t ; & l t ; K e y & g t ; C o l u m n s \ Y e a r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t a r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e g i s t r a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 i : t y p e = " S a n d b o x E d i t o r M e a s u r e G r i d K e y " & g t ; & l t ; T a b l e N a m e & g t ; R e g i s t r a t i o n & l t ; / T a b l e N a m e & g t ; & l t ; / K e y & g t ; & l t ; M a i n t a i n e r 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 U n i q u e   C u s t o m e r & l t ; / K e y & g t ; & l t ; / D i a g r a m O b j e c t K e y & g t ; & l t ; D i a g r a m O b j e c t K e y & g t ; & l t ; K e y & g t ; M e a s u r e s \ S u m   o f   U n i q u e   C u s t o m e r \ T a g I n f o \ F o r m u l a & l t ; / K e y & g t ; & l t ; / D i a g r a m O b j e c t K e y & g t ; & l t ; D i a g r a m O b j e c t K e y & g t ; & l t ; K e y & g t ; M e a s u r e s \ S u m   o f   U n i q u e   C u s t o m e r \ T a g I n f o \ V a l u e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R e g i s t r a t i o n   C i t y & l t ; / K e y & g t ; & l t ; / D i a g r a m O b j e c t K e y & g t ; & l t ; D i a g r a m O b j e c t K e y & g t ; & l t ; K e y & g t ; C o l u m n s \ R e g #   C h a n n e l & l t ; / K e y & g t ; & l t ; / D i a g r a m O b j e c t K e y & g t ; & l t ; D i a g r a m O b j e c t K e y & g t ; & l t ; K e y & g t ; C o l u m n s \ U n i q u e   C u s t o m e r & l t ; / K e y & g t ; & l t ; / D i a g r a m O b j e c t K e y & g t ; & l t ; D i a g r a m O b j e c t K e y & g t ; & l t ; K e y & g t ; C o l u m n s \ Y e a r M o n t h & l t ; / K e y & g t ; & l t ; / D i a g r a m O b j e c t K e y & g t ; & l t ; D i a g r a m O b j e c t K e y & g t ; & l t ; K e y & g t ; C o l u m n s \ W e e k S t a r t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L i n k s \ & a m p ; l t ; C o l u m n s \ S u m   o f   U n i q u e   C u s t o m e r & a m p ; g t ; - & a m p ; l t ; M e a s u r e s \ U n i q u e   C u s t o m e r & a m p ; g t ; & l t ; / K e y & g t ; & l t ; / D i a g r a m O b j e c t K e y & g t ; & l t ; D i a g r a m O b j e c t K e y & g t ; & l t ; K e y & g t ; L i n k s \ & a m p ; l t ; C o l u m n s \ S u m   o f   U n i q u e   C u s t o m e r & a m p ; g t ; - & a m p ; l t ; M e a s u r e s \ U n i q u e   C u s t o m e r & a m p ; g t ; \ C O L U M N & l t ; / K e y & g t ; & l t ; / D i a g r a m O b j e c t K e y & g t ; & l t ; D i a g r a m O b j e c t K e y & g t ; & l t ; K e y & g t ; L i n k s \ & a m p ; l t ; C o l u m n s \ S u m   o f   U n i q u e   C u s t o m e r & a m p ; g t ; - & a m p ; l t ; M e a s u r e s \ U n i q u e   C u s t o m e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 U n i q u e   C u s t o m e r & l t ; / K e y & g t ; & l t ; / a : K e y & g t ; & l t ; a : V a l u e 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 U n i q u e   C u s t o m e r \ T a g I n f o \ F o r m u l a & l t ; / K e y & g t ; & l t ; / a : K e y & g t ; & l t ; a : V a l u e 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 U n i q u e   C u s t o m e r \ T a g I n f o \ V a l u e & l t ; / K e y & g t ; & l t ; / a : K e y & g t ; & l t ; a : V a l u e 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  C i t y & l t ; / K e y & g t ; & l t ; / a : K e y & g t ; & l t ; a : V a l u e 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#   C h a n n e l & l t ; / K e y & g t ; & l t ; / a : K e y & g t ; & l t ; a : V a l u e 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q u e   C u s t o m e r & l t ; / K e y & g t ; & l t ; / a : K e y & g t ; & l t ; a : V a l u e 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t a r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 U n i q u e   C u s t o m e r & a m p ; g t ; - & a m p ; l t ; M e a s u r e s \ U n i q u e   C u s t o m e r & a m p ; g t ; & l t ; / K e y & g t ; & l t ; / a : K e y & g t ; & l t ; a : V a l u e 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 U n i q u e   C u s t o m e r & a m p ; g t ; - & a m p ; l t ; M e a s u r e s \ U n i q u e   C u s t o m e r & a m p ; g t ; \ C O L U M N & l t ; / K e y & g t ; & l t ; / a : K e y & g t ; & l t ; a : V a l u e 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 U n i q u e   C u s t o m e r & a m p ; g t ; - & a m p ; l t ; M e a s u r e s \ U n i q u e   C u s t o m e r & a m p ; g t ; \ M E A S U R E & l t ; / K e y & g t ; & l t ; / a : K e y & g t ; & l t ; a : V a l u e 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 S h e e t 2 _ 5 6 3 c c 8 b d - d 9 6 6 - 4 e f e - b e 7 f - 5 c a 8 c f 2 0 0 f 1 1 , S h e e t 1 _ a a e 8 3 c a f - 4 d 0 d - 4 5 7 7 - 9 c f d - 8 7 8 1 3 e 2 f 7 d 7 0 , C a m p a i g n   p e r f o r m a n c e   r e p o r t   1 _ e c 2 4 6 8 4 5 - 9 b 5 8 - 4 4 7 3 - b 6 c 8 - 9 8 3 d 5 0 2 e 1 c 8 e , S h e e t 1   1 _ 3 d 7 d 2 1 a 0 - 0 3 a 2 - 4 c a 1 - a 2 7 0 - f 1 0 f b 7 5 8 f b 4 9 , S h e e t 1   2 _ 4 a 3 e 7 d 1 9 - 0 2 c 4 - 4 2 0 c - b 4 4 7 - 6 c 9 3 2 c 0 7 e b e 9 < / C u s t o m C o n t e n t > < / G e m i n i > 
</file>

<file path=customXml/item12.xml>��< ? x m l   v e r s i o n = " 1 . 0 "   e n c o d i n g = " U T F - 1 6 " ? > < G e m i n i   x m l n s = " h t t p : / / g e m i n i / p i v o t c u s t o m i z a t i o n / b f 9 d 2 3 4 3 - d e 9 0 - 4 1 d e - a e f 8 - 5 9 1 9 0 1 3 8 a f 2 7 " > < C u s t o m C o n t e n t > < ! [ C D A T A [ < ? x m l   v e r s i o n = " 1 . 0 "   e n c o d i n g = " u t f - 1 6 " ? > < S e t t i n g s > < C a l c u l a t e d F i e l d s > < i t e m > < M e a s u r e N a m e > S u m   o f   C o s t < / M e a s u r e N a m e > < D i s p l a y N a m e > S u m   o f   C o s t 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 1 3 4 9 4 2 4 7 2 1 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 D 2 6 0 6 0 3 1 3 8 4 9 1 8 8 5 2 7 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 1 0 5 5 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 S h e e t 2 _ 5 6 3 c c 8 b d - d 9 6 6 - 4 e f e - b e 7 f - 5 c a 8 c f 2 0 0 f 1 1 < / I D > < N a m e > D a t e k e y 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 1 0 5 5 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 D a t e K e y < / A t t r i b u t e I D > < C a r d i n a l i t y > O n e < / C a r d i n a l i t y > < O v e r r i d e B e h a v i o r > N o n e < / O v e r r i d e B e h a v i o r > < N a m e > D a t e K e y < / N a m e > < / A t t r i b u t e R e l a t i o n s h i p > < A t t r i b u t e R e l a t i o n s h i p > < A t t r i b u t e I D > W e e k S t a r t < / A t t r i b u t e I D > < O v e r r i d e B e h a v i o r > N o n e < / O v e r r i d e B e h a v i o r > < N a m e > W e e k S t a r t < / N a m e > < / A t t r i b u t e R e l a t i o n s h i p > < A t t r i b u t e R e l a t i o n s h i p > < A t t r i b u t e I D > Y e a r M o n t h < / A t t r i b u t e I D > < O v e r r i d e B e h a v i o r > N o n e < / O v e r r i d e B e h a v i o r > < N a m e > Y e a r M o n t h 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 D a t e K e y < / I D > < N a m e > D a t e K e y < / N a m e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 D a t e K e y 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 D a t e K e y 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 W e e k S t a r t < / I D > < N a m e > W e e k S t a r t 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 W e e k S t a r t 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 W e e k S t a r t 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 Y e a r M o n t h < / I D > < N a m e > Y e a r M o n t h 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 Y e a r M o n t h 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 Y e a r M o n t h 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 C a m p a i g n   p e r f o r m a n c e   r e p o r t   1 _ e c 2 4 6 8 4 5 - 9 b 5 8 - 4 4 7 3 - b 6 c 8 - 9 8 3 d 5 0 2 e 1 c 8 e < / I D > < N a m e > C h a n n e l s 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 1 0 5 5 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 A c c o u n t < / A t t r i b u t e I D > < O v e r r i d e B e h a v i o r > N o n e < / O v e r r i d e B e h a v i o r > < N a m e > A c c o u n t < / N a m e > < / A t t r i b u t e R e l a t i o n s h i p > < A t t r i b u t e R e l a t i o n s h i p > < A t t r i b u t e I D > D a y < / A t t r i b u t e I D > < O v e r r i d e B e h a v i o r > N o n e < / O v e r r i d e B e h a v i o r > < N a m e > D a y < / N a m e > < / A t t r i b u t e R e l a t i o n s h i p > < A t t r i b u t e R e l a t i o n s h i p > < A t t r i b u t e I D > C a m p a i g n < / A t t r i b u t e I D > < O v e r r i d e B e h a v i o r > N o n e < / O v e r r i d e B e h a v i o r > < N a m e > C a m p a i g n < / N a m e > < / A t t r i b u t e R e l a t i o n s h i p > < A t t r i b u t e R e l a t i o n s h i p > < A t t r i b u t e I D > C l i c k s < / A t t r i b u t e I D > < O v e r r i d e B e h a v i o r > N o n e < / O v e r r i d e B e h a v i o r > < N a m e > C l i c k s < / N a m e > < / A t t r i b u t e R e l a t i o n s h i p > < A t t r i b u t e R e l a t i o n s h i p > < A t t r i b u t e I D > I m p r e s s i o n s < / A t t r i b u t e I D > < O v e r r i d e B e h a v i o r > N o n e < / O v e r r i d e B e h a v i o r > < N a m e > I m p r e s s i o n s < / N a m e > < / A t t r i b u t e R e l a t i o n s h i p > < A t t r i b u t e R e l a t i o n s h i p > < A t t r i b u t e I D > C T R < / A t t r i b u t e I D > < O v e r r i d e B e h a v i o r > N o n e < / O v e r r i d e B e h a v i o r > < N a m e > C T R < / N a m e > < / A t t r i b u t e R e l a t i o n s h i p > < A t t r i b u t e R e l a t i o n s h i p > < A t t r i b u t e I D > A v g #   C P C < / A t t r i b u t e I D > < O v e r r i d e B e h a v i o r > N o n e < / O v e r r i d e B e h a v i o r > < N a m e > A v g #   C P C < / N a m e > < / A t t r i b u t e R e l a t i o n s h i p > < A t t r i b u t e R e l a t i o n s h i p > < A t t r i b u t e I D > A v g #   C P M < / A t t r i b u t e I D > < O v e r r i d e B e h a v i o r > N o n e < / O v e r r i d e B e h a v i o r > < N a m e > A v g #   C P M < / N a m e > < / A t t r i b u t e R e l a t i o n s h i p > < A t t r i b u t e R e l a t i o n s h i p > < A t t r i b u t e I D > C o s t < / A t t r i b u t e I D > < O v e r r i d e B e h a v i o r > N o n e < / O v e r r i d e B e h a v i o r > < N a m e > C o s t < / N a m e > < / A t t r i b u t e R e l a t i o n s h i p > < A t t r i b u t e R e l a t i o n s h i p > < A t t r i b u t e I D > A v g #   p o s i t i o n < / A t t r i b u t e I D > < O v e r r i d e B e h a v i o r > N o n e < / O v e r r i d e B e h a v i o r > < N a m e > A v g #   p o s i t i o n < / N a m e > < / A t t r i b u t e R e l a t i o n s h i p > < A t t r i b u t e R e l a t i o n s h i p > < A t t r i b u t e I D > C o n v #   m a n y - p e r - c l i c k < / A t t r i b u t e I D > < O v e r r i d e B e h a v i o r > N o n e < / O v e r r i d e B e h a v i o r > < N a m e > C o n v #   m a n y - p e r - c l i c k < / N a m e > < / A t t r i b u t e R e l a t i o n s h i p > < A t t r i b u t e R e l a t i o n s h i p > < A t t r i b u t e I D > C o n v #   r a t e   m a n y - p e r - c l i c k < / A t t r i b u t e I D > < O v e r r i d e B e h a v i o r > N o n e < / O v e r r i d e B e h a v i o r > < N a m e > C o n v #   r a t e   m a n y - p e r - c l i c k < / N a m e > < / A t t r i b u t e R e l a t i o n s h i p > < A t t r i b u t e R e l a t i o n s h i p > < A t t r i b u t e I D > V i e w - t h r o u g h   c o n v # < / A t t r i b u t e I D > < O v e r r i d e B e h a v i o r > N o n e < / O v e r r i d e B e h a v i o r > < N a m e > V i e w - t h r o u g h   c o n v # < / N a m e > < / A t t r i b u t e R e l a t i o n s h i p > < A t t r i b u t e R e l a t i o n s h i p > < A t t r i b u t e I D > V i e w - t h r o u g h   c o n v #   r a t e < / A t t r i b u t e I D > < O v e r r i d e B e h a v i o r > N o n e < / O v e r r i d e B e h a v i o r > < N a m e > V i e w - t h r o u g h   c o n v #   r a t e < / N a m e > < / A t t r i b u t e R e l a t i o n s h i p > < A t t r i b u t e R e l a t i o n s h i p > < A t t r i b u t e I D > C h a n n e l < / A t t r i b u t e I D > < O v e r r i d e B e h a v i o r > N o n e < / O v e r r i d e B e h a v i o r > < N a m e > C h a n n e l 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 L a n g u a g e < / A t t r i b u t e I D > < O v e r r i d e B e h a v i o r > N o n e < / O v e r r i d e B e h a v i o r > < N a m e > L a n g u a g e < / N a m e > < / A t t r i b u t e R e l a t i o n s h i p > < A t t r i b u t e R e l a t i o n s h i p > < A t t r i b u t e I D > O r d e r < / A t t r i b u t e I D > < O v e r r i d e B e h a v i o r > N o n e < / O v e r r i d e B e h a v i o r > < N a m e > O r d e r < / N a m e > < / A t t r i b u t e R e l a t i o n s h i p > < A t t r i b u t e R e l a t i o n s h i p > < A t t r i b u t e I D > R e g i s t r a t i o n < / A t t r i b u t e I D > < O v e r r i d e B e h a v i o r > N o n e < / O v e r r i d e B e h a v i o r > < N a m e > R e g i s t r a t i o n 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 A c c o u n t < / I D > < N a m e > A c c o u n t 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 A c c o u n t 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 A c c o u n t 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 D a y < / I D > < N a m e > D a y 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 D a y 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 D a y 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 C a m p a i g n < / I D > < N a m e > C a m p a i g n 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 C a m p a i g n 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 C a m p a i g n 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 C l i c k s < / I D > < N a m e > C l i c k s 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 C l i c k s 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 C l i c k s 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 I m p r e s s i o n s < / I D > < N a m e > I m p r e s s i o n s 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 I m p r e s s i o n s 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 I m p r e s s i o n s 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 C T R < / I D > < N a m e > C T R 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 C T R 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 C T R 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 A v g #   C P C < / I D > < N a m e > A v g #   C P C 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 A v g _ x 0 0 2 3 _ _ x 0 0 2 0 _ C P C 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 A v g _ x 0 0 2 3 _ _ x 0 0 2 0 _ C P C 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 A v g #   C P M < / I D > < N a m e > A v g #   C P M 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 A v g _ x 0 0 2 3 _ _ x 0 0 2 0 _ C P M 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 A v g _ x 0 0 2 3 _ _ x 0 0 2 0 _ C P M 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 C o s t < / I D > < N a m e > C o s t 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 A v g #   p o s i t i o n < / I D > < N a m e > A v g #   p o s i t i o n 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 A v g _ x 0 0 2 3 _ _ x 0 0 2 0 _ p o s i t i o n 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 A v g _ x 0 0 2 3 _ _ x 0 0 2 0 _ p o s i t i o n 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 C o n v #   m a n y - p e r - c l i c k < / I D > < N a m e > C o n v #   m a n y - p e r - c l i c k 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 C o n v _ x 0 0 2 3 _ _ x 0 0 2 0 _ _ x 0 0 2 8 _ m a n y - p e r - c l i c k _ x 0 0 2 9 _ 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 C o n v _ x 0 0 2 3 _ _ x 0 0 2 0 _ _ x 0 0 2 8 _ m a n y - p e r - c l i c k _ x 0 0 2 9 _ 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 C o n v #   r a t e   m a n y - p e r - c l i c k < / I D > < N a m e > C o n v #   r a t e   m a n y - p e r - c l i c k 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 C o n v _ x 0 0 2 3 _ _ x 0 0 2 0 _ r a t e _ x 0 0 2 0 _ _ x 0 0 2 8 _ m a n y - p e r - c l i c k _ x 0 0 2 9 _ 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 C o n v _ x 0 0 2 3 _ _ x 0 0 2 0 _ r a t e _ x 0 0 2 0 _ _ x 0 0 2 8 _ m a n y - p e r - c l i c k _ x 0 0 2 9 _ 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 V i e w - t h r o u g h   c o n v # < / I D > < N a m e > V i e w - t h r o u g h   c o n v # 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 V i e w - t h r o u g h   c o n v #   r a t e < / I D > < N a m e > V i e w - t h r o u g h   c o n v #   r a t e 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 V i e w - t h r o u g h _ x 0 0 2 0 _ c o n v _ x 0 0 2 3 _ _ x 0 0 2 0 _ r a t e 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 V i e w - t h r o u g h _ x 0 0 2 0 _ c o n v _ x 0 0 2 3 _ _ x 0 0 2 0 _ r a t e 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 C h a n n e l < / I D > < N a m e > C h a n n e l < / N a m e > < K e y C o l u m n s > < K e y C o l u m n > < D a t a T y p e > E m p t y < / D a t a T y p e > < S o u r c e   x s i : t y p e = " d d l 2 0 0 _ 2 0 0 : E x p r e s s i o n B i n d i n g " > < E x p r e s s i o n > I F ( [ A c c o u n t ] = " F a c e b o o k "   & a m p ; & a m p ;   ( N O T ( I S E R R O R ( S E A R C H ( " C 2 D - i P h o n e " , [ C a m p a i g n ] , 1 ) ) ) ) , " F a c e b o o k   M o b i l e   -   i O S " , I F ( [ A c c o u n t ] = " F a c e b o o k "   & a m p ; & a m p ;   ( N O T ( I S E R R O R ( S E A R C H ( " C 2 D - A n d r o i d " , [ C a m p a i g n ] , 1 ) ) ) ) , " F a c e b o o k   M o b i l e   -   A n d r o i d " , I F ( [ A c c o u n t ] = " F a c e b o o k "   & a m p ; & a m p ; ( N O T ( I S E R R O R ( S E A R C H ( " P a g e " , [ C a m p a i g n ] , 1 ) ) ) | | N O T ( I S E R R O R ( S E A R C H ( " S p o n s o r " , [ C a m p a i g n ] , 1 ) ) ) | | N O T ( I S E R R O R ( S E A R C H ( " P o s t   E n g a g e m e n t " , [ C a m p a i g n ] , 1 ) ) ) ) , " F a c e b o o k   P a g e L i k e " , I F ( [ a c c o u n t ] = " F a c e b o o k " , " F a c e b o o k " , I F ( N O T ( I S E R R O R ( S E A R C H ( " M o b i l e " , [ A c c o u n t ] , 1 ) ) )   & a m p ; & a m p ;   ( N O T ( I S E R R O R ( S E A R C H ( " i O S " , [ C a m p a i g n ] , 1 ) ) ) | | N O T ( I S E R R O R ( S E A R C H ( " I O S " , [ C a m p a i g n ] , 1 ) ) ) ) ,   " G o o g l e   M o b i l e   -   i O S " , I F ( N O T ( I S E R R O R ( S E A R C H ( " M o b i l e " , [ A c c o u n t ] , 1 ) ) )   & a m p ; & a m p ;   N O T ( I S E R R O R ( S E A R C H ( " A n d r o i d " , [ C a m p a i g n ] , 1 ) ) ) ,   " G o o g l e   M o b i l e   -   A n d r o i d " ,   I F ( N O T ( I S E R R O R ( S E A R C H ( " M o b i l e " , [ A c c o u n t ] , 1 ) ) )   & a m p ; & a m p ;   N O T ( I S E R R O R ( S E A R C H ( " O t h e r " , [ C a m p a i g n ] , 1 ) ) ) ,   " G o o g l e   M o b i l e   -   O t h e r   M o b i l e s " , I F ( N O T ( I S E R R O R ( S E A R C H ( " r e m a r k e t i n g " , [ C a m p a i g n ] , 1 ) ) ) , " G o o g l e   R e m a r k e t i n g " , I F ( N O T ( I S E R R O R ( S E A R C H ( " i O S " , [ C a m p a i g n ] , 1 ) ) ) , " G o o g l e   M o b i l e   -   i O S " , I F ( N O T ( I S E R R O R ( S E A R C H ( " A n d r o i d " , [ C a m p a i g n ] , 1 ) ) ) , " G o o g l e   M o b i l e   -   A n d r o i d " , I F ( N O T ( I S E R R O R ( S E A R C H ( " M o b i l " , [ C a m p a i g n ] , 1 ) ) ) , " G o o g l e   M o b i l e   -   O t h e r   M o b i l e s " , I F ( N O T ( I S E R R O R ( S E A R C H ( " D i s p l a y " , [ C a m p a i g n ] , 1 ) ) ) , " G o o g l e   D i s p l a y " , I F ( N O T ( I S E R R O R ( S E A R C H ( " N o n e " , [ C a m p a i g n ] , 1 ) ) ) , " " , " G o o g l e   A d w o r d s " ) ) ) ) ) ) ) ) ) ) ) ) ) 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 I F ( [ A c c o u n t ] = " F a c e b o o k "   & a m p ; & a m p ;   ( N O T ( I S E R R O R ( S E A R C H ( " C 2 D - i P h o n e " , [ C a m p a i g n ] , 1 ) ) ) ) , " F a c e b o o k   M o b i l e   -   i O S " , I F ( [ A c c o u n t ] = " F a c e b o o k "   & a m p ; & a m p ;   ( N O T ( I S E R R O R ( S E A R C H ( " C 2 D - A n d r o i d " , [ C a m p a i g n ] , 1 ) ) ) ) , " F a c e b o o k   M o b i l e   -   A n d r o i d " , I F ( [ A c c o u n t ] = " F a c e b o o k "   & a m p ; & a m p ; ( N O T ( I S E R R O R ( S E A R C H ( " P a g e " , [ C a m p a i g n ] , 1 ) ) ) | | N O T ( I S E R R O R ( S E A R C H ( " S p o n s o r " , [ C a m p a i g n ] , 1 ) ) ) | | N O T ( I S E R R O R ( S E A R C H ( " P o s t   E n g a g e m e n t " , [ C a m p a i g n ] , 1 ) ) ) ) , " F a c e b o o k   P a g e L i k e " , I F ( [ a c c o u n t ] = " F a c e b o o k " , " F a c e b o o k " , I F ( N O T ( I S E R R O R ( S E A R C H ( " M o b i l e " , [ A c c o u n t ] , 1 ) ) )   & a m p ; & a m p ;   ( N O T ( I S E R R O R ( S E A R C H ( " i O S " , [ C a m p a i g n ] , 1 ) ) ) | | N O T ( I S E R R O R ( S E A R C H ( " I O S " , [ C a m p a i g n ] , 1 ) ) ) ) ,   " G o o g l e   M o b i l e   -   i O S " , I F ( N O T ( I S E R R O R ( S E A R C H ( " M o b i l e " , [ A c c o u n t ] , 1 ) ) )   & a m p ; & a m p ;   N O T ( I S E R R O R ( S E A R C H ( " A n d r o i d " , [ C a m p a i g n ] , 1 ) ) ) ,   " G o o g l e   M o b i l e   -   A n d r o i d " ,   I F ( N O T ( I S E R R O R ( S E A R C H ( " M o b i l e " , [ A c c o u n t ] , 1 ) ) )   & a m p ; & a m p ;   N O T ( I S E R R O R ( S E A R C H ( " O t h e r " , [ C a m p a i g n ] , 1 ) ) ) ,   " G o o g l e   M o b i l e   -   O t h e r   M o b i l e s " , I F ( N O T ( I S E R R O R ( S E A R C H ( " r e m a r k e t i n g " , [ C a m p a i g n ] , 1 ) ) ) , " G o o g l e   R e m a r k e t i n g " , I F ( N O T ( I S E R R O R ( S E A R C H ( " i O S " , [ C a m p a i g n ] , 1 ) ) ) , " G o o g l e   M o b i l e   -   i O S " , I F ( N O T ( I S E R R O R ( S E A R C H ( " A n d r o i d " , [ C a m p a i g n ] , 1 ) ) ) , " G o o g l e   M o b i l e   -   A n d r o i d " , I F ( N O T ( I S E R R O R ( S E A R C H ( " M o b i l " , [ C a m p a i g n ] , 1 ) ) ) , " G o o g l e   M o b i l e   -   O t h e r   M o b i l e s " , I F ( N O T ( I S E R R O R ( S E A R C H ( " D i s p l a y " , [ C a m p a i g n ] , 1 ) ) ) , " G o o g l e   D i s p l a y " , I F ( N O T ( I S E R R O R ( S E A R C H ( " N o n e " , [ C a m p a i g n ] , 1 ) ) ) , " " , " G o o g l e   A d w o r d s " ) ) ) ) ) ) ) ) ) ) ) ) ) 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 C o u n t r y < / I D > < N a m e > C o u n t r y < / N a m e > < K e y C o l u m n s > < K e y C o l u m n > < D a t a T y p e > E m p t y < / D a t a T y p e > < S o u r c e   x s i : t y p e = " d d l 2 0 0 _ 2 0 0 : E x p r e s s i o n B i n d i n g " > < E x p r e s s i o n > I F ( N O T ( I S E R R O R ( S E A R C H ( " R e s t - A r z   L e b a n o n " , [ C a m p a i g n ] , 1 ) ) ) , " U A E " , I F ( N O T ( I S E R R O R ( S E A R C H ( " M u s c a t " , [ C a m p a i g n ] , 1 ) ) ) | | N O T ( I S E R R O R ( S E A R C H ( " O m a n " , [ C a m p a i g n ] , 1 ) ) ) , " O M A N " , I F ( N O T ( I S E R R O R ( S E A R C H ( " D o h a " , [ C a m p a i g n ] , 1 ) ) ) | | N O T ( I S E R R O R ( S E A R C H ( " Q a t a r " , [ C a m p a i g n ] , 1 ) ) ) , " Q A T A R " , I F ( N O T ( I S E R R O R ( S E A R C H ( " L e b a n o n " , [ C a m p a i g n ] , 1 ) ) ) | | N O T ( I S E R R O R ( S E A R C H ( " B e i r u t " , [ C a m p a i g n ] , 1 ) ) ) , " L E B A N O N " , I F ( N O T ( I S E R R O R ( S E A R C H ( " K S A " , [ C a m p a i g n ] , 1 ) ) ) | | N O T ( I S E R R O R ( S E A R C H ( " J e d d a h " , [ C a m p a i g n ] , 1 ) ) ) | | N O T ( I S E R R O R ( S E A R C H ( " R i y a d h " , [ C a m p a i g n ] , 1 ) ) ) | | N O T ( I S E R R O R ( S E A R C H ( " D a m m a m " , [ C a m p a i g n ] , 1 ) ) ) , " K S A " , " U A E "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 I F ( N O T ( I S E R R O R ( S E A R C H ( " R e s t - A r z   L e b a n o n " , [ C a m p a i g n ] , 1 ) ) ) , " U A E " , I F ( N O T ( I S E R R O R ( S E A R C H ( " M u s c a t " , [ C a m p a i g n ] , 1 ) ) ) | | N O T ( I S E R R O R ( S E A R C H ( " O m a n " , [ C a m p a i g n ] , 1 ) ) ) , " O M A N " , I F ( N O T ( I S E R R O R ( S E A R C H ( " D o h a " , [ C a m p a i g n ] , 1 ) ) ) | | N O T ( I S E R R O R ( S E A R C H ( " Q a t a r " , [ C a m p a i g n ] , 1 ) ) ) , " Q A T A R " , I F ( N O T ( I S E R R O R ( S E A R C H ( " L e b a n o n " , [ C a m p a i g n ] , 1 ) ) ) | | N O T ( I S E R R O R ( S E A R C H ( " B e i r u t " , [ C a m p a i g n ] , 1 ) ) ) , " L E B A N O N " , I F ( N O T ( I S E R R O R ( S E A R C H ( " K S A " , [ C a m p a i g n ] , 1 ) ) ) | | N O T ( I S E R R O R ( S E A R C H ( " J e d d a h " , [ C a m p a i g n ] , 1 ) ) ) | | N O T ( I S E R R O R ( S E A R C H ( " R i y a d h " , [ C a m p a i g n ] , 1 ) ) ) | | N O T ( I S E R R O R ( S E A R C H ( " D a m m a m " , [ C a m p a i g n ] , 1 ) ) ) , " K S A " , " U A E " ) ) )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 L a n g u a g e < / I D > < N a m e > L a n g u a g e < / N a m e > < K e y C o l u m n s > < K e y C o l u m n > < D a t a T y p e > E m p t y < / D a t a T y p e > < S o u r c e   x s i : t y p e = " d d l 2 0 0 _ 2 0 0 : E x p r e s s i o n B i n d i n g " > < E x p r e s s i o n > I F ( N O T ( I S E R R O R ( S E A R C H ( " A r a b i c " , [ A c c o u n t ] , 1 ) ) ) , " A r a b i c " , " E n g l i s h " ) 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 I F ( N O T ( I S E R R O R ( S E A R C H ( " A r a b i c " , [ A c c o u n t ] , 1 ) ) ) , " A r a b i c " , " E n g l i s h " ) 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< / I D > < N a m e > O r d e r < / N a m e > < K e y C o l u m n s > < K e y C o l u m n > < D a t a T y p e > E m p t y < / D a t a T y p e > < S o u r c e   x s i : t y p e = " d d l 2 0 0 _ 2 0 0 : E x p r e s s i o n B i n d i n g " > < E x p r e s s i o n > c a l c u l a t e ( s u m x ( o m n i t u r e , o m n i t u r e [ O r d e r s ] ) , f i l t e r ( o m n i t u r e , e a r l i e r ( C h a n n e l s [ C a m p a i g n ] ) = O m n i t u r e [ C a m p a i g n N a m e ] & a m p ; & a m p ; e a r l i e r ( C h a n n e l s [ D a y ] ) = O m n i t u r e [ d a t e ]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c a l c u l a t e ( s u m x ( o m n i t u r e , o m n i t u r e [ O r d e r s ] ) , f i l t e r ( o m n i t u r e , e a r l i e r ( C h a n n e l s [ C a m p a i g n ] ) = O m n i t u r e [ C a m p a i g n N a m e ] & a m p ; & a m p ; e a r l i e r ( C h a n n e l s [ D a y ] ) = O m n i t u r e [ d a t e ]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 R e g i s t r a t i o n < / I D > < N a m e > R e g i s t r a t i o n < / N a m e > < K e y C o l u m n s > < K e y C o l u m n > < D a t a T y p e > E m p t y < / D a t a T y p e > < S o u r c e   x s i : t y p e = " d d l 2 0 0 _ 2 0 0 : E x p r e s s i o n B i n d i n g " > < E x p r e s s i o n > c a l c u l a t e ( s u m x ( o m n i t u r e , O m n i t u r e [ R e g i s t r a t i o n ] ) , f i l t e r ( o m n i t u r e , e a r l i e r ( C h a n n e l s [ C a m p a i g n ] ) = O m n i t u r e [ C a m p a i g n N a m e ] & a m p ; & a m p ; e a r l i e r ( C h a n n e l s [ D a y ] ) = O m n i t u r e [ d a t e ]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c a l c u l a t e ( s u m x ( o m n i t u r e , O m n i t u r e [ R e g i s t r a t i o n ] ) , f i l t e r ( o m n i t u r e , e a r l i e r ( C h a n n e l s [ C a m p a i g n ] ) = O m n i t u r e [ C a m p a i g n N a m e ] & a m p ; & a m p ; e a r l i e r ( C h a n n e l s [ D a y ] ) = O m n i t u r e [ d a t e ] )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 2 5 5 1 0 3 f 9 - 5 a 9 6 - 4 5 a f - b 3 6 d - 3 0 3 6 7 4 3 a c 8 1 b < / I D > < d d l 3 0 0 _ 3 0 0 : F r o m R e l a t i o n s h i p E n d > < d d l 3 0 0 _ 3 0 0 : M u l t i p l i c i t y > M a n y < / d d l 3 0 0 _ 3 0 0 : M u l t i p l i c i t y > < d d l 3 0 0 : V i s u a l i z a t i o n P r o p e r t i e s   / > < D i m e n s i o n I D > C a m p a i g n   p e r f o r m a n c e   r e p o r t   1 _ e c 2 4 6 8 4 5 - 9 b 5 8 - 4 4 7 3 - b 6 c 8 - 9 8 3 d 5 0 2 e 1 c 8 e < / D i m e n s i o n I D > < A t t r i b u t e s > < A t t r i b u t e > < A t t r i b u t e I D > D a y 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 S h e e t 2 _ 5 6 3 c c 8 b d - d 9 6 6 - 4 e f e - b e 7 f - 5 c a 8 c f 2 0 0 f 1 1 < / D i m e n s i o n I D > < A t t r i b u t e s > < A t t r i b u t e > < A t t r i b u t e I D > D a t e K e y 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 S h e e t 1 _ a a e 8 3 c a f - 4 d 0 d - 4 5 7 7 - 9 c f d - 8 7 8 1 3 e 2 f 7 d 7 0 < / I D > < N a m e > O m n i t u r e 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 1 0 5 5 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< / A t t r i b u t e I D > < O v e r r i d e B e h a v i o r > N o n e < / O v e r r i d e B e h a v i o r > < N a m e > D a t e < / N a m e > < / A t t r i b u t e R e l a t i o n s h i p > < A t t r i b u t e R e l a t i o n s h i p > < A t t r i b u t e I D > C a m p a i g n N a m e < / A t t r i b u t e I D > < O v e r r i d e B e h a v i o r > N o n e < / O v e r r i d e B e h a v i o r > < N a m e > C a m p a i g n N a m e < / N a m e > < / A t t r i b u t e R e l a t i o n s h i p > < A t t r i b u t e R e l a t i o n s h i p > < A t t r i b u t e I D > V i s i t s < / A t t r i b u t e I D > < O v e r r i d e B e h a v i o r > N o n e < / O v e r r i d e B e h a v i o r > < N a m e > V i s i t s < / N a m e > < / A t t r i b u t e R e l a t i o n s h i p > < A t t r i b u t e R e l a t i o n s h i p > < A t t r i b u t e I D > U n i q u e   V i s i t o r s < / A t t r i b u t e I D > < O v e r r i d e B e h a v i o r > N o n e < / O v e r r i d e B e h a v i o r > < N a m e > U n i q u e   V i s i t o r s < / N a m e > < / A t t r i b u t e R e l a t i o n s h i p > < A t t r i b u t e R e l a t i o n s h i p > < A t t r i b u t e I D > R e g i s t r a t i o n < / A t t r i b u t e I D > < O v e r r i d e B e h a v i o r > N o n e < / O v e r r i d e B e h a v i o r > < N a m e > R e g i s t r a t i o n < / N a m e > < / A t t r i b u t e R e l a t i o n s h i p > < A t t r i b u t e R e l a t i o n s h i p > < A t t r i b u t e I D > O r d e r s < / A t t r i b u t e I D > < O v e r r i d e B e h a v i o r > N o n e < / O v e r r i d e B e h a v i o r > < N a m e > O r d e r s < / N a m e > < / A t t r i b u t e R e l a t i o n s h i p > < A t t r i b u t e R e l a t i o n s h i p > < A t t r i b u t e I D > R e v e n u e < / A t t r i b u t e I D > < O v e r r i d e B e h a v i o r > N o n e < / O v e r r i d e B e h a v i o r > < N a m e > R e v e n u e < / N a m e > < / A t t r i b u t e R e l a t i o n s h i p > < A t t r i b u t e R e l a t i o n s h i p > < A t t r i b u t e I D > C h a n n e l < / A t t r i b u t e I D > < O v e r r i d e B e h a v i o r > N o n e < / O v e r r i d e B e h a v i o r > < N a m e > C h a n n e l 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 R e v e n u e - U S D < / A t t r i b u t e I D > < O v e r r i d e B e h a v i o r > N o n e < / O v e r r i d e B e h a v i o r > < N a m e > R e v e n u e - U S D 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< / I D > < N a m e >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 C a m p a i g n N a m e < / I D > < N a m e > C a m p a i g n N a m e 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 C a m p a i g n N a m e 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 C a m p a i g n N a m e 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 V i s i t s < / I D > < N a m e > V i s i t s 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 V i s i t s 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 V i s i t s 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 U n i q u e   V i s i t o r s < / I D > < N a m e > U n i q u e   V i s i t o r s 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 U n i q u e _ x 0 0 2 0 _ V i s i t o r s 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 U n i q u e _ x 0 0 2 0 _ V i s i t o r s 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 R e g i s t r a t i o n < / I D > < N a m e > R e g i s t r a t i o n 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 R e g i s t r a t i o n 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 R e g i s t r a t i o n 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 O r d e r s < / I D > < N a m e > O r d e r s 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 O r d e r s 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 O r d e r s 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5 5 "   D i s p l a y N a m e = " �   T u r k i s h   ( T u r k e y ) "   S y m b o l = " � "   P o s i t i v e P a t t e r n = " 3 "   N e g a t i v e P a t t e r n = " 8 "   / > < / F o r m a t > < / V a l u e > < / A n n o t a t i o n > < / A n n o t a t i o n s > < I D > R e v e n u e < / I D > < N a m e > R e v e n u e 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 R e v e n u e 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 R e v e n u e 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 C h a n n e l < / I D > < N a m e > C h a n n e l < / N a m e > < K e y C o l u m n s > < K e y C o l u m n > < D a t a T y p e > E m p t y < / D a t a T y p e > < S o u r c e   x s i : t y p e = " d d l 2 0 0 _ 2 0 0 : E x p r e s s i o n B i n d i n g " > < E x p r e s s i o n > I F ( N O T ( I S E R R O R ( S E A R C H ( " A f f i l i a t e " , [ C a m p a i g n N a m e ] , 1 ) ) ) , " A f f i l i a t e " , I F ( N O T ( I S E R R O R ( S E A R C H ( " F a c e b o o k " , [ C a m p a i g n N a m e ] , 1 ) ) ) , " F a c e b o o k " , I F ( N O T ( I S E R R O R ( S E A R C H ( " N o n e " , [ C a m p a i g n N a m e ] , 1 ) ) ) , " " , I F ( N O T ( I S E R R O R ( S E A R C H ( " r e m a r k e t i n g " , [ C a m p a i g n N a m e ] , 1 ) ) ) , " G o o g l e   R e m a r k e t i n g " , I F ( N O T ( I S E R R O R ( S E A R C H ( " M o b i l e " , [ C a m p a i g n N a m e ] , 1 ) ) ) | |   N O T ( I S E R R O R ( S E A R C H ( " M o b i l " , [ C a m p a i g n N a m e ] , 1 ) ) )   | |   N O T ( I S E R R O R ( S E A R C H ( " I O S " , [ C a m p a i g n N a m e ] , 1 ) ) ) | | N O T ( I S E R R O R ( S E A R C H ( " A n d r o i d " , [ C a m p a i g n N a m e ] , 1 ) ) ) , " G o o g l e   M o b i l e " , I F ( N O T ( I S E R R O R ( S E A R C H ( " D i s p l a y " , [ C a m p a i g n N a m e ] , 1 ) ) ) , " G o o g l e   D i s p l a y " , " G o o g l e   A d w o r d s " ) ) ) ) ) ) 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N O T ( I S E R R O R ( S E A R C H ( " A f f i l i a t e " , [ C a m p a i g n N a m e ] , 1 ) ) ) , " A f f i l i a t e " , I F ( N O T ( I S E R R O R ( S E A R C H ( " F a c e b o o k " , [ C a m p a i g n N a m e ] , 1 ) ) ) , " F a c e b o o k " , I F ( N O T ( I S E R R O R ( S E A R C H ( " N o n e " , [ C a m p a i g n N a m e ] , 1 ) ) ) , " " , I F ( N O T ( I S E R R O R ( S E A R C H ( " r e m a r k e t i n g " , [ C a m p a i g n N a m e ] , 1 ) ) ) , " G o o g l e   R e m a r k e t i n g " , I F ( N O T ( I S E R R O R ( S E A R C H ( " M o b i l e " , [ C a m p a i g n N a m e ] , 1 ) ) ) | |   N O T ( I S E R R O R ( S E A R C H ( " M o b i l " , [ C a m p a i g n N a m e ] , 1 ) ) )   | |   N O T ( I S E R R O R ( S E A R C H ( " I O S " , [ C a m p a i g n N a m e ] , 1 ) ) ) | | N O T ( I S E R R O R ( S E A R C H ( " A n d r o i d " , [ C a m p a i g n N a m e ] , 1 ) ) ) , " G o o g l e   M o b i l e " , I F ( N O T ( I S E R R O R ( S E A R C H ( " D i s p l a y " , [ C a m p a i g n N a m e ] , 1 ) ) ) , " G o o g l e   D i s p l a y " , " G o o g l e   A d w o r d s " ) ) ) ) ) ) 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 C o u n t r y < / I D > < N a m e > C o u n t r y < / N a m e > < K e y C o l u m n s > < K e y C o l u m n > < D a t a T y p e > E m p t y < / D a t a T y p e > < S o u r c e   x s i : t y p e = " d d l 2 0 0 _ 2 0 0 : E x p r e s s i o n B i n d i n g " > < E x p r e s s i o n > I F ( N O T ( I S E R R O R ( S E A R C H ( " R e s t - A r z   L e b a n o n " , [ C a m p a i g n N a m e ] , 1 ) ) ) , " U A E " , I F ( N O T ( I S E R R O R ( S E A R C H ( " M u s c a t " , [ C a m p a i g n N a m e ] , 1 ) ) ) | | N O T ( I S E R R O R ( S E A R C H ( " O m a n " , [ C a m p a i g n N a m e ] , 1 ) ) ) , " O M A N " , I F ( N O T ( I S E R R O R ( S E A R C H ( " D o h a " , [ C a m p a i g n N a m e ] , 1 ) ) ) | | N O T ( I S E R R O R ( S E A R C H ( " Q a t a r " , [ C a m p a i g n N a m e ] , 1 ) ) ) , " Q A T A R " , I F ( N O T ( I S E R R O R ( S E A R C H ( " L e b a n o n " , [ C a m p a i g n N a m e ] , 1 ) ) ) | | N O T ( I S E R R O R ( S E A R C H ( " B e i r u t " , [ C a m p a i g n N a m e ] , 1 ) ) ) , " L E B A N O N " , I F ( N O T ( I S E R R O R ( S E A R C H ( " K S A " , [ C a m p a i g n N a m e ] , 1 ) ) ) | | N O T ( I S E R R O R ( S E A R C H ( " J e d d a h " , [ C a m p a i g n N a m e ] , 1 ) ) ) | | N O T ( I S E R R O R ( S E A R C H ( " R i y a d h " , [ C a m p a i g n N a m e ] , 1 ) ) ) | | N O T ( I S E R R O R ( S E A R C H ( " D a m m a m " , [ C a m p a i g n N a m e ] , 1 ) ) ) , " K S A " , " U A E "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 I F ( N O T ( I S E R R O R ( S E A R C H ( " R e s t - A r z   L e b a n o n " , [ C a m p a i g n N a m e ] , 1 ) ) ) , " U A E " , I F ( N O T ( I S E R R O R ( S E A R C H ( " M u s c a t " , [ C a m p a i g n N a m e ] , 1 ) ) ) | | N O T ( I S E R R O R ( S E A R C H ( " O m a n " , [ C a m p a i g n N a m e ] , 1 ) ) ) , " O M A N " , I F ( N O T ( I S E R R O R ( S E A R C H ( " D o h a " , [ C a m p a i g n N a m e ] , 1 ) ) ) | | N O T ( I S E R R O R ( S E A R C H ( " Q a t a r " , [ C a m p a i g n N a m e ] , 1 ) ) ) , " Q A T A R " , I F ( N O T ( I S E R R O R ( S E A R C H ( " L e b a n o n " , [ C a m p a i g n N a m e ] , 1 ) ) ) | | N O T ( I S E R R O R ( S E A R C H ( " B e i r u t " , [ C a m p a i g n N a m e ] , 1 ) ) ) , " L E B A N O N " , I F ( N O T ( I S E R R O R ( S E A R C H ( " K S A " , [ C a m p a i g n N a m e ] , 1 ) ) ) | | N O T ( I S E R R O R ( S E A R C H ( " J e d d a h " , [ C a m p a i g n N a m e ] , 1 ) ) ) | | N O T ( I S E R R O R ( S E A R C H ( " R i y a d h " , [ C a m p a i g n N a m e ] , 1 ) ) ) | | N O T ( I S E R R O R ( S E A R C H ( " D a m m a m " , [ C a m p a i g n N a m e ] , 1 ) ) ) , " K S A " , " U A E " ) ) )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5 5 "   D i s p l a y N a m e = " �   T u r k i s h   ( T u r k e y ) "   S y m b o l = " � "   P o s i t i v e P a t t e r n = " 3 "   N e g a t i v e P a t t e r n = " 8 "   / > < / F o r m a t > < / V a l u e > < / A n n o t a t i o n > < / A n n o t a t i o n s > < I D > R e v e n u e - U S D < / I D > < N a m e > R e v e n u e - U S D < / N a m e > < K e y C o l u m n s > < K e y C o l u m n > < D a t a T y p e > E m p t y < / D a t a T y p e > < S o u r c e   x s i : t y p e = " d d l 2 0 0 _ 2 0 0 : E x p r e s s i o n B i n d i n g " > < E x p r e s s i o n > I F ( [ C o u n t r y ] = " O M A N " , 2 . 6 0 , I F ( [ C o u n t r y ] = " L E B A N O N " , 0 . 0 0 0 6 6 , 0 . 2 7 ) ) * [ R e v e n u e ] 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 I F ( [ C o u n t r y ] = " O M A N " , 2 . 6 0 , I F ( [ C o u n t r y ] = " L E B A N O N " , 0 . 0 0 0 6 6 , 0 . 2 7 ) ) * [ R e v e n u e ] < / E x p r e s s i o n > < / S o u r c e > < / N a m e C o l u m n > < O r d e r B y > K e y < / O r d e r B y > < d d l 3 0 0 _ 3 0 0 : F o r m a t S t r i n g > # , 0 . 0 0   " � " ; - # , 0 . 0 0   " � " ; # , 0 . 0 0   " � " < / d d l 3 0 0 _ 3 0 0 : F o r m a t S t r i n g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 9 9 1 2 6 d 7 a - b 0 9 c - 4 6 6 b - 8 9 b c - c b 1 f 7 c d b e 3 0 9 < / I D > < d d l 3 0 0 _ 3 0 0 : F r o m R e l a t i o n s h i p E n d > < d d l 3 0 0 _ 3 0 0 : M u l t i p l i c i t y > M a n y < / d d l 3 0 0 _ 3 0 0 : M u l t i p l i c i t y > < d d l 3 0 0 : V i s u a l i z a t i o n P r o p e r t i e s   / > < D i m e n s i o n I D > S h e e t 1 _ a a e 8 3 c a f - 4 d 0 d - 4 5 7 7 - 9 c f d - 8 7 8 1 3 e 2 f 7 d 7 0 < / D i m e n s i o n I D > < A t t r i b u t e s > < A t t r i b u t e > < A t t r i b u t e I D > D a t e 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 S h e e t 2 _ 5 6 3 c c 8 b d - d 9 6 6 - 4 e f e - b e 7 f - 5 c a 8 c f 2 0 0 f 1 1 < / D i m e n s i o n I D > < A t t r i b u t e s > < A t t r i b u t e > < A t t r i b u t e I D > D a t e K e y 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 S h e e t 1   1 _ 3 d 7 d 2 1 a 0 - 0 3 a 2 - 4 c a 1 - a 2 7 0 - f 1 0 f b 7 5 8 f b 4 9 < / I D > < N a m e > O r d e r 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 & l t ; i n t & g t ; 8 8 & l t ; / i n t & g t ; 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 & l t ; i n t & g t ; 1 6 1 & l t ; / i n t & g t ; 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 & l t ; i n t & g t ; 7 3 & l t ; / i n t & g t ; 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 & l t ; i n t & g t ; 9 5 & l t ; / i n t & g t ; 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 & l t ; i n t & g t ; 8 3 & l t ; / i n t & g t ; 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 & l t ; i n t & g t ; 1 3 5 & l t ; / i n t & g t ; 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 & l t ; s t r i n g & g t ; D a t e & l t ; / s t r i n g & g t ; 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 1 0 5 5 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 D a t e 1 < / A t t r i b u t e I D > < O v e r r i d e B e h a v i o r > N o n e < / O v e r r i d e B e h a v i o r > < N a m e > D a t e 1 < / N a m e > < / A t t r i b u t e R e l a t i o n s h i p > < A t t r i b u t e R e l a t i o n s h i p > < A t t r i b u t e I D > C i t y < / A t t r i b u t e I D > < O v e r r i d e B e h a v i o r > N o n e < / O v e r r i d e B e h a v i o r > < N a m e > C i t y < / N a m e > < / A t t r i b u t e R e l a t i o n s h i p > < A t t r i b u t e R e l a t i o n s h i p > < A t t r i b u t e I D > O r d e r   C h a n n e l < / A t t r i b u t e I D > < O v e r r i d e B e h a v i o r > N o n e < / O v e r r i d e B e h a v i o r > < N a m e > O r d e r   C h a n n e l < / N a m e > < / A t t r i b u t e R e l a t i o n s h i p > < A t t r i b u t e R e l a t i o n s h i p > < A t t r i b u t e I D > O r d e r   C o u n t < / A t t r i b u t e I D > < O v e r r i d e B e h a v i o r > N o n e < / O v e r r i d e B e h a v i o r > < N a m e > O r d e r   C o u n t < / N a m e > < / A t t r i b u t e R e l a t i o n s h i p > < A t t r i b u t e R e l a t i o n s h i p > < A t t r i b u t e I D > Y e a r M o n t h < / A t t r i b u t e I D > < O v e r r i d e B e h a v i o r > N o n e < / O v e r r i d e B e h a v i o r > < N a m e > Y e a r M o n t h < / N a m e > < / A t t r i b u t e R e l a t i o n s h i p > < A t t r i b u t e R e l a t i o n s h i p > < A t t r i b u t e I D > W e e k S t a r t < / A t t r i b u t e I D > < O v e r r i d e B e h a v i o r > N o n e < / O v e r r i d e B e h a v i o r > < N a m e > W e e k S t a r t 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 D a t e 1 < / I D > < N a m e > D a t e 1 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 D a t e 1 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 D a t e 1 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 C i t y < / I D > < N a m e > C i t y 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 C i t y 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 C i t y 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 O r d e r   C h a n n e l < / I D > < N a m e > O r d e r   C h a n n e l 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 O r d e r _ x 0 0 2 0 _ C h a n n e l 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 O r d e r _ x 0 0 2 0 _ C h a n n e l 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  C o u n t < / I D > < N a m e > O r d e r   C o u n t 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 Y e a r M o n t h < / I D > < N a m e > Y e a r M o n t h < / N a m e > < K e y C o l u m n s > < K e y C o l u m n > < D a t a T y p e > E m p t y < / D a t a T y p e > < S o u r c e   x s i : t y p e = " d d l 2 0 0 _ 2 0 0 : E x p r e s s i o n B i n d i n g " > < E x p r e s s i o n > L O O K U P V A L U E ( D a t e k e y [ Y e a r M o n t h ] , D a t e k e y [ D a t e K e y ] , [ D a t e 1 ] ) 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 L O O K U P V A L U E ( D a t e k e y [ Y e a r M o n t h ] , D a t e k e y [ D a t e K e y ] , [ D a t e 1 ] ) < / E x p r e s s i o n > < / S o u r c e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 W e e k S t a r t < / I D > < N a m e > W e e k S t a r t < / N a m e > < K e y C o l u m n s > < K e y C o l u m n > < D a t a T y p e > E m p t y < / D a t a T y p e > < S o u r c e   x s i : t y p e = " d d l 2 0 0 _ 2 0 0 : E x p r e s s i o n B i n d i n g " > < E x p r e s s i o n > L O O K U P V A L U E ( D a t e k e y [ W e e k S t a r t ] , D a t e k e y [ D a t e K e y ] , [ D a t e 1 ] ) 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 L O O K U P V A L U E ( D a t e k e y [ W e e k S t a r t ] , D a t e k e y [ D a t e K e y ] , [ D a t e 1 ] ) < / E x p r e s s i o n > < / S o u r c e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 C o u n t r y < / I D > < N a m e > C o u n t r y < / N a m e > < K e y C o l u m n s > < K e y C o l u m n > < D a t a T y p e > E m p t y < / D a t a T y p e > < S o u r c e   x s i : t y p e = " d d l 2 0 0 _ 2 0 0 : E x p r e s s i o n B i n d i n g " > < E x p r e s s i o n > I F ( [ C i t y ] = " U A E _ D U B A I "   | |   [ C i t y ] = " U A E _ A B U _ D H A B I "   | |   [ C i t y ] = " U A E _ S H A R J A H " , " U A E " , I F ( [ C i t y ] = " D A M M A M "   | |   [ C i t y ] = " R I Y A D H "   | |   [ C i t y ] = " J E D D A H " , " K S A " , I F ( [ C i t y ] = " B E I R U T " , " L E B A N O N " , I F ( [ C i t y ] = " U A E _ D O H A " , " Q A T A R " , I F ( [ C i t y ] = " U A E _ M U S C A T " , " O M A N " , " U A E " ) ) ) ) ) 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 I F ( [ C i t y ] = " U A E _ D U B A I "   | |   [ C i t y ] = " U A E _ A B U _ D H A B I "   | |   [ C i t y ] = " U A E _ S H A R J A H " , " U A E " , I F ( [ C i t y ] = " D A M M A M "   | |   [ C i t y ] = " R I Y A D H "   | |   [ C i t y ] = " J E D D A H " , " K S A " , I F ( [ C i t y ] = " B E I R U T " , " L E B A N O N " , I F ( [ C i t y ] = " U A E _ D O H A " , " Q A T A R " , I F ( [ C i t y ] = " U A E _ M U S C A T " , " O M A N " , " U A E " ) ) ) ) ) 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 S h e e t 1   2 _ 4 a 3 e 7 d 1 9 - 0 2 c 4 - 4 2 0 c - b 4 4 7 - 6 c 9 3 2 c 0 7 e b e 9 < / I D > < N a m e > R e g i s t r a t i o n 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 & l t ; i n t & g t ; 8 8 & l t ; / i n t & g t ; 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 & l t ; i n t & g t ; 1 6 0 & l t ; / i n t & g t ; 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 & l t ; i n t & g t ; 7 3 & l t ; / i n t & g t ; 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 & l t ; i n t & g t ; 9 5 & l t ; / i n t & g t ; 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 & l t ; i n t & g t ; 8 3 & l t ; / i n t & g t ; 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 & l t ; i n t & g t ; 1 3 5 & l t ; / i n t & g t ; 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 & l t ; s t r i n g & g t ; F 5 & l t ; / s t r i n g & g t ; 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 1 0 5 5 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< / A t t r i b u t e I D > < O v e r r i d e B e h a v i o r > N o n e < / O v e r r i d e B e h a v i o r > < N a m e > D a t e < / N a m e > < / A t t r i b u t e R e l a t i o n s h i p > < A t t r i b u t e R e l a t i o n s h i p > < A t t r i b u t e I D > R e g i s t r a t i o n   C i t y < / A t t r i b u t e I D > < O v e r r i d e B e h a v i o r > N o n e < / O v e r r i d e B e h a v i o r > < N a m e > R e g i s t r a t i o n   C i t y < / N a m e > < / A t t r i b u t e R e l a t i o n s h i p > < A t t r i b u t e R e l a t i o n s h i p > < A t t r i b u t e I D > R e g #   C h a n n e l < / A t t r i b u t e I D > < O v e r r i d e B e h a v i o r > N o n e < / O v e r r i d e B e h a v i o r > < N a m e > R e g #   C h a n n e l < / N a m e > < / A t t r i b u t e R e l a t i o n s h i p > < A t t r i b u t e R e l a t i o n s h i p > < A t t r i b u t e I D > U n i q u e   C u s t o m e r < / A t t r i b u t e I D > < O v e r r i d e B e h a v i o r > N o n e < / O v e r r i d e B e h a v i o r > < N a m e > U n i q u e   C u s t o m e r < / N a m e > < / A t t r i b u t e R e l a t i o n s h i p > < A t t r i b u t e R e l a t i o n s h i p > < A t t r i b u t e I D > Y e a r M o n t h < / A t t r i b u t e I D > < O v e r r i d e B e h a v i o r > N o n e < / O v e r r i d e B e h a v i o r > < N a m e > Y e a r M o n t h < / N a m e > < / A t t r i b u t e R e l a t i o n s h i p > < A t t r i b u t e R e l a t i o n s h i p > < A t t r i b u t e I D > W e e k S t a r t < / A t t r i b u t e I D > < O v e r r i d e B e h a v i o r > N o n e < / O v e r r i d e B e h a v i o r > < N a m e > W e e k S t a r t 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< / I D > < N a m e > D a t e < / N a m e > < K e y C o l u m n s > < K e y C o l u m n > < D a t a T y p e > D a t e 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 D a t e 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 D a t e < / C o l u m n I D > < / S o u r c e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 R e g i s t r a t i o n   C i t y < / I D > < N a m e > R e g i s t r a t i o n   C i t y 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 R e g i s t r a t i o n _ x 0 0 2 0 _ C i t y 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 R e g i s t r a t i o n _ x 0 0 2 0 _ C i t y 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 R e g #   C h a n n e l < / I D > < N a m e > R e g #   C h a n n e l 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 R e g _ x 0 0 2 3 _ _ x 0 0 2 0 _ C h a n n e l 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 R e g _ x 0 0 2 3 _ _ x 0 0 2 0 _ C h a n n e l 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 U n i q u e   C u s t o m e r < / I D > < N a m e > U n i q u e   C u s t o m e r 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 U n i q u e _ x 0 0 2 0 _ C u s t o m e r 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 U n i q u e _ x 0 0 2 0 _ C u s t o m e r 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 Y e a r M o n t h < / I D > < N a m e > Y e a r M o n t h < / N a m e > < K e y C o l u m n s > < K e y C o l u m n > < D a t a T y p e > E m p t y < / D a t a T y p e > < S o u r c e   x s i : t y p e = " d d l 2 0 0 _ 2 0 0 : E x p r e s s i o n B i n d i n g " > < E x p r e s s i o n > L O O K U P V A L U E ( D a t e k e y [ Y e a r M o n t h ] , D a t e k e y [ D a t e K e y ] , [ D a t e ] ) 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 L O O K U P V A L U E ( D a t e k e y [ Y e a r M o n t h ] , D a t e k e y [ D a t e K e y ] , [ D a t e ] ) 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 W e e k S t a r t < / I D > < N a m e > W e e k S t a r t < / N a m e > < K e y C o l u m n s > < K e y C o l u m n > < D a t a T y p e > E m p t y < / D a t a T y p e > < S o u r c e   x s i : t y p e = " d d l 2 0 0 _ 2 0 0 : E x p r e s s i o n B i n d i n g " > < E x p r e s s i o n > L O O K U P V A L U E ( D a t e k e y [ W e e k S t a r t ] , D a t e k e y [ D a t e K e y ] , [ D a t e ] ) 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 L O O K U P V A L U E ( D a t e k e y [ W e e k S t a r t ] , D a t e k e y [ D a t e K e y ] , [ D a t e ] ) < / E x p r e s s i o n > < / S o u r c e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 C o u n t r y < / I D > < N a m e > C o u n t r y < / N a m e > < K e y C o l u m n s > < K e y C o l u m n > < D a t a T y p e > E m p t y < / D a t a T y p e > < S o u r c e   x s i : t y p e = " d d l 2 0 0 _ 2 0 0 : E x p r e s s i o n B i n d i n g " > < E x p r e s s i o n > I F ( [ R e g i s t r a t i o n   C i t y ] = " U A E _ D U B A I "   | |   [ R e g i s t r a t i o n   C i t y ] = " U A E _ A B U _ D H A B I "   | |   [ R e g i s t r a t i o n   C i t y ] = " U A E _ S H A R J A H " , " U A E " , I F ( [ R e g i s t r a t i o n   C i t y ] = " D A M M A M "   | |   [ R e g i s t r a t i o n   C i t y ] = " R I Y A D H "   | |   [ R e g i s t r a t i o n   C i t y ] = " J E D D A H " , " K S A " , I F ( [ R e g i s t r a t i o n   C i t y ] = " B E I R U T " , " L E B A N O N " , I F ( [ R e g i s t r a t i o n   C i t y ] = " U A E _ D O H A " , " Q A T A R " , I F ( [ R e g i s t r a t i o n   C i t y ] = " U A E _ M U S C A T " , " O M A N " , " U A E " ) ) ) ) ) 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 I F ( [ R e g i s t r a t i o n   C i t y ] = " U A E _ D U B A I "   | |   [ R e g i s t r a t i o n   C i t y ] = " U A E _ A B U _ D H A B I "   | |   [ R e g i s t r a t i o n   C i t y ] = " U A E _ S H A R J A H " , " U A E " , I F ( [ R e g i s t r a t i o n   C i t y ] = " D A M M A M "   | |   [ R e g i s t r a t i o n   C i t y ] = " R I Y A D H "   | |   [ R e g i s t r a t i o n   C i t y ] = " J E D D A H " , " K S A " , I F ( [ R e g i s t r a t i o n   C i t y ] = " B E I R U T " , " L E B A N O N " , I F ( [ R e g i s t r a t i o n   C i t y ] = " U A E _ D O H A " , " Q A T A R " , I F ( [ R e g i s t r a t i o n   C i t y ] = " U A E _ M U S C A T " , " O M A N " , " U A E " ) ) ) ) ) 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L a n g u a g e > 1 0 5 5 < / L a n g u a g e > < D i m e n s i o n s > < D i m e n s i o n > < I D > S h e e t 2 _ 5 6 3 c c 8 b d - d 9 6 6 - 4 e f e - b e 7 f - 5 c a 8 c f 2 0 0 f 1 1 < / I D > < N a m e > D a t e k e y < / N a m e > < D i m e n s i o n I D > S h e e t 2 _ 5 6 3 c c 8 b d - d 9 6 6 - 4 e f e - b e 7 f - 5 c a 8 c f 2 0 0 f 1 1 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 D a t e K e y < / A t t r i b u t e I D > < / A t t r i b u t e > < A t t r i b u t e > < A t t r i b u t e I D > W e e k S t a r t < / A t t r i b u t e I D > < / A t t r i b u t e > < A t t r i b u t e > < A t t r i b u t e I D > Y e a r M o n t h < / A t t r i b u t e I D > < / A t t r i b u t e > < / A t t r i b u t e s > < / D i m e n s i o n > < D i m e n s i o n > < I D > C a m p a i g n   p e r f o r m a n c e   r e p o r t   1 _ e c 2 4 6 8 4 5 - 9 b 5 8 - 4 4 7 3 - b 6 c 8 - 9 8 3 d 5 0 2 e 1 c 8 e < / I D > < N a m e > C h a n n e l s < / N a m e > < D i m e n s i o n I D > C a m p a i g n   p e r f o r m a n c e   r e p o r t   1 _ e c 2 4 6 8 4 5 - 9 b 5 8 - 4 4 7 3 - b 6 c 8 - 9 8 3 d 5 0 2 e 1 c 8 e 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 A c c o u n t < / A t t r i b u t e I D > < / A t t r i b u t e > < A t t r i b u t e > < A t t r i b u t e I D > D a y < / A t t r i b u t e I D > < / A t t r i b u t e > < A t t r i b u t e > < A t t r i b u t e I D > C a m p a i g n < / A t t r i b u t e I D > < / A t t r i b u t e > < A t t r i b u t e > < A t t r i b u t e I D > C l i c k s < / A t t r i b u t e I D > < / A t t r i b u t e > < A t t r i b u t e > < A t t r i b u t e I D > I m p r e s s i o n s < / A t t r i b u t e I D > < / A t t r i b u t e > < A t t r i b u t e > < A t t r i b u t e I D > C T R < / A t t r i b u t e I D > < / A t t r i b u t e > < A t t r i b u t e > < A t t r i b u t e I D > A v g #   C P C < / A t t r i b u t e I D > < / A t t r i b u t e > < A t t r i b u t e > < A t t r i b u t e I D > A v g #   C P M < / A t t r i b u t e I D > < / A t t r i b u t e > < A t t r i b u t e > < A t t r i b u t e I D > C o s t < / A t t r i b u t e I D > < / A t t r i b u t e > < A t t r i b u t e > < A t t r i b u t e I D > A v g #   p o s i t i o n < / A t t r i b u t e I D > < / A t t r i b u t e > < A t t r i b u t e > < A t t r i b u t e I D > C o n v #   m a n y - p e r - c l i c k < / A t t r i b u t e I D > < / A t t r i b u t e > < A t t r i b u t e > < A t t r i b u t e I D > C o n v #   r a t e   m a n y - p e r - c l i c k < / A t t r i b u t e I D > < / A t t r i b u t e > < A t t r i b u t e > < A t t r i b u t e I D > V i e w - t h r o u g h   c o n v # < / A t t r i b u t e I D > < / A t t r i b u t e > < A t t r i b u t e > < A t t r i b u t e I D > V i e w - t h r o u g h   c o n v #   r a t e < / A t t r i b u t e I D > < / A t t r i b u t e > < A t t r i b u t e > < A t t r i b u t e I D > C h a n n e l < / A t t r i b u t e I D > < / A t t r i b u t e > < A t t r i b u t e > < A t t r i b u t e I D > C o u n t r y < / A t t r i b u t e I D > < / A t t r i b u t e > < A t t r i b u t e > < A t t r i b u t e I D > L a n g u a g e < / A t t r i b u t e I D > < / A t t r i b u t e > < A t t r i b u t e > < A t t r i b u t e I D > O r d e r < / A t t r i b u t e I D > < / A t t r i b u t e > < A t t r i b u t e > < A t t r i b u t e I D > R e g i s t r a t i o n < / A t t r i b u t e I D > < / A t t r i b u t e > < / A t t r i b u t e s > < / D i m e n s i o n > < D i m e n s i o n > < I D > S h e e t 1 _ a a e 8 3 c a f - 4 d 0 d - 4 5 7 7 - 9 c f d - 8 7 8 1 3 e 2 f 7 d 7 0 < / I D > < N a m e > O m n i t u r e < / N a m e > < D i m e n s i o n I D > S h e e t 1 _ a a e 8 3 c a f - 4 d 0 d - 4 5 7 7 - 9 c f d - 8 7 8 1 3 e 2 f 7 d 7 0 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 D a t e < / A t t r i b u t e I D > < / A t t r i b u t e > < A t t r i b u t e > < A t t r i b u t e I D > C a m p a i g n N a m e < / A t t r i b u t e I D > < / A t t r i b u t e > < A t t r i b u t e > < A t t r i b u t e I D > V i s i t s < / A t t r i b u t e I D > < / A t t r i b u t e > < A t t r i b u t e > < A t t r i b u t e I D > U n i q u e   V i s i t o r s < / A t t r i b u t e I D > < / A t t r i b u t e > < A t t r i b u t e > < A t t r i b u t e I D > R e g i s t r a t i o n < / A t t r i b u t e I D > < / A t t r i b u t e > < A t t r i b u t e > < A t t r i b u t e I D > O r d e r s < / A t t r i b u t e I D > < / A t t r i b u t e > < A t t r i b u t e > < A t t r i b u t e I D > R e v e n u e < / A t t r i b u t e I D > < / A t t r i b u t e > < A t t r i b u t e > < A t t r i b u t e I D > C h a n n e l < / A t t r i b u t e I D > < / A t t r i b u t e > < A t t r i b u t e > < A t t r i b u t e I D > C o u n t r y < / A t t r i b u t e I D > < / A t t r i b u t e > < A t t r i b u t e > < A t t r i b u t e I D > R e v e n u e - U S D < / A t t r i b u t e I D > < / A t t r i b u t e > < / A t t r i b u t e s > < / D i m e n s i o n > < D i m e n s i o n > < I D > S h e e t 1   1 _ 3 d 7 d 2 1 a 0 - 0 3 a 2 - 4 c a 1 - a 2 7 0 - f 1 0 f b 7 5 8 f b 4 9 < / I D > < N a m e > O r d e r < / N a m e > < D i m e n s i o n I D > S h e e t 1   1 _ 3 d 7 d 2 1 a 0 - 0 3 a 2 - 4 c a 1 - a 2 7 0 - f 1 0 f b 7 5 8 f b 4 9 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 D a t e 1 < / A t t r i b u t e I D > < / A t t r i b u t e > < A t t r i b u t e > < A t t r i b u t e I D > C i t y < / A t t r i b u t e I D > < / A t t r i b u t e > < A t t r i b u t e > < A t t r i b u t e I D > O r d e r   C h a n n e l < / A t t r i b u t e I D > < / A t t r i b u t e > < A t t r i b u t e > < A t t r i b u t e I D > O r d e r   C o u n t < / A t t r i b u t e I D > < / A t t r i b u t e > < A t t r i b u t e > < A t t r i b u t e I D > Y e a r M o n t h < / A t t r i b u t e I D > < / A t t r i b u t e > < A t t r i b u t e > < A t t r i b u t e I D > W e e k S t a r t < / A t t r i b u t e I D > < / A t t r i b u t e > < A t t r i b u t e > < A t t r i b u t e I D > C o u n t r y < / A t t r i b u t e I D > < / A t t r i b u t e > < / A t t r i b u t e s > < / D i m e n s i o n > < D i m e n s i o n > < I D > S h e e t 1   2 _ 4 a 3 e 7 d 1 9 - 0 2 c 4 - 4 2 0 c - b 4 4 7 - 6 c 9 3 2 c 0 7 e b e 9 < / I D > < N a m e > R e g i s t r a t i o n < / N a m e > < D i m e n s i o n I D > S h e e t 1   2 _ 4 a 3 e 7 d 1 9 - 0 2 c 4 - 4 2 0 c - b 4 4 7 - 6 c 9 3 2 c 0 7 e b e 9 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 D a t e < / A t t r i b u t e I D > < / A t t r i b u t e > < A t t r i b u t e > < A t t r i b u t e I D > R e g i s t r a t i o n   C i t y < / A t t r i b u t e I D > < / A t t r i b u t e > < A t t r i b u t e > < A t t r i b u t e I D > R e g #   C h a n n e l < / A t t r i b u t e I D > < / A t t r i b u t e > < A t t r i b u t e > < A t t r i b u t e I D > U n i q u e   C u s t o m e r < / A t t r i b u t e I D > < / A t t r i b u t e > < A t t r i b u t e > < A t t r i b u t e I D > Y e a r M o n t h < / A t t r i b u t e I D > < / A t t r i b u t e > < A t t r i b u t e > < A t t r i b u t e I D > W e e k S t a r t < / A t t r i b u t e I D > < / A t t r i b u t e > < A t t r i b u t e > < A t t r i b u t e I D > C o u n t r y < / A t t r i b u t e I D > < / A t t r i b u t e > < / A t t r i b u t e s > < / D i m e n s i o n > < / D i m e n s i o n s > < M e a s u r e G r o u p s > < M e a s u r e G r o u p > < I D > S h e e t 2 _ 5 6 3 c c 8 b d - d 9 6 6 - 4 e f e - b e 7 f - 5 c a 8 c f 2 0 0 f 1 1 < / I D > < N a m e > D a t e k e y < / N a m e > < M e a s u r e s > < M e a s u r e > < I D > S h e e t 2 _ 5 6 3 c c 8 b d - d 9 6 6 - 4 e f e - b e 7 f - 5 c a 8 c f 2 0 0 f 1 1 < / I D > < N a m e > _ C o u n t   D a t e k e y 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 S h e e t 2 _ 5 6 3 c c 8 b d - d 9 6 6 - 4 e f e - b e 7 f - 5 c a 8 c f 2 0 0 f 1 1 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 S h e e t 2 _ 5 6 3 c c 8 b d - d 9 6 6 - 4 e f e - b e 7 f - 5 c a 8 c f 2 0 0 f 1 1 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 S h e e t 2 < / T a b l e I D > < C o l u m n I D > R o w N u m b e r < / C o l u m n I D > < / S o u r c e > < / K e y C o l u m n > < / K e y C o l u m n s > < T y p e > G r a n u l a r i t y < / T y p e > < / A t t r i b u t e > < A t t r i b u t e > < A t t r i b u t e I D > D a t e K e y 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 D a t e K e y < / C o l u m n I D > < / S o u r c e > < / K e y C o l u m n > < / K e y C o l u m n s > < / A t t r i b u t e > < A t t r i b u t e > < A t t r i b u t e I D > W e e k S t a r t 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 W e e k S t a r t < / C o l u m n I D > < / S o u r c e > < / K e y C o l u m n > < / K e y C o l u m n s > < / A t t r i b u t e > < A t t r i b u t e > < A t t r i b u t e I D > Y e a r M o n t h 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 Y e a r M o n t h 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 S h e e t 2 _ 5 6 3 c c 8 b d - d 9 6 6 - 4 e f e - b e 7 f - 5 c a 8 c f 2 0 0 f 1 1 < / I D > < N a m e > S h e e t 2 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 2 7 0 2 b 3 9 c - 0 6 4 a - 4 6 c 5 - b 9 e f - 0 1 f b 4 1 3 c 5 a 1 1 < / D a t a S o u r c e I D > < Q u e r y D e f i n i t i o n > S E L E C T   [ S h e e t 2 $ ] . *       F R O M   [ S h e e t 2 $ ] 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 C a m p a i g n   p e r f o r m a n c e   r e p o r t   1 _ e c 2 4 6 8 4 5 - 9 b 5 8 - 4 4 7 3 - b 6 c 8 - 9 8 3 d 5 0 2 e 1 c 8 e < / I D > < N a m e > C h a n n e l s < / N a m e > < M e a s u r e s > < M e a s u r e > < I D > C a m p a i g n   p e r f o r m a n c e   r e p o r t   1 _ e c 2 4 6 8 4 5 - 9 b 5 8 - 4 4 7 3 - b 6 c 8 - 9 8 3 d 5 0 2 e 1 c 8 e < / I D > < N a m e > _ C o u n t   C h a n n e l s 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 C a m p a i g n _ x 0 0 2 0 _ p e r f o r m a n c e _ x 0 0 2 0 _ r e p o r t _ x 0 0 2 0 _ 1 _ e c 2 4 6 8 4 5 - 9 b 5 8 - 4 4 7 3 - b 6 c 8 - 9 8 3 d 5 0 2 e 1 c 8 e 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 C a m p a i g n   p e r f o r m a n c e   r e p o r t   1 _ e c 2 4 6 8 4 5 - 9 b 5 8 - 4 4 7 3 - b 6 c 8 - 9 8 3 d 5 0 2 e 1 c 8 e 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 C a m p a i g n _ x 0 0 2 0 _ p e r f o r m a n c e _ x 0 0 2 0 _ r e p o r t _ x 0 0 2 0 _ 1 < / T a b l e I D > < C o l u m n I D > R o w N u m b e r < / C o l u m n I D > < / S o u r c e > < / K e y C o l u m n > < / K e y C o l u m n s > < T y p e > G r a n u l a r i t y < / T y p e > < / A t t r i b u t e > < A t t r i b u t e > < A t t r i b u t e I D > A c c o u n t 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 A c c o u n t < / C o l u m n I D > < / S o u r c e > < / K e y C o l u m n > < / K e y C o l u m n s > < / A t t r i b u t e > < A t t r i b u t e > < A t t r i b u t e I D > D a y 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 D a y < / C o l u m n I D > < / S o u r c e > < / K e y C o l u m n > < / K e y C o l u m n s > < / A t t r i b u t e > < A t t r i b u t e > < A t t r i b u t e I D > C a m p a i g n 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 C a m p a i g n < / C o l u m n I D > < / S o u r c e > < / K e y C o l u m n > < / K e y C o l u m n s > < / A t t r i b u t e > < A t t r i b u t e > < A t t r i b u t e I D > C l i c k s 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 C l i c k s < / C o l u m n I D > < / S o u r c e > < / K e y C o l u m n > < / K e y C o l u m n s > < / A t t r i b u t e > < A t t r i b u t e > < A t t r i b u t e I D > I m p r e s s i o n s 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 I m p r e s s i o n s < / C o l u m n I D > < / S o u r c e > < / K e y C o l u m n > < / K e y C o l u m n s > < / A t t r i b u t e > < A t t r i b u t e > < A t t r i b u t e I D > C T R 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 C T R < / C o l u m n I D > < / S o u r c e > < / K e y C o l u m n > < / K e y C o l u m n s > < / A t t r i b u t e > < A t t r i b u t e > < A t t r i b u t e I D > A v g #   C P C 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 A v g _ x 0 0 2 3 _ _ x 0 0 2 0 _ C P C < / C o l u m n I D > < / S o u r c e > < / K e y C o l u m n > < / K e y C o l u m n s > < / A t t r i b u t e > < A t t r i b u t e > < A t t r i b u t e I D > A v g #   C P M 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 A v g _ x 0 0 2 3 _ _ x 0 0 2 0 _ C P M < / C o l u m n I D > < / S o u r c e > < / K e y C o l u m n > < / K e y C o l u m n s > < / A t t r i b u t e > < A t t r i b u t e > < A t t r i b u t e I D > C o s t 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 C o s t < / C o l u m n I D > < / S o u r c e > < / K e y C o l u m n > < / K e y C o l u m n s > < / A t t r i b u t e > < A t t r i b u t e > < A t t r i b u t e I D > A v g #   p o s i t i o n 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 A v g _ x 0 0 2 3 _ _ x 0 0 2 0 _ p o s i t i o n < / C o l u m n I D > < / S o u r c e > < / K e y C o l u m n > < / K e y C o l u m n s > < / A t t r i b u t e > < A t t r i b u t e > < A t t r i b u t e I D > C o n v #   m a n y - p e r - c l i c k 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 C o n v _ x 0 0 2 3 _ _ x 0 0 2 0 _ _ x 0 0 2 8 _ m a n y - p e r - c l i c k _ x 0 0 2 9 _ < / C o l u m n I D > < / S o u r c e > < / K e y C o l u m n > < / K e y C o l u m n s > < / A t t r i b u t e > < A t t r i b u t e > < A t t r i b u t e I D > C o n v #   r a t e   m a n y - p e r - c l i c k 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 C o n v _ x 0 0 2 3 _ _ x 0 0 2 0 _ r a t e _ x 0 0 2 0 _ _ x 0 0 2 8 _ m a n y - p e r - c l i c k _ x 0 0 2 9 _ < / C o l u m n I D > < / S o u r c e > < / K e y C o l u m n > < / K e y C o l u m n s > < / A t t r i b u t e > < A t t r i b u t e > < A t t r i b u t e I D > V i e w - t h r o u g h   c o n v # 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< / C o l u m n I D > < / S o u r c e > < / K e y C o l u m n > < / K e y C o l u m n s > < / A t t r i b u t e > < A t t r i b u t e > < A t t r i b u t e I D > V i e w - t h r o u g h   c o n v #   r a t e 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 V i e w - t h r o u g h _ x 0 0 2 0 _ c o n v _ x 0 0 2 3 _ _ x 0 0 2 0 _ r a t e < / C o l u m n I D > < / S o u r c e > < / K e y C o l u m n > < / K e y C o l u m n s > < / A t t r i b u t e > < A t t r i b u t e > < A t t r i b u t e I D > C h a n n e l 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 C o u n t r y 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 L a n g u a g e 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 O r d e r 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 R e g i s t r a t i o n 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 S h e e t 2 _ 5 6 3 c c 8 b d - d 9 6 6 - 4 e f e - b e 7 f - 5 c a 8 c f 2 0 0 f 1 1 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 D a t e K e y < / A t t r i b u t e I D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 D a t e K e y < / C o l u m n I D > < / S o u r c e > < / K e y C o l u m n > < / K e y C o l u m n s > < T y p e > G r a n u l a r i t y < / T y p e > < / A t t r i b u t e > < A t t r i b u t e > < A t t r i b u t e I D > W e e k S t a r t 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 W e e k S t a r t < / C o l u m n I D > < / S o u r c e > < / K e y C o l u m n > < / K e y C o l u m n s > < / A t t r i b u t e > < A t t r i b u t e > < A t t r i b u t e I D > Y e a r M o n t h 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 Y e a r M o n t h < / C o l u m n I D > < / S o u r c e > < / K e y C o l u m n > < / K e y C o l u m n s > < / A t t r i b u t e > < / A t t r i b u t e s > < I n t e r m e d i a t e C u b e D i m e n s i o n I D > C a m p a i g n   p e r f o r m a n c e   r e p o r t   1 _ e c 2 4 6 8 4 5 - 9 b 5 8 - 4 4 7 3 - b 6 c 8 - 9 8 3 d 5 0 2 e 1 c 8 e < / I n t e r m e d i a t e C u b e D i m e n s i o n I D > < I n t e r m e d i a t e G r a n u l a r i t y A t t r i b u t e I D > D a y < / I n t e r m e d i a t e G r a n u l a r i t y A t t r i b u t e I D > < M a t e r i a l i z a t i o n > R e g u l a r < / M a t e r i a l i z a t i o n > < d d l 3 0 0 : R e l a t i o n s h i p I D > 2 5 5 1 0 3 f 9 - 5 a 9 6 - 4 5 a f - b 3 6 d - 3 0 3 6 7 4 3 a c 8 1 b < / d d l 3 0 0 : R e l a t i o n s h i p I D > < / D i m e n s i o n > < / D i m e n s i o n s > < P a r t i t i o n s > < P a r t i t i o n > < I D > C a m p a i g n   p e r f o r m a n c e   r e p o r t   1 _ e c 2 4 6 8 4 5 - 9 b 5 8 - 4 4 7 3 - b 6 c 8 - 9 8 3 d 5 0 2 e 1 c 8 e < / I D > < N a m e > C a m p a i g n   p e r f o r m a n c e   r e p o r t  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 0 f 5 7 1 5 3 f - 3 f 0 e - 4 0 b 9 - 8 d e 8 - d 8 a 1 c 1 a d 9 9 9 0 < / D a t a S o u r c e I D > < Q u e r y D e f i n i t i o n > S E L E C T   [ ' C a m p a i g n   p e r f o r m a n c e   r e p o r t   ( 1 ) $ ' ] . *       F R O M   [ ' C a m p a i g n   p e r f o r m a n c e   r e p o r t   ( 1 ) $ ' ] 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 S h e e t 1 _ a a e 8 3 c a f - 4 d 0 d - 4 5 7 7 - 9 c f d - 8 7 8 1 3 e 2 f 7 d 7 0 < / I D > < N a m e > O m n i t u r e < / N a m e > < M e a s u r e s > < M e a s u r e > < I D > S h e e t 1 _ a a e 8 3 c a f - 4 d 0 d - 4 5 7 7 - 9 c f d - 8 7 8 1 3 e 2 f 7 d 7 0 < / I D > < N a m e > _ C o u n t   O m n i t u r e 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 S h e e t 1 _ a a e 8 3 c a f - 4 d 0 d - 4 5 7 7 - 9 c f d - 8 7 8 1 3 e 2 f 7 d 7 0 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 S h e e t 1 _ a a e 8 3 c a f - 4 d 0 d - 4 5 7 7 - 9 c f d - 8 7 8 1 3 e 2 f 7 d 7 0 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 S h e e t 1 < / T a b l e I D > < C o l u m n I D > R o w N u m b e r < / C o l u m n I D > < / S o u r c e > < / K e y C o l u m n > < / K e y C o l u m n s > < T y p e > G r a n u l a r i t y < / T y p e > < / A t t r i b u t e > < A t t r i b u t e > < A t t r i b u t e I D >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 D a t e < / C o l u m n I D > < / S o u r c e > < / K e y C o l u m n > < / K e y C o l u m n s > < / A t t r i b u t e > < A t t r i b u t e > < A t t r i b u t e I D > C a m p a i g n N a m e 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 C a m p a i g n N a m e < / C o l u m n I D > < / S o u r c e > < / K e y C o l u m n > < / K e y C o l u m n s > < / A t t r i b u t e > < A t t r i b u t e > < A t t r i b u t e I D > V i s i t s 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 V i s i t s < / C o l u m n I D > < / S o u r c e > < / K e y C o l u m n > < / K e y C o l u m n s > < / A t t r i b u t e > < A t t r i b u t e > < A t t r i b u t e I D > U n i q u e   V i s i t o r s 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 U n i q u e _ x 0 0 2 0 _ V i s i t o r s < / C o l u m n I D > < / S o u r c e > < / K e y C o l u m n > < / K e y C o l u m n s > < / A t t r i b u t e > < A t t r i b u t e > < A t t r i b u t e I D > R e g i s t r a t i o n 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 R e g i s t r a t i o n < / C o l u m n I D > < / S o u r c e > < / K e y C o l u m n > < / K e y C o l u m n s > < / A t t r i b u t e > < A t t r i b u t e > < A t t r i b u t e I D > O r d e r s 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 O r d e r s < / C o l u m n I D > < / S o u r c e > < / K e y C o l u m n > < / K e y C o l u m n s > < / A t t r i b u t e > < A t t r i b u t e > < A t t r i b u t e I D > R e v e n u e 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 R e v e n u e < / C o l u m n I D > < / S o u r c e > < / K e y C o l u m n > < / K e y C o l u m n s > < / A t t r i b u t e > < A t t r i b u t e > < A t t r i b u t e I D > C h a n n e l 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 C o u n t r y 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 R e v e n u e - U S D 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 S h e e t 2 _ 5 6 3 c c 8 b d - d 9 6 6 - 4 e f e - b e 7 f - 5 c a 8 c f 2 0 0 f 1 1 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 D a t e K e y < / A t t r i b u t e I D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 D a t e K e y < / C o l u m n I D > < / S o u r c e > < / K e y C o l u m n > < / K e y C o l u m n s > < T y p e > G r a n u l a r i t y < / T y p e > < / A t t r i b u t e > < A t t r i b u t e > < A t t r i b u t e I D > W e e k S t a r t 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 W e e k S t a r t < / C o l u m n I D > < / S o u r c e > < / K e y C o l u m n > < / K e y C o l u m n s > < / A t t r i b u t e > < A t t r i b u t e > < A t t r i b u t e I D > Y e a r M o n t h 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 Y e a r M o n t h < / C o l u m n I D > < / S o u r c e > < / K e y C o l u m n > < / K e y C o l u m n s > < / A t t r i b u t e > < / A t t r i b u t e s > < I n t e r m e d i a t e C u b e D i m e n s i o n I D > S h e e t 1 _ a a e 8 3 c a f - 4 d 0 d - 4 5 7 7 - 9 c f d - 8 7 8 1 3 e 2 f 7 d 7 0 < / I n t e r m e d i a t e C u b e D i m e n s i o n I D > < I n t e r m e d i a t e G r a n u l a r i t y A t t r i b u t e I D > D a t e < / I n t e r m e d i a t e G r a n u l a r i t y A t t r i b u t e I D > < M a t e r i a l i z a t i o n > R e g u l a r < / M a t e r i a l i z a t i o n > < d d l 3 0 0 : R e l a t i o n s h i p I D > 9 9 1 2 6 d 7 a - b 0 9 c - 4 6 6 b - 8 9 b c - c b 1 f 7 c d b e 3 0 9 < / d d l 3 0 0 : R e l a t i o n s h i p I D > < / D i m e n s i o n > < / D i m e n s i o n s > < P a r t i t i o n s > < P a r t i t i o n > < I D > S h e e t 1 _ a a e 8 3 c a f - 4 d 0 d - 4 5 7 7 - 9 c f d - 8 7 8 1 3 e 2 f 7 d 7 0 < / I D > < N a m e > S h e e t 1 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 5 c f f d b 2 5 - c 3 6 1 - 4 c f c - 8 e a 9 - 2 d 9 c 5 b f d d 8 d 7 < / D a t a S o u r c e I D > < Q u e r y D e f i n i t i o n > S E L E C T   [ S h e e t 1 $ ] . *       F R O M   [ S h e e t 1 $ ] 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 S h e e t 1   1 _ 3 d 7 d 2 1 a 0 - 0 3 a 2 - 4 c a 1 - a 2 7 0 - f 1 0 f b 7 5 8 f b 4 9 < / I D > < N a m e > O r d e r < / N a m e > < M e a s u r e s > < M e a s u r e > < I D > S h e e t 1   1 _ 3 d 7 d 2 1 a 0 - 0 3 a 2 - 4 c a 1 - a 2 7 0 - f 1 0 f b 7 5 8 f b 4 9 < / I D > < N a m e > _ C o u n t   O r d e r 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 S h e e t 1 _ x 0 0 2 0 _ 1 _ 3 d 7 d 2 1 a 0 - 0 3 a 2 - 4 c a 1 - a 2 7 0 - f 1 0 f b 7 5 8 f b 4 9 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 S h e e t 1   1 _ 3 d 7 d 2 1 a 0 - 0 3 a 2 - 4 c a 1 - a 2 7 0 - f 1 0 f b 7 5 8 f b 4 9 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 S h e e t 1 _ x 0 0 2 0 _ 1 < / T a b l e I D > < C o l u m n I D > R o w N u m b e r < / C o l u m n I D > < / S o u r c e > < / K e y C o l u m n > < / K e y C o l u m n s > < T y p e > G r a n u l a r i t y < / T y p e > < / A t t r i b u t e > < A t t r i b u t e > < A t t r i b u t e I D > D a t e 1 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 D a t e 1 < / C o l u m n I D > < / S o u r c e > < / K e y C o l u m n > < / K e y C o l u m n s > < / A t t r i b u t e > < A t t r i b u t e > < A t t r i b u t e I D >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 C i t y < / C o l u m n I D > < / S o u r c e > < / K e y C o l u m n > < / K e y C o l u m n s > < / A t t r i b u t e > < A t t r i b u t e > < A t t r i b u t e I D > O r d e r   C h a n n e l 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 O r d e r _ x 0 0 2 0 _ C h a n n e l < / C o l u m n I D > < / S o u r c e > < / K e y C o l u m n > < / K e y C o l u m n s > < / A t t r i b u t e > < A t t r i b u t e > < A t t r i b u t e I D > O r d e r   C o u n t 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 O r d e r _ x 0 0 2 0 _ C o u n t < / C o l u m n I D > < / S o u r c e > < / K e y C o l u m n > < / K e y C o l u m n s > < / A t t r i b u t e > < A t t r i b u t e > < A t t r i b u t e I D > Y e a r M o n t h 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 W e e k S t a r t 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 C o u n t r y 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 S h e e t 1   1 _ 3 d 7 d 2 1 a 0 - 0 3 a 2 - 4 c a 1 - a 2 7 0 - f 1 0 f b 7 5 8 f b 4 9 < / I D > < N a m e > S h e e t 1   1 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 & l t ; i n t & g t ; 8 8 & l t ; / i n t & g t ; 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 & l t ; i n t & g t ; 1 6 1 & l t ; / i n t & g t ; 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 & l t ; i n t & g t ; 7 3 & l t ; / i n t & g t ; 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 & l t ; i n t & g t ; 9 5 & l t ; / i n t & g t ; 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 & l t ; i n t & g t ; 8 3 & l t ; / i n t & g t ; 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 & l t ; i n t & g t ; 1 3 5 & l t ; / i n t & g t ; 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 & l t ; s t r i n g & g t ; D a t e & l t ; / s t r i n g & g t ; 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 T a b l e W i d g e t S o u r c e T a b l e < / N a m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Q u e r y B i n d i n g " > < D a t a S o u r c e I D > 2 4 1 6 2 2 1 3 - 1 e d 5 - 4 4 6 7 - a a 0 c - c a 4 7 f 7 3 9 b 5 8 1 < / D a t a S o u r c e I D > < Q u e r y D e f i n i t i o n > S E L E C T   [ S h e e t 1 $ ] . [ D a t e 1 ] , [ S h e e t 1 $ ] . [ C i t y ] , [ S h e e t 1 $ ] . [ O r d e r   C h a n n e l ] , [ S h e e t 1 $ ] . [ O r d e r   C o u n t ]       F R O M   [ S h e e t 1 $ ] 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 S h e e t 1   2 _ 4 a 3 e 7 d 1 9 - 0 2 c 4 - 4 2 0 c - b 4 4 7 - 6 c 9 3 2 c 0 7 e b e 9 < / I D > < N a m e > R e g i s t r a t i o n < / N a m e > < M e a s u r e s > < M e a s u r e > < I D > S h e e t 1   2 _ 4 a 3 e 7 d 1 9 - 0 2 c 4 - 4 2 0 c - b 4 4 7 - 6 c 9 3 2 c 0 7 e b e 9 < / I D > < N a m e > _ C o u n t   R e g i s t r a t i o n 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 S h e e t 1 _ x 0 0 2 0 _ 2 _ 4 a 3 e 7 d 1 9 - 0 2 c 4 - 4 2 0 c - b 4 4 7 - 6 c 9 3 2 c 0 7 e b e 9 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 S h e e t 1   2 _ 4 a 3 e 7 d 1 9 - 0 2 c 4 - 4 2 0 c - b 4 4 7 - 6 c 9 3 2 c 0 7 e b e 9 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 S h e e t 1 _ x 0 0 2 0 _ 2 < / T a b l e I D > < C o l u m n I D > R o w N u m b e r < / C o l u m n I D > < / S o u r c e > < / K e y C o l u m n > < / K e y C o l u m n s > < T y p e > G r a n u l a r i t y < / T y p e > < / A t t r i b u t e > < A t t r i b u t e > < A t t r i b u t e I D > D a t e < / A t t r i b u t e I D > < K e y C o l u m n s > < K e y C o l u m n > < D a t a T y p e > D a t e 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 D a t e < / C o l u m n I D > < / S o u r c e > < / K e y C o l u m n > < / K e y C o l u m n s > < / A t t r i b u t e > < A t t r i b u t e > < A t t r i b u t e I D > R e g i s t r a t i o n  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 R e g i s t r a t i o n _ x 0 0 2 0 _ C i t y < / C o l u m n I D > < / S o u r c e > < / K e y C o l u m n > < / K e y C o l u m n s > < / A t t r i b u t e > < A t t r i b u t e > < A t t r i b u t e I D > R e g #   C h a n n e l 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 R e g _ x 0 0 2 3 _ _ x 0 0 2 0 _ C h a n n e l < / C o l u m n I D > < / S o u r c e > < / K e y C o l u m n > < / K e y C o l u m n s > < / A t t r i b u t e > < A t t r i b u t e > < A t t r i b u t e I D > U n i q u e   C u s t o m e r 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 U n i q u e _ x 0 0 2 0 _ C u s t o m e r < / C o l u m n I D > < / S o u r c e > < / K e y C o l u m n > < / K e y C o l u m n s > < / A t t r i b u t e > < A t t r i b u t e > < A t t r i b u t e I D > Y e a r M o n t h 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 W e e k S t a r t 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 C o u n t r y 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 S h e e t 1   2 _ 4 a 3 e 7 d 1 9 - 0 2 c 4 - 4 2 0 c - b 4 4 7 - 6 c 9 3 2 c 0 7 e b e 9 < / I D > < N a m e > S h e e t 1   2 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 & l t ; i n t & g t ; 8 8 & l t ; / i n t & g t ; 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 & l t ; i n t & g t ; 1 6 0 & l t ; / i n t & g t ; 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 & l t ; i n t & g t ; 7 3 & l t ; / i n t & g t ; 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 & l t ; i n t & g t ; 9 5 & l t ; / i n t & g t ; 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 & l t ; i n t & g t ; 8 3 & l t ; / i n t & g t ; 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 & l t ; i n t & g t ; 1 3 5 & l t ; / i n t & g t ; 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 & l t ; s t r i n g & g t ; F 5 & l t ; / s t r i n g & g t ; 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 T a b l e W i d g e t S o u r c e T a b l e < / N a m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Q u e r y B i n d i n g " > < D a t a S o u r c e I D > d 6 0 1 4 0 7 f - 9 8 d d - 4 a 0 1 - 8 0 a 0 - 4 e 8 e 1 a 8 9 6 7 0 e < / D a t a S o u r c e I D > < Q u e r y D e f i n i t i o n > S E L E C T   [ S h e e t 1 $ ] . [ D a t e ] , [ S h e e t 1 $ ] . [ R e g i s t r a t i o n   C i t y ] , [ S h e e t 1 $ ] . [ R e g #   C h a n n e l ] , [ S h e e t 1 $ ] . [ U n i q u e   C u s t o m e r ]       F R O M   [ S h e e t 1 $ ] 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 ' O m n i t u r e ' [ S u m   o f   O r d e r s ] = S U M ( ' O m n i t u r e ' [ O r d e r s ] ) ;  
 C R E A T E   M E A S U R E   ' O m n i t u r e ' [ S u m   o f   R e g i s t r a t i o n ] = S U M ( ' O m n i t u r e ' [ R e g i s t r a t i o n ] ) ;  
 C R E A T E   M E A S U R E   ' O m n i t u r e ' [ S u m   o f   V i s i t s ] = S U M ( ' O m n i t u r e ' [ V i s i t s ] ) ;  
 C R E A T E   M E A S U R E   ' O m n i t u r e ' [ S u m   o f   R e v e n u e - U S D ] = S U M ( ' O m n i t u r e ' [ R e v e n u e - U S D ] ) ;  
 C R E A T E   M E A S U R E   ' C h a n n e l s ' [ S u m   o f   C o s t ] = S U M ( ' C h a n n e l s ' [ C o s t ] ) ;  
 C R E A T E   M E A S U R E   ' C h a n n e l s ' [ S u m   o f   I m p r e s s i o n s ] = S U M ( ' C h a n n e l s ' [ I m p r e s s i o n s ] ) ;  
 C R E A T E   M E A S U R E   ' C h a n n e l s ' [ S u m   o f   C l i c k s ] = S U M ( ' C h a n n e l s ' [ C l i c k s ] ) ;  
 C R E A T E   M E A S U R E   ' C h a n n e l s ' [ S u m   o f   R e g i s t r a t i o n   2 ] = S U M ( ' C h a n n e l s ' [ R e g i s t r a t i o n ] ) ;  
 C R E A T E   M E A S U R E   ' C h a n n e l s ' [ S u m   o f   O r d e r ] = S U M ( ' C h a n n e l s ' [ O r d e r ] ) ;  
 C R E A T E   M E A S U R E   ' C h a n n e l s ' [ S u m   o f   V i e w - t h r o u g h   c o n v # ] = S U M ( ' C h a n n e l s ' [ V i e w - t h r o u g h   c o n v # ] ) ;  
 C R E A T E   M E A S U R E   ' O r d e r ' [ S u m   o f   O r d e r   C o u n t ] = S U M ( ' O r d e r ' [ O r d e r   C o u n t ] ) ;  
 C R E A T E   M E A S U R E   ' R e g i s t r a t i o n ' [ S u m   o f   U n i q u e   C u s t o m e r ] = S U M ( ' R e g i s t r a t i o n ' [ U n i q u e   C u s t o m e r ] ) ;  
 C R E A T E   M E A S U R E   ' O m n i t u r e ' [ S u m   o f   R e v e n u e ] = S U M ( ' O m n i t u r e ' [ R e v e n u e ] ) ; 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 O r d e r s < / V a l u e > < / A n n o t a t i o n > < A n n o t a t i o n > < N a m e > A g g r e g a t i o n < / N a m e > < V a l u e > S u m < / V a l u e > < / A n n o t a t i o n > < / A n n o t a t i o n s > < C a l c u l a t i o n R e f e r e n c e > [ S u m   o f   O r d e r s ] 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 R e g i s t r a t i o n < / V a l u e > < / A n n o t a t i o n > < A n n o t a t i o n > < N a m e > A g g r e g a t i o n < / N a m e > < V a l u e > S u m < / V a l u e > < / A n n o t a t i o n > < / A n n o t a t i o n s > < C a l c u l a t i o n R e f e r e n c e > [ S u m   o f   R e g i s t r a t i o n ] 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 V i s i t s < / V a l u e > < / A n n o t a t i o n > < A n n o t a t i o n > < N a m e > A g g r e g a t i o n < / N a m e > < V a l u e > S u m < / V a l u e > < / A n n o t a t i o n > < / A n n o t a t i o n s > < C a l c u l a t i o n R e f e r e n c e > [ S u m   o f   V i s i t s ] 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C u r r e n c y "   A c c u r a c y = " 2 "   T h o u s a n d S e p a r a t o r = " T r u e "   x m l n s = " " > < C u r r e n c y   L C I D = " 1 0 5 5 "   D i s p l a y N a m e = " �   T u r k i s h   ( T u r k e y ) "   S y m b o l = " � "   P o s i t i v e P a t t e r n = " 3 "   N e g a t i v e P a t t e r n = " 8 "   / > < / F o r m a t > < / V a l u e > < / A n n o t a t i o n > < A n n o t a t i o n > < N a m e > R e f C o u n t < / N a m e > < V a l u e > 1 < / V a l u e > < / A n n o t a t i o n > < A n n o t a t i o n > < N a m e > C o l u m n < / N a m e > < V a l u e > R e v e n u e - U S D < / V a l u e > < / A n n o t a t i o n > < A n n o t a t i o n > < N a m e > A g g r e g a t i o n < / N a m e > < V a l u e > S u m < / V a l u e > < / A n n o t a t i o n > < / A n n o t a t i o n s > < C a l c u l a t i o n R e f e r e n c e > [ S u m   o f   R e v e n u e - U S D ] < / C a l c u l a t i o n R e f e r e n c e > < C a l c u l a t i o n T y p e > M e m b e r < / C a l c u l a t i o n T y p e > < F o r m a t S t r i n g > ' # , 0 . 0 0   " � " ; - # , 0 . 0 0   " � " ; # , 0 . 0 0   " � " ' 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 3 < / V a l u e > < / A n n o t a t i o n > < A n n o t a t i o n > < N a m e > C o l u m n < / N a m e > < V a l u e > C o s t < / V a l u e > < / A n n o t a t i o n > < A n n o t a t i o n > < N a m e > A g g r e g a t i o n < / N a m e > < V a l u e > S u m < / V a l u e > < / A n n o t a t i o n > < / A n n o t a t i o n s > < C a l c u l a t i o n R e f e r e n c e > [ S u m   o f   C o s t ] 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 I m p r e s s i o n s < / V a l u e > < / A n n o t a t i o n > < A n n o t a t i o n > < N a m e > A g g r e g a t i o n < / N a m e > < V a l u e > S u m < / V a l u e > < / A n n o t a t i o n > < / A n n o t a t i o n s > < C a l c u l a t i o n R e f e r e n c e > [ S u m   o f   I m p r e s s i o n s ] 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 C l i c k s < / V a l u e > < / A n n o t a t i o n > < A n n o t a t i o n > < N a m e > A g g r e g a t i o n < / N a m e > < V a l u e > S u m < / V a l u e > < / A n n o t a t i o n > < / A n n o t a t i o n s > < C a l c u l a t i o n R e f e r e n c e > [ S u m   o f   C l i c k s ] 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 R e g i s t r a t i o n < / V a l u e > < / A n n o t a t i o n > < A n n o t a t i o n > < N a m e > A g g r e g a t i o n < / N a m e > < V a l u e > S u m < / V a l u e > < / A n n o t a t i o n > < / A n n o t a t i o n s > < C a l c u l a t i o n R e f e r e n c e > [ S u m   o f   R e g i s t r a t i o n  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 O r d e r < / V a l u e > < / A n n o t a t i o n > < A n n o t a t i o n > < N a m e > A g g r e g a t i o n < / N a m e > < V a l u e > S u m < / V a l u e > < / A n n o t a t i o n > < / A n n o t a t i o n s > < C a l c u l a t i o n R e f e r e n c e > [ S u m   o f   O r d e r ] 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 V i e w - t h r o u g h   c o n v # < / V a l u e > < / A n n o t a t i o n > < A n n o t a t i o n > < N a m e > A g g r e g a t i o n < / N a m e > < V a l u e > S u m < / V a l u e > < / A n n o t a t i o n > < / A n n o t a t i o n s > < C a l c u l a t i o n R e f e r e n c e > [ S u m   o f   V i e w - t h r o u g h   c o n v # ] 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 O r d e r   C o u n t < / V a l u e > < / A n n o t a t i o n > < A n n o t a t i o n > < N a m e > A g g r e g a t i o n < / N a m e > < V a l u e > S u m < / V a l u e > < / A n n o t a t i o n > < / A n n o t a t i o n s > < C a l c u l a t i o n R e f e r e n c e > [ S u m   o f   O r d e r   C o u n t ] 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 U n i q u e   C u s t o m e r < / V a l u e > < / A n n o t a t i o n > < A n n o t a t i o n > < N a m e > A g g r e g a t i o n < / N a m e > < V a l u e > S u m < / V a l u e > < / A n n o t a t i o n > < / A n n o t a t i o n s > < C a l c u l a t i o n R e f e r e n c e > [ S u m   o f   U n i q u e   C u s t o m e r ] 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C u r r e n c y "   A c c u r a c y = " 2 "   T h o u s a n d S e p a r a t o r = " T r u e "   x m l n s = " " > < C u r r e n c y   L C I D = " 1 0 5 5 "   D i s p l a y N a m e = " �   T u r k i s h   ( T u r k e y ) "   S y m b o l = " � "   P o s i t i v e P a t t e r n = " 3 "   N e g a t i v e P a t t e r n = " 8 "   / > < / F o r m a t > < / V a l u e > < / A n n o t a t i o n > < A n n o t a t i o n > < N a m e > R e f C o u n t < / N a m e > < V a l u e > 1 < / V a l u e > < / A n n o t a t i o n > < A n n o t a t i o n > < N a m e > C o l u m n < / N a m e > < V a l u e > R e v e n u e < / V a l u e > < / A n n o t a t i o n > < A n n o t a t i o n > < N a m e > A g g r e g a t i o n < / N a m e > < V a l u e > S u m < / V a l u e > < / A n n o t a t i o n > < / A n n o t a t i o n s > < C a l c u l a t i o n R e f e r e n c e > [ S u m   o f   R e v e n u e ] < / C a l c u l a t i o n R e f e r e n c e > < C a l c u l a t i o n T y p e > M e m b e r < / C a l c u l a t i o n T y p e > < F o r m a t S t r i n g > ' # , 0 . 0 0   " � " ; - # , 0 . 0 0   " � " ; # , 0 . 0 0   " � " ' 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 m e a s u r e s   d e f i n e d ] 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 2 7 0 2 b 3 9 c - 0 6 4 a - 4 6 c 5 - b 9 e f - 0 1 f b 4 1 3 c 5 a 1 1 < / I D > < N a m e > E x c e l   D a t e k e y 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 I n t e l l i g e n c e \ 2 _ M a r k e t i n g _ R e p o r t \ M a r k e t i n g _ R e p o r t _ M o n t h l y \ D a t a \ D a t e k e y . x l s x ; P e r s i s t 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 3 9 9 1 6 1 4 0 - c d e 9 - 4 a 4 f - 9 6 4 8 - 2 5 e e f b 0 2 1 b c f < / I D > < N a m e > E x c e l   G o o g l e 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 I n t e l l i g e n c e \ 2 _ M a r k e t i n g _ R e p o r t \ M a r k e t i n g _ R e p o r t _ M o n t h l y \ D a t a \ G o o g l e . x l s x ; P e r s i s t   S e c u r i t y   I n f o = f a l s e ; E x t e n d e d   P r o p e r t i e s = " E x c e l   1 2 . 0 ; H D R = N o " 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 0 f 5 7 1 5 3 f - 3 f 0 e - 4 0 b 9 - 8 d e 8 - d 8 a 1 c 1 a d 9 9 9 0 < / I D > < N a m e > E x c e l   G o o g l e   2 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 I n t e l l i g e n c e \ 2 _ M a r k e t i n g _ R e p o r t \ M a r k e t i n g _ R e p o r t _ M o n t h l y \ D a t a \ G o o g l e . x l s x ; P e r s i s t 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 5 c f f d b 2 5 - c 3 6 1 - 4 c f c - 8 e a 9 - 2 d 9 c 5 b f d d 8 d 7 < / I D > < N a m e > E x c e l   O m n i t u r e 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 I n t e l l i g e n c e \ 2 _ M a r k e t i n g _ R e p o r t \ M a r k e t i n g _ R e p o r t _ M o n t h l y \ D a t a \ O m n i t u r e . x l s x ; P e r s i s t 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 2 4 1 6 2 2 1 3 - 1 e d 5 - 4 4 6 7 - a a 0 c - c a 4 7 f 7 3 9 b 5 8 1 < / I D > < N a m e > E x c e l   R e g i s t r a t i o n _ O r d e r 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 I n t e l l i g e n c e \ 2 _ M a r k e t i n g _ R e p o r t \ M a r k e t i n g _ R e p o r t _ M o n t h l y \ D a t a \ R e g i s t r a t i o n _ O r d e r . x l s ; P e r s i s t 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 d 6 0 1 4 0 7 f - 9 8 d d - 4 a 0 1 - 8 0 a 0 - 4 e 8 e 1 a 8 9 6 7 0 e < / I D > < N a m e > E x c e l   R e g i s t r a t i o n _ O r d e r   2 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 I n t e l l i g e n c e \ 2 _ M a r k e t i n g _ R e p o r t \ M a r k e t i n g _ R e p o r t _ M o n t h l y \ D a t a \ R e g i s t r a t i o n _ O r d e r . x l s ; P e r s i s t 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 2 7 0 2 b 3 9 c - 0 6 4 a - 4 6 c 5 - b 9 e f - 0 1 f b 4 1 3 c 5 a 1 1 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t r - T R " > < x s : c o m p l e x T y p e > < x s : c h o i c e   m i n O c c u r s = " 0 "   m a x O c c u r s = " u n b o u n d e d " > < x s : e l e m e n t   n a m e = " S h e e t 2 _ 5 6 3 c c 8 b d - d 9 6 6 - 4 e f e - b e 7 f - 5 c a 8 c f 2 0 0 f 1 1 "   m s d a t a : L o c a l e = " "   m s p r o p : I s L o g i c a l = " T r u e "   m s p r o p : Q u e r y D e f i n i t i o n = "           S E L E C T   [ S h e e t 2 $ ] . *       F R O M   [ S h e e t 2 $ ]   "   m s p r o p : F r i e n d l y N a m e = " D a t e k e y "   m s p r o p : T a b l e T y p e = " V i e w "   m s p r o p : D b T a b l e N a m e = " S h e e t 2 $ "   m s p r o p : D e s c r i p t i o n = " S h e e t 2 " > < x s : c o m p l e x T y p e > < x s : s e q u e n c e > < x s : e l e m e n t   n a m e = " D a t e K e y "   m s p r o p : F r i e n d l y N a m e = " D a t e K e y "   m s p r o p : D b C o l u m n N a m e = " D a t e K e y "   t y p e = " x s : d a t e T i m e "   m i n O c c u r s = " 0 "   / > < x s : e l e m e n t   n a m e = " W e e k S t a r t "   m s p r o p : F r i e n d l y N a m e = " W e e k S t a r t "   m s p r o p : D b C o l u m n N a m e = " W e e k S t a r t "   t y p e = " x s : d a t e T i m e "   m i n O c c u r s = " 0 "   / > < x s : e l e m e n t   n a m e = " Y e a r M o n t h "   m s p r o p : F r i e n d l y N a m e = " Y e a r M o n t h "   m s p r o p : D b C o l u m n N a m e = " Y e a r M o n t h "   t y p e = " x s : d a t e T i m e "   m i n O c c u r s = " 0 "   / > < / x s : s e q u e n c e > < / x s : c o m p l e x T y p e > < / x s : e l e m e n t > < x s : e l e m e n t   n a m e = " C a m p a i g n _ x 0 0 2 0 _ p e r f o r m a n c e _ x 0 0 2 0 _ r e p o r t _ x 0 0 2 0 _ 1 _ e c 2 4 6 8 4 5 - 9 b 5 8 - 4 4 7 3 - b 6 c 8 - 9 8 3 d 5 0 2 e 1 c 8 e "   m s d a t a : L o c a l e = " "   m s p r o p : D a t a S o u r c e I D = " 0 f 5 7 1 5 3 f - 3 f 0 e - 4 0 b 9 - 8 d e 8 - d 8 a 1 c 1 a d 9 9 9 0 "   m s p r o p : I s L o g i c a l = " T r u e "   m s p r o p : Q u e r y D e f i n i t i o n = "           S E L E C T   [ ' C a m p a i g n   p e r f o r m a n c e   r e p o r t   ( 1 ) $ ' ] . *       F R O M   [ ' C a m p a i g n   p e r f o r m a n c e   r e p o r t   ( 1 ) $ ' ]   "   m s p r o p : F r i e n d l y N a m e = " C h a n n e l s "   m s p r o p : T a b l e T y p e = " V i e w "   m s p r o p : D b T a b l e N a m e = " ' C a m p a i g n   p e r f o r m a n c e   r e p o r t   ( 1 ) $ ' "   m s p r o p : D e s c r i p t i o n = " C a m p a i g n   p e r f o r m a n c e   r e p o r t   1 " > < x s : c o m p l e x T y p e > < x s : s e q u e n c e > < x s : e l e m e n t   n a m e = " A c c o u n t "   m s p r o p : F r i e n d l y N a m e = " A c c o u n t "   m s p r o p : D b C o l u m n N a m e = " A c c o u n t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a y "   m s p r o p : F r i e n d l y N a m e = " D a y "   m s p r o p : D b C o l u m n N a m e = " D a y "   t y p e = " x s : d a t e T i m e "   m i n O c c u r s = " 0 "   / > < x s : e l e m e n t   n a m e = " C a m p a i g n "   m s p r o p : F r i e n d l y N a m e = " C a m p a i g n "   m s p r o p : D b C o l u m n N a m e = " C a m p a i g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l i c k s "   m s p r o p : F r i e n d l y N a m e = " C l i c k s "   m s p r o p : D b C o l u m n N a m e = " C l i c k s "   t y p e = " x s : d o u b l e "   m i n O c c u r s = " 0 "   / > < x s : e l e m e n t   n a m e = " I m p r e s s i o n s "   m s p r o p : F r i e n d l y N a m e = " I m p r e s s i o n s "   m s p r o p : D b C o l u m n N a m e = " I m p r e s s i o n s "   t y p e = " x s : d o u b l e "   m i n O c c u r s = " 0 "   / > < x s : e l e m e n t   n a m e = " C T R "   m s p r o p : F r i e n d l y N a m e = " C T R "   m s p r o p : D b C o l u m n N a m e = " C T R "   t y p e = " x s : d o u b l e "   m i n O c c u r s = " 0 "   / > < x s : e l e m e n t   n a m e = " A v g _ x 0 0 2 3 _ _ x 0 0 2 0 _ C P C "   m s p r o p : F r i e n d l y N a m e = " A v g #   C P C "   m s p r o p : D b C o l u m n N a m e = " A v g #   C P C "   t y p e = " x s : d o u b l e "   m i n O c c u r s = " 0 "   / > < x s : e l e m e n t   n a m e = " A v g _ x 0 0 2 3 _ _ x 0 0 2 0 _ C P M "   m s p r o p : F r i e n d l y N a m e = " A v g #   C P M "   m s p r o p : D b C o l u m n N a m e = " A v g #   C P M "   t y p e = " x s : d o u b l e "   m i n O c c u r s = " 0 "   / > < x s : e l e m e n t   n a m e = " C o s t "   m s p r o p : F r i e n d l y N a m e = " C o s t "   m s p r o p : D b C o l u m n N a m e = " C o s t "   t y p e = " x s : d o u b l e "   m i n O c c u r s = " 0 "   / > < x s : e l e m e n t   n a m e = " A v g _ x 0 0 2 3 _ _ x 0 0 2 0 _ p o s i t i o n "   m s p r o p : F r i e n d l y N a m e = " A v g #   p o s i t i o n "   m s p r o p : D b C o l u m n N a m e = " A v g #   p o s i t i o n "   t y p e = " x s : d o u b l e "   m i n O c c u r s = " 0 "   / > < x s : e l e m e n t   n a m e = " C o n v _ x 0 0 2 3 _ _ x 0 0 2 0 _ _ x 0 0 2 8 _ m a n y - p e r - c l i c k _ x 0 0 2 9 _ "   m s p r o p : F r i e n d l y N a m e = " C o n v #   m a n y - p e r - c l i c k "   m s p r o p : D b C o l u m n N a m e = " C o n v #   ( m a n y - p e r - c l i c k ) "   t y p e = " x s : d o u b l e "   m i n O c c u r s = " 0 "   / > < x s : e l e m e n t   n a m e = " C o n v _ x 0 0 2 3 _ _ x 0 0 2 0 _ r a t e _ x 0 0 2 0 _ _ x 0 0 2 8 _ m a n y - p e r - c l i c k _ x 0 0 2 9 _ "   m s p r o p : F r i e n d l y N a m e = " C o n v #   r a t e   m a n y - p e r - c l i c k "   m s p r o p : D b C o l u m n N a m e = " C o n v #   r a t e   ( m a n y - p e r - c l i c k ) "   t y p e = " x s : d o u b l e "   m i n O c c u r s = " 0 "   / > < x s : e l e m e n t   n a m e = " V i e w - t h r o u g h _ x 0 0 2 0 _ c o n v _ x 0 0 2 3 _ "   m s p r o p : F r i e n d l y N a m e = " V i e w - t h r o u g h   c o n v # "   m s p r o p : D b C o l u m n N a m e = " V i e w - t h r o u g h   c o n v # "   t y p e = " x s : d o u b l e "   m i n O c c u r s = " 0 "   / > < x s : e l e m e n t   n a m e = " V i e w - t h r o u g h _ x 0 0 2 0 _ c o n v _ x 0 0 2 3 _ _ x 0 0 2 0 _ r a t e "   m s p r o p : F r i e n d l y N a m e = " V i e w - t h r o u g h   c o n v #   r a t e "   m s p r o p : D b C o l u m n N a m e = " V i e w - t h r o u g h   c o n v #   r a t e "   t y p e = " x s : d o u b l e "   m i n O c c u r s = " 0 "   / > < / x s : s e q u e n c e > < / x s : c o m p l e x T y p e > < / x s : e l e m e n t > < x s : e l e m e n t   n a m e = " S h e e t 1 _ a a e 8 3 c a f - 4 d 0 d - 4 5 7 7 - 9 c f d - 8 7 8 1 3 e 2 f 7 d 7 0 "   m s d a t a : L o c a l e = " "   m s p r o p : D a t a S o u r c e I D = " 5 c f f d b 2 5 - c 3 6 1 - 4 c f c - 8 e a 9 - 2 d 9 c 5 b f d d 8 d 7 "   m s p r o p : I s L o g i c a l = " T r u e "   m s p r o p : Q u e r y D e f i n i t i o n = "           S E L E C T   [ S h e e t 1 $ ] . *       F R O M   [ S h e e t 1 $ ]   "   m s p r o p : F r i e n d l y N a m e = " O m n i t u r e "   m s p r o p : T a b l e T y p e = " V i e w "   m s p r o p : D b T a b l e N a m e = " S h e e t 1 $ "   m s p r o p : D e s c r i p t i o n = " S h e e t 1 " > < x s : c o m p l e x T y p e > < x s : s e q u e n c e > < x s : e l e m e n t   n a m e = " D a t e "   m s p r o p : F r i e n d l y N a m e = " D a t e "   m s p r o p : D b C o l u m n N a m e = " D a t e "   t y p e = " x s : d a t e T i m e "   m i n O c c u r s = " 0 "   / > < x s : e l e m e n t   n a m e = " C a m p a i g n N a m e "   m s p r o p : F r i e n d l y N a m e = " C a m p a i g n N a m e "   m s p r o p : D b C o l u m n N a m e = " C a m p a i g n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i s i t s "   m s p r o p : F r i e n d l y N a m e = " V i s i t s "   m s p r o p : D b C o l u m n N a m e = " V i s i t s "   t y p e = " x s : d o u b l e "   m i n O c c u r s = " 0 "   / > < x s : e l e m e n t   n a m e = " x 2 "   m s p r o p : F r i e n d l y N a m e = " x 2 "   m s p r o p : D b C o l u m n N a m e = " x 2 "   t y p e = " x s : d o u b l e "   m i n O c c u r s = " 0 "   / > < x s : e l e m e n t   n a m e = " U n i q u e _ x 0 0 2 0 _ V i s i t o r s "   m s p r o p : F r i e n d l y N a m e = " U n i q u e   V i s i t o r s "   m s p r o p : D b C o l u m n N a m e = " U n i q u e   V i s i t o r s "   t y p e = " x s : d o u b l e "   m i n O c c u r s = " 0 "   / > < x s : e l e m e n t   n a m e = " x 3 "   m s p r o p : F r i e n d l y N a m e = " x 3 "   m s p r o p : D b C o l u m n N a m e = " x 3 "   t y p e = " x s : d o u b l e "   m i n O c c u r s = " 0 "   / > < x s : e l e m e n t   n a m e = " R e g i s t r a t i o n "   m s p r o p : F r i e n d l y N a m e = " R e g i s t r a t i o n "   m s p r o p : D b C o l u m n N a m e = " R e g i s t r a t i o n "   t y p e = " x s : d o u b l e "   m i n O c c u r s = " 0 "   / > < x s : e l e m e n t   n a m e = " x 4 "   m s p r o p : F r i e n d l y N a m e = " x 4 "   m s p r o p : D b C o l u m n N a m e = " x 4 "   t y p e = " x s : d o u b l e "   m i n O c c u r s = " 0 "   / > < x s : e l e m e n t   n a m e = " O r d e r s "   m s p r o p : F r i e n d l y N a m e = " O r d e r s "   m s p r o p : D b C o l u m n N a m e = " O r d e r s "   t y p e = " x s : d o u b l e "   m i n O c c u r s = " 0 "   / > < x s : e l e m e n t   n a m e = " x 5 "   m s p r o p : F r i e n d l y N a m e = " x 5 "   m s p r o p : D b C o l u m n N a m e = " x 5 "   t y p e = " x s : d o u b l e "   m i n O c c u r s = " 0 "   / > < x s : e l e m e n t   n a m e = " R e v e n u e "   m s p r o p : F r i e n d l y N a m e = " R e v e n u e "   m s p r o p : D b C o l u m n N a m e = " R e v e n u e "   t y p e = " x s : d e c i m a l "   m i n O c c u r s = " 0 "   / > < x s : e l e m e n t   n a m e = " x 6 "   m s p r o p : F r i e n d l y N a m e = " x 6 "   m s p r o p : D b C o l u m n N a m e = " x 6 "   t y p e = " x s : d o u b l e "   m i n O c c u r s = " 0 "   / > < / x s : s e q u e n c e > < / x s : c o m p l e x T y p e > < / x s : e l e m e n t > < x s : e l e m e n t   n a m e = " S h e e t 1 _ x 0 0 2 0 _ 1 _ 3 d 7 d 2 1 a 0 - 0 3 a 2 - 4 c a 1 - a 2 7 0 - f 1 0 f b 7 5 8 f b 4 9 "   m s d a t a : L o c a l e = " "   m s p r o p : D a t a S o u r c e I D = " 2 4 1 6 2 2 1 3 - 1 e d 5 - 4 4 6 7 - a a 0 c - c a 4 7 f 7 3 9 b 5 8 1 "   m s p r o p : I s L o g i c a l = " T r u e "   m s p r o p : Q u e r y D e f i n i t i o n = "           S E L E C T   [ S h e e t 1 $ ] . [ D a t e 1 ] , [ S h e e t 1 $ ] . [ C i t y ] , [ S h e e t 1 $ ] . [ O r d e r   C h a n n e l ] , [ S h e e t 1 $ ] . [ O r d e r   C o u n t ]       F R O M   [ S h e e t 1 $ ]   "   m s p r o p : F r i e n d l y N a m e = " O r d e r "   m s p r o p : T a b l e T y p e = " V i e w "   m s p r o p : D b T a b l e N a m e = " S h e e t 1 $ "   m s p r o p : D e s c r i p t i o n = " S h e e t 1   1 " > < x s : c o m p l e x T y p e > < x s : s e q u e n c e > < x s : e l e m e n t   n a m e = " D a t e 1 "   m s p r o p : F r i e n d l y N a m e = " D a t e 1 "   m s p r o p : D b C o l u m n N a m e = " D a t e 1 "   t y p e = " x s : d a t e T i m e "   m i n O c c u r s = " 0 "   / > < x s : e l e m e n t   n a m e = " C i t y "   m s p r o p : F r i e n d l y N a m e = " C i t y "   m s p r o p : D b C o l u m n N a m e = " C i t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O r d e r _ x 0 0 2 0 _ C h a n n e l "   m s p r o p : F r i e n d l y N a m e = " O r d e r   C h a n n e l "   m s p r o p : D b C o l u m n N a m e = " O r d e r   C h a n n e l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O r d e r _ x 0 0 2 0 _ C o u n t "   m s p r o p : F r i e n d l y N a m e = " O r d e r   C o u n t "   m s p r o p : D b C o l u m n N a m e = " O r d e r   C o u n t "   t y p e = " x s : d o u b l e "   m i n O c c u r s = " 0 "   / > < / x s : s e q u e n c e > < / x s : c o m p l e x T y p e > < / x s : e l e m e n t > < x s : e l e m e n t   n a m e = " S h e e t 1 _ x 0 0 2 0 _ 2 _ 4 a 3 e 7 d 1 9 - 0 2 c 4 - 4 2 0 c - b 4 4 7 - 6 c 9 3 2 c 0 7 e b e 9 "   m s d a t a : L o c a l e = " "   m s p r o p : D a t a S o u r c e I D = " d 6 0 1 4 0 7 f - 9 8 d d - 4 a 0 1 - 8 0 a 0 - 4 e 8 e 1 a 8 9 6 7 0 e "   m s p r o p : I s L o g i c a l = " T r u e "   m s p r o p : Q u e r y D e f i n i t i o n = "           S E L E C T   [ S h e e t 1 $ ] . [ D a t e ] , [ S h e e t 1 $ ] . [ R e g i s t r a t i o n   C i t y ] , [ S h e e t 1 $ ] . [ R e g #   C h a n n e l ] , [ S h e e t 1 $ ] . [ U n i q u e   C u s t o m e r ]       F R O M   [ S h e e t 1 $ ]   "   m s p r o p : F r i e n d l y N a m e = " R e g i s t r a t i o n "   m s p r o p : T a b l e T y p e = " V i e w "   m s p r o p : D b T a b l e N a m e = " S h e e t 1 $ "   m s p r o p : D e s c r i p t i o n = " S h e e t 1   2 " > < x s : c o m p l e x T y p e > < x s : s e q u e n c e > < x s : e l e m e n t   n a m e = " D a t e "   m s p r o p : F r i e n d l y N a m e = " D a t e "   m s p r o p : D b C o l u m n N a m e = " D a t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g i s t r a t i o n _ x 0 0 2 0 _ C i t y "   m s p r o p : F r i e n d l y N a m e = " R e g i s t r a t i o n   C i t y "   m s p r o p : D b C o l u m n N a m e = " R e g i s t r a t i o n   C i t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g _ x 0 0 2 3 _ _ x 0 0 2 0 _ C h a n n e l "   m s p r o p : F r i e n d l y N a m e = " R e g #   C h a n n e l "   m s p r o p : D b C o l u m n N a m e = " R e g #   C h a n n e l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U n i q u e _ x 0 0 2 0 _ C u s t o m e r "   m s p r o p : F r i e n d l y N a m e = " U n i q u e   C u s t o m e r "   m s p r o p : D b C o l u m n N a m e = " U n i q u e   C u s t o m e r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 S h e e t 1   2 _ 4 a 3 e 7 d 1 9 - 0 2 c 4 - 4 2 0 c - b 4 4 7 - 6 c 9 3 2 c 0 7 e b e 9 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h e e t 1   2 _ 4 a 3 e 7 d 1 9 - 0 2 c 4 - 4 2 0 c - b 4 4 7 - 6 c 9 3 2 c 0 7 e b e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7 0 & l t ; / i n t & g t ; & l t ; / v a l u e & g t ; & l t ; / i t e m & g t ; & l t ; i t e m & g t ; & l t ; k e y & g t ; & l t ; s t r i n g & g t ; R e g i s t r a t i o n   C i t y & l t ; / s t r i n g & g t ; & l t ; / k e y & g t ; & l t ; v a l u e & g t ; & l t ; i n t & g t ; 1 4 2 & l t ; / i n t & g t ; & l t ; / v a l u e & g t ; & l t ; / i t e m & g t ; & l t ; i t e m & g t ; & l t ; k e y & g t ; & l t ; s t r i n g & g t ; R e g #   C h a n n e l & l t ; / s t r i n g & g t ; & l t ; / k e y & g t ; & l t ; v a l u e & g t ; & l t ; i n t & g t ; 1 2 5 & l t ; / i n t & g t ; & l t ; / v a l u e & g t ; & l t ; / i t e m & g t ; & l t ; i t e m & g t ; & l t ; k e y & g t ; & l t ; s t r i n g & g t ; U n i q u e   C u s t o m e r & l t ; / s t r i n g & g t ; & l t ; / k e y & g t ; & l t ; v a l u e & g t ; & l t ; i n t & g t ; 1 4 9 & l t ; / i n t & g t ; & l t ; / v a l u e & g t ; & l t ; / i t e m & g t ; & l t ; i t e m & g t ; & l t ; k e y & g t ; & l t ; s t r i n g & g t ; C o u n t r y & l t ; / s t r i n g & g t ; & l t ; / k e y & g t ; & l t ; v a l u e & g t ; & l t ; i n t & g t ; 9 0 & l t ; / i n t & g t ; & l t ; / v a l u e & g t ; & l t ; / i t e m & g t ; & l t ; i t e m & g t ; & l t ; k e y & g t ; & l t ; s t r i n g & g t ; W e e k S t a r t & l t ; / s t r i n g & g t ; & l t ; / k e y & g t ; & l t ; v a l u e & g t ; & l t ; i n t & g t ; 1 0 5 & l t ; / i n t & g t ; & l t ; / v a l u e & g t ; & l t ; / i t e m & g t ; & l t ; i t e m & g t ; & l t ; k e y & g t ; & l t ; s t r i n g & g t ; Y e a r M o n t h & l t ; / s t r i n g & g t ; & l t ; / k e y & g t ; & l t ; v a l u e & g t ; & l t ; i n t & g t ; 1 0 8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R e g i s t r a t i o n   C i t y & l t ; / s t r i n g & g t ; & l t ; / k e y & g t ; & l t ; v a l u e & g t ; & l t ; i n t & g t ; 1 & l t ; / i n t & g t ; & l t ; / v a l u e & g t ; & l t ; / i t e m & g t ; & l t ; i t e m & g t ; & l t ; k e y & g t ; & l t ; s t r i n g & g t ; R e g #   C h a n n e l & l t ; / s t r i n g & g t ; & l t ; / k e y & g t ; & l t ; v a l u e & g t ; & l t ; i n t & g t ; 2 & l t ; / i n t & g t ; & l t ; / v a l u e & g t ; & l t ; / i t e m & g t ; & l t ; i t e m & g t ; & l t ; k e y & g t ; & l t ; s t r i n g & g t ; U n i q u e   C u s t o m e r & l t ; / s t r i n g & g t ; & l t ; / k e y & g t ; & l t ; v a l u e & g t ; & l t ; i n t & g t ; 3 & l t ; / i n t & g t ; & l t ; / v a l u e & g t ; & l t ; / i t e m & g t ; & l t ; i t e m & g t ; & l t ; k e y & g t ; & l t ; s t r i n g & g t ; C o u n t r y & l t ; / s t r i n g & g t ; & l t ; / k e y & g t ; & l t ; v a l u e & g t ; & l t ; i n t & g t ; 6 & l t ; / i n t & g t ; & l t ; / v a l u e & g t ; & l t ; / i t e m & g t ; & l t ; i t e m & g t ; & l t ; k e y & g t ; & l t ; s t r i n g & g t ; W e e k S t a r t & l t ; / s t r i n g & g t ; & l t ; / k e y & g t ; & l t ; v a l u e & g t ; & l t ; i n t & g t ; 5 & l t ; / i n t & g t ; & l t ; / v a l u e & g t ; & l t ; / i t e m & g t ; & l t ; i t e m & g t ; & l t ; k e y & g t ; & l t ; s t r i n g & g t ; Y e a r M o n t h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 / & g t ; & l t ; C o l u m n F i l t e r & g t ; & l t ; i t e m & g t ; & l t ; k e y & g t ; & l t ; s t r i n g & g t ; R e g i s t r a t i o n   C i t y & l t ; / s t r i n g & g t ; & l t ; / k e y & g t ; & l t ; v a l u e & g t ; & l t ; F i l t e r E x p r e s s i o n 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 / & g t ; & l t ; / v a l u e & g t ; & l t ; / i t e m & g t ; & l t ; / C o l u m n F i l t e r & g t ; & l t ; S e l e c t i o n F i l t e r & g t ; & l t ; i t e m & g t ; & l t ; k e y & g t ; & l t ; s t r i n g & g t ; R e g i s t r a t i o n   C i t y & l t ; / s t r i n g & g t ; & l t ; / k e y & g t ; & l t ; v a l u e & g t ; & l t ; S e l e c t i o n F i l t e r 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 / & g t ; & l t ; / v a l u e & g t ; & l t ; / i t e m & g t ; & l t ; / S e l e c t i o n F i l t e r & g t ; & l t ; F i l t e r P a r a m e t e r s & g t ; & l t ; i t e m & g t ; & l t ; k e y & g t ; & l t ; s t r i n g & g t ; R e g i s t r a t i o n   C i t y & l t ; / s t r i n g & g t ; & l t ; / k e y & g t ; & l t ; v a l u e & g t ; & l t ; C o m m a n d P a r a m e t e r s 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h e e t 2 _ 5 6 3 c c 8 b d - d 9 6 6 - 4 e f e - b e 7 f - 5 c a 8 c f 2 0 0 f 1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8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m p a i g n   p e r f o r m a n c e   r e p o r t   1 _ e c 2 4 6 8 4 5 - 9 b 5 8 - 4 4 7 3 - b 6 c 8 - 9 8 3 d 5 0 2 e 1 c 8 e & l t ; / K e y & g t ; & l t ; V a l u e 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h e e t 1 _ a a e 8 3 c a f - 4 d 0 d - 4 5 7 7 - 9 c f d - 8 7 8 1 3 e 2 f 7 d 7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h e e t 1   1 _ 3 d 7 d 2 1 a 0 - 0 3 a 2 - 4 c a 1 - a 2 7 0 - f 1 0 f b 7 5 8 f b 4 9 & l t ; / K e y & g t ; & l t ; V a l u e 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h e e t 1   2 _ 4 a 3 e 7 d 1 9 - 0 2 c 4 - 4 2 0 c - b 4 4 7 - 6 c 9 3 2 c 0 7 e b e 9 & l t ; / K e y & g t ; & l t ; V a l u e 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7 d b 2 3 2 d 4 - 0 4 6 1 - 4 0 0 c - b 8 3 a - 7 5 d 3 4 f d e 4 a f 8 " > < C u s t o m C o n t e n t > < ! [ C D A T A [ < ? x m l   v e r s i o n = " 1 . 0 "   e n c o d i n g = " u t f - 1 6 " ? > < S e t t i n g s > < C a l c u l a t e d F i e l d s > < i t e m > < M e a s u r e N a m e > S u m   o f   U n i q u e   C u s t o m e r < / M e a s u r e N a m e > < D i s p l a y N a m e > S u m   o f   U n i q u e   C u s t o m e r 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 R a w   D a t a < / S l i c e r S h e e t N a m e > < S A H o s t H a s h > 2 0 0 8 3 5 4 2 9 2 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1 3 2 1 a 8 3 - d b 6 2 - 4 2 7 a - 9 d 7 f - f d 2 5 3 e 5 1 6 c 1 7 " > < C u s t o m C o n t e n t > < ! [ C D A T A [ < ? x m l   v e r s i o n = " 1 . 0 "   e n c o d i n g = " u t f - 1 6 " ? > < S e t t i n g s > < C a l c u l a t e d F i e l d s > < i t e m > < M e a s u r e N a m e > S u m   o f   O r d e r   C o u n t < / M e a s u r e N a m e > < D i s p l a y N a m e > S u m   o f   O r d e r   C o u n t 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 R a w   D a t a < / S l i c e r S h e e t N a m e > < S A H o s t H a s h > 2 8 0 0 2 6 6 8 2 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S h e e t 2 _ 5 6 3 c c 8 b d - d 9 6 6 - 4 e f e - b e 7 f - 5 c a 8 c f 2 0 0 f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 9 3 < / i n t > < / v a l u e > < / i t e m > < i t e m > < k e y > < s t r i n g > W e e k S t a r t < / s t r i n g > < / k e y > < v a l u e > < i n t > 1 0 5 < / i n t > < / v a l u e > < / i t e m > < i t e m > < k e y > < s t r i n g > Y e a r M o n t h < / s t r i n g > < / k e y > < v a l u e > < i n t > 1 0 8 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 W e e k S t a r t < / s t r i n g > < / k e y > < v a l u e > < i n t > 1 < / i n t > < / v a l u e > < / i t e m > < i t e m > < k e y > < s t r i n g > Y e a r M o n t h 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1 8 5 8 a 1 b 8 - 9 8 6 e - 4 0 6 8 - b f 0 3 - d b d 3 1 3 d 1 f 8 7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 9 7 5 1 5 5 1 4 9 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d 1 a c 3 7 b - 2 e 6 c - 4 1 3 9 - b 9 3 9 - d 2 9 d 6 c f 7 4 0 f 0 " > < C u s t o m C o n t e n t > < ! [ C D A T A [ < ? x m l   v e r s i o n = " 1 . 0 "   e n c o d i n g = " u t f - 1 6 " ? > < S e t t i n g s > < C a l c u l a t e d F i e l d s > < i t e m > < M e a s u r e N a m e > S u m   o f   C o s t < / M e a s u r e N a m e > < D i s p l a y N a m e > S u m   o f   C o s t < / D i s p l a y N a m e > < V i s i b l e > T r u e < / V i s i b l e > < / i t e m > < i t e m > < M e a s u r e N a m e > S u m   o f   I m p r e s s i o n s < / M e a s u r e N a m e > < D i s p l a y N a m e > S u m   o f   I m p r e s s i o n s < / D i s p l a y N a m e > < V i s i b l e > T r u e < / V i s i b l e > < / i t e m > < i t e m > < M e a s u r e N a m e > S u m   o f   C l i c k s < / M e a s u r e N a m e > < D i s p l a y N a m e > S u m   o f   C l i c k s < / D i s p l a y N a m e > < V i s i b l e > T r u e < / V i s i b l e > < / i t e m > < i t e m > < M e a s u r e N a m e > S u m   o f   R e g i s t r a t i o n   2 < / M e a s u r e N a m e > < D i s p l a y N a m e > S u m   o f   R e g i s t r a t i o n   2 < / D i s p l a y N a m e > < V i s i b l e > T r u e < / V i s i b l e > < / i t e m > < i t e m > < M e a s u r e N a m e > S u m   o f   O r d e r < / M e a s u r e N a m e > < D i s p l a y N a m e > S u m   o f   O r d e r < / D i s p l a y N a m e > < V i s i b l e > T r u e < / V i s i b l e > < / i t e m > < i t e m > < M e a s u r e N a m e > S u m   o f   V i e w - t h r o u g h   c o n v # < / M e a s u r e N a m e > < D i s p l a y N a m e > S u m   o f   V i e w - t h r o u g h   c o n v # 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 R a w   D a t a < / S l i c e r S h e e t N a m e > < S A H o s t H a s h > 1 0 9 5 4 6 5 1 4 0 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P r e v i o u s D i a g r a m " > < C u s t o m C o n t e n t > & l t ; S a n d b o x E d i t o r D i a g r a m K e y 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m p a i g n   p e r f o r m a n c e   r e p o r t   1 _ e c 2 4 6 8 4 5 - 9 b 5 8 - 4 4 7 3 - b 6 c 8 - 9 8 3 d 5 0 2 e 1 c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 9 1 < / i n t > < / v a l u e > < / i t e m > < i t e m > < k e y > < s t r i n g > D a y < / s t r i n g > < / k e y > < v a l u e > < i n t > 6 4 < / i n t > < / v a l u e > < / i t e m > < i t e m > < k e y > < s t r i n g > C a m p a i g n < / s t r i n g > < / k e y > < v a l u e > < i n t > 1 0 2 < / i n t > < / v a l u e > < / i t e m > < i t e m > < k e y > < s t r i n g > C l i c k s < / s t r i n g > < / k e y > < v a l u e > < i n t > 7 6 < / i n t > < / v a l u e > < / i t e m > < i t e m > < k e y > < s t r i n g > I m p r e s s i o n s < / s t r i n g > < / k e y > < v a l u e > < i n t > 1 1 6 < / i n t > < / v a l u e > < / i t e m > < i t e m > < k e y > < s t r i n g > C T R < / s t r i n g > < / k e y > < v a l u e > < i n t > 6 4 < / i n t > < / v a l u e > < / i t e m > < i t e m > < k e y > < s t r i n g > A v g #   C P C < / s t r i n g > < / k e y > < v a l u e > < i n t > 9 8 < / i n t > < / v a l u e > < / i t e m > < i t e m > < k e y > < s t r i n g > A v g #   C P M < / s t r i n g > < / k e y > < v a l u e > < i n t > 1 0 2 < / i n t > < / v a l u e > < / i t e m > < i t e m > < k e y > < s t r i n g > C o s t < / s t r i n g > < / k e y > < v a l u e > < i n t > 6 8 < / i n t > < / v a l u e > < / i t e m > < i t e m > < k e y > < s t r i n g > A v g #   p o s i t i o n < / s t r i n g > < / k e y > < v a l u e > < i n t > 1 2 4 < / i n t > < / v a l u e > < / i t e m > < i t e m > < k e y > < s t r i n g > C o n v #   m a n y - p e r - c l i c k < / s t r i n g > < / k e y > < v a l u e > < i n t > 1 7 4 < / i n t > < / v a l u e > < / i t e m > < i t e m > < k e y > < s t r i n g > C o n v #   r a t e   m a n y - p e r - c l i c k < / s t r i n g > < / k e y > < v a l u e > < i n t > 2 0 2 < / i n t > < / v a l u e > < / i t e m > < i t e m > < k e y > < s t r i n g > V i e w - t h r o u g h   c o n v # < / s t r i n g > < / k e y > < v a l u e > < i n t > 1 6 6 < / i n t > < / v a l u e > < / i t e m > < i t e m > < k e y > < s t r i n g > V i e w - t h r o u g h   c o n v #   r a t e < / s t r i n g > < / k e y > < v a l u e > < i n t > 1 9 4 < / i n t > < / v a l u e > < / i t e m > < i t e m > < k e y > < s t r i n g > C h a n n e l < / s t r i n g > < / k e y > < v a l u e > < i n t > 9 2 < / i n t > < / v a l u e > < / i t e m > < i t e m > < k e y > < s t r i n g > C o u n t r y < / s t r i n g > < / k e y > < v a l u e > < i n t > 9 0 < / i n t > < / v a l u e > < / i t e m > < i t e m > < k e y > < s t r i n g > L a n g u a g e < / s t r i n g > < / k e y > < v a l u e > < i n t > 9 9 < / i n t > < / v a l u e > < / i t e m > < i t e m > < k e y > < s t r i n g > O r d e r < / s t r i n g > < / k e y > < v a l u e > < i n t > 7 7 < / i n t > < / v a l u e > < / i t e m > < i t e m > < k e y > < s t r i n g > R e g i s t r a t i o n < / s t r i n g > < / k e y > < v a l u e > < i n t > 1 1 5 < / i n t > < / v a l u e > < / i t e m > < / C o l u m n W i d t h s > < C o l u m n D i s p l a y I n d e x > < i t e m > < k e y > < s t r i n g > A c c o u n t < / s t r i n g > < / k e y > < v a l u e > < i n t > 0 < / i n t > < / v a l u e > < / i t e m > < i t e m > < k e y > < s t r i n g > D a y < / s t r i n g > < / k e y > < v a l u e > < i n t > 1 < / i n t > < / v a l u e > < / i t e m > < i t e m > < k e y > < s t r i n g > C a m p a i g n < / s t r i n g > < / k e y > < v a l u e > < i n t > 2 < / i n t > < / v a l u e > < / i t e m > < i t e m > < k e y > < s t r i n g > C l i c k s < / s t r i n g > < / k e y > < v a l u e > < i n t > 3 < / i n t > < / v a l u e > < / i t e m > < i t e m > < k e y > < s t r i n g > I m p r e s s i o n s < / s t r i n g > < / k e y > < v a l u e > < i n t > 4 < / i n t > < / v a l u e > < / i t e m > < i t e m > < k e y > < s t r i n g > C T R < / s t r i n g > < / k e y > < v a l u e > < i n t > 5 < / i n t > < / v a l u e > < / i t e m > < i t e m > < k e y > < s t r i n g > A v g #   C P C < / s t r i n g > < / k e y > < v a l u e > < i n t > 6 < / i n t > < / v a l u e > < / i t e m > < i t e m > < k e y > < s t r i n g > A v g #   C P M < / s t r i n g > < / k e y > < v a l u e > < i n t > 7 < / i n t > < / v a l u e > < / i t e m > < i t e m > < k e y > < s t r i n g > C o s t < / s t r i n g > < / k e y > < v a l u e > < i n t > 8 < / i n t > < / v a l u e > < / i t e m > < i t e m > < k e y > < s t r i n g > A v g #   p o s i t i o n < / s t r i n g > < / k e y > < v a l u e > < i n t > 9 < / i n t > < / v a l u e > < / i t e m > < i t e m > < k e y > < s t r i n g > C o n v #   m a n y - p e r - c l i c k < / s t r i n g > < / k e y > < v a l u e > < i n t > 1 0 < / i n t > < / v a l u e > < / i t e m > < i t e m > < k e y > < s t r i n g > C o n v #   r a t e   m a n y - p e r - c l i c k < / s t r i n g > < / k e y > < v a l u e > < i n t > 1 1 < / i n t > < / v a l u e > < / i t e m > < i t e m > < k e y > < s t r i n g > V i e w - t h r o u g h   c o n v # < / s t r i n g > < / k e y > < v a l u e > < i n t > 1 2 < / i n t > < / v a l u e > < / i t e m > < i t e m > < k e y > < s t r i n g > V i e w - t h r o u g h   c o n v #   r a t e < / s t r i n g > < / k e y > < v a l u e > < i n t > 1 3 < / i n t > < / v a l u e > < / i t e m > < i t e m > < k e y > < s t r i n g > C h a n n e l < / s t r i n g > < / k e y > < v a l u e > < i n t > 1 4 < / i n t > < / v a l u e > < / i t e m > < i t e m > < k e y > < s t r i n g > C o u n t r y < / s t r i n g > < / k e y > < v a l u e > < i n t > 1 5 < / i n t > < / v a l u e > < / i t e m > < i t e m > < k e y > < s t r i n g > L a n g u a g e < / s t r i n g > < / k e y > < v a l u e > < i n t > 1 6 < / i n t > < / v a l u e > < / i t e m > < i t e m > < k e y > < s t r i n g > O r d e r < / s t r i n g > < / k e y > < v a l u e > < i n t > 1 7 < / i n t > < / v a l u e > < / i t e m > < i t e m > < k e y > < s t r i n g > R e g i s t r a t i o n 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h e e t 1   1 _ 3 d 7 d 2 1 a 0 - 0 3 a 2 - 4 c a 1 - a 2 7 0 - f 1 0 f b 7 5 8 f b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 9 0 < / i n t > < / v a l u e > < / i t e m > < i t e m > < k e y > < s t r i n g > W e e k S t a r t < / s t r i n g > < / k e y > < v a l u e > < i n t > 1 0 5 < / i n t > < / v a l u e > < / i t e m > < i t e m > < k e y > < s t r i n g > Y e a r M o n t h < / s t r i n g > < / k e y > < v a l u e > < i n t > 1 0 8 < / i n t > < / v a l u e > < / i t e m > < i t e m > < k e y > < s t r i n g > D a t e 1 < / s t r i n g > < / k e y > < v a l u e > < i n t > 7 7 < / i n t > < / v a l u e > < / i t e m > < i t e m > < k e y > < s t r i n g > C i t y < / s t r i n g > < / k e y > < v a l u e > < i n t > 6 5 < / i n t > < / v a l u e > < / i t e m > < i t e m > < k e y > < s t r i n g > O r d e r   C h a n n e l < / s t r i n g > < / k e y > < v a l u e > < i n t > 1 3 1 < / i n t > < / v a l u e > < / i t e m > < i t e m > < k e y > < s t r i n g > O r d e r   C o u n t < / s t r i n g > < / k e y > < v a l u e > < i n t > 1 1 7 < / i n t > < / v a l u e > < / i t e m > < / C o l u m n W i d t h s > < C o l u m n D i s p l a y I n d e x > < i t e m > < k e y > < s t r i n g > C o u n t r y < / s t r i n g > < / k e y > < v a l u e > < i n t > 6 < / i n t > < / v a l u e > < / i t e m > < i t e m > < k e y > < s t r i n g > W e e k S t a r t < / s t r i n g > < / k e y > < v a l u e > < i n t > 5 < / i n t > < / v a l u e > < / i t e m > < i t e m > < k e y > < s t r i n g > Y e a r M o n t h < / s t r i n g > < / k e y > < v a l u e > < i n t > 4 < / i n t > < / v a l u e > < / i t e m > < i t e m > < k e y > < s t r i n g > D a t e 1 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 O r d e r   C h a n n e l < / s t r i n g > < / k e y > < v a l u e > < i n t > 2 < / i n t > < / v a l u e > < / i t e m > < i t e m > < k e y > < s t r i n g > O r d e r  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 2 0 1 4 - 0 1 - 1 4 T 1 6 : 2 5 : 2 7 . 6 3 9 5 2 0 3 + 0 4 : 0 0 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2 1 7 1 c b e 9 - 8 7 6 a - 4 c 8 c - 9 1 a b - 0 e 1 5 d b c 3 6 4 d 9 " > < C u s t o m C o n t e n t > < ! [ C D A T A [ < ? x m l   v e r s i o n = " 1 . 0 "   e n c o d i n g = " u t f - 1 6 " ? > < S e t t i n g s > < C a l c u l a t e d F i e l d s > < i t e m > < M e a s u r e N a m e > S u m   o f   C o s t < / M e a s u r e N a m e > < D i s p l a y N a m e > S u m   o f   C o s t 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 1 0 6 6 6 7 8 1 9 0 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b a e 3 4 6 e d - 4 5 c d - 4 6 5 9 - 8 a 4 c - f 7 f 7 e f f 1 d e a 7 " > < C u s t o m C o n t e n t > < ! [ C D A T A [ < ? x m l   v e r s i o n = " 1 . 0 "   e n c o d i n g = " u t f - 1 6 " ? > < S e t t i n g s > < C a l c u l a t e d F i e l d s > < i t e m > < M e a s u r e N a m e > S u m   o f   O r d e r s < / M e a s u r e N a m e > < D i s p l a y N a m e > S u m   o f   O r d e r s < / D i s p l a y N a m e > < V i s i b l e > T r u e < / V i s i b l e > < / i t e m > < i t e m > < M e a s u r e N a m e > S u m   o f   R e g i s t r a t i o n < / M e a s u r e N a m e > < D i s p l a y N a m e > S u m   o f   R e g i s t r a t i o n < / D i s p l a y N a m e > < V i s i b l e > T r u e < / V i s i b l e > < / i t e m > < i t e m > < M e a s u r e N a m e > S u m   o f   V i s i t s < / M e a s u r e N a m e > < D i s p l a y N a m e > S u m   o f   V i s i t s < / D i s p l a y N a m e > < V i s i b l e > T r u e < / V i s i b l e > < / i t e m > < i t e m > < M e a s u r e N a m e > S u m   o f   R e v e n u e - U S D < / M e a s u r e N a m e > < D i s p l a y N a m e > S u m   o f   R e v e n u e - U S D < / D i s p l a y N a m e > < V i s i b l e > T r u e < / V i s i b l e > < / i t e m > < i t e m > < M e a s u r e N a m e > S u m   o f   R e v e n u e < / M e a s u r e N a m e > < D i s p l a y N a m e > S u m   o f   R e v e n u e 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 R a w   D a t a < / S l i c e r S h e e t N a m e > < S A H o s t H a s h > 1 8 8 8 8 6 6 6 8 4 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h e e t 1 _ a a e 8 3 c a f - 4 d 0 d - 4 5 7 7 - 9 c f d - 8 7 8 1 3 e 2 f 7 d 7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1 7 1 & l t ; / i n t & g t ; & l t ; / v a l u e & g t ; & l t ; / i t e m & g t ; & l t ; i t e m & g t ; & l t ; k e y & g t ; & l t ; s t r i n g & g t ; C a m p a i g n N a m e & l t ; / s t r i n g & g t ; & l t ; / k e y & g t ; & l t ; v a l u e & g t ; & l t ; i n t & g t ; 2 1 0 & l t ; / i n t & g t ; & l t ; / v a l u e & g t ; & l t ; / i t e m & g t ; & l t ; i t e m & g t ; & l t ; k e y & g t ; & l t ; s t r i n g & g t ; V i s i t s & l t ; / s t r i n g & g t ; & l t ; / k e y & g t ; & l t ; v a l u e & g t ; & l t ; i n t & g t ; 7 5 & l t ; / i n t & g t ; & l t ; / v a l u e & g t ; & l t ; / i t e m & g t ; & l t ; i t e m & g t ; & l t ; k e y & g t ; & l t ; s t r i n g & g t ; U n i q u e   V i s i t o r s & l t ; / s t r i n g & g t ; & l t ; / k e y & g t ; & l t ; v a l u e & g t ; & l t ; i n t & g t ; 1 3 6 & l t ; / i n t & g t ; & l t ; / v a l u e & g t ; & l t ; / i t e m & g t ; & l t ; i t e m & g t ; & l t ; k e y & g t ; & l t ; s t r i n g & g t ; R e g i s t r a t i o n & l t ; / s t r i n g & g t ; & l t ; / k e y & g t ; & l t ; v a l u e & g t ; & l t ; i n t & g t ; 1 1 5 & l t ; / i n t & g t ; & l t ; / v a l u e & g t ; & l t ; / i t e m & g t ; & l t ; i t e m & g t ; & l t ; k e y & g t ; & l t ; s t r i n g & g t ; R e v e n u e - U S D & l t ; / s t r i n g & g t ; & l t ; / k e y & g t ; & l t ; v a l u e & g t ; & l t ; i n t & g t ; 1 2 6 & l t ; / i n t & g t ; & l t ; / v a l u e & g t ; & l t ; / i t e m & g t ; & l t ; i t e m & g t ; & l t ; k e y & g t ; & l t ; s t r i n g & g t ; O r d e r s & l t ; / s t r i n g & g t ; & l t ; / k e y & g t ; & l t ; v a l u e & g t ; & l t ; i n t & g t ; 8 3 & l t ; / i n t & g t ; & l t ; / v a l u e & g t ; & l t ; / i t e m & g t ; & l t ; i t e m & g t ; & l t ; k e y & g t ; & l t ; s t r i n g & g t ; C o u n t r y & l t ; / s t r i n g & g t ; & l t ; / k e y & g t ; & l t ; v a l u e & g t ; & l t ; i n t & g t ; 9 0 & l t ; / i n t & g t ; & l t ; / v a l u e & g t ; & l t ; / i t e m & g t ; & l t ; i t e m & g t ; & l t ; k e y & g t ; & l t ; s t r i n g & g t ; R e v e n u e & l t ; / s t r i n g & g t ; & l t ; / k e y & g t ; & l t ; v a l u e & g t ; & l t ; i n t & g t ; 9 6 & l t ; / i n t & g t ; & l t ; / v a l u e & g t ; & l t ; / i t e m & g t ; & l t ; i t e m & g t ; & l t ; k e y & g t ; & l t ; s t r i n g & g t ; C h a n n e l & l t ; / s t r i n g & g t ; & l t ; / k e y & g t ; & l t ; v a l u e & g t ; & l t ; i n t & g t ; 1 3 4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C a m p a i g n N a m e & l t ; / s t r i n g & g t ; & l t ; / k e y & g t ; & l t ; v a l u e & g t ; & l t ; i n t & g t ; 1 & l t ; / i n t & g t ; & l t ; / v a l u e & g t ; & l t ; / i t e m & g t ; & l t ; i t e m & g t ; & l t ; k e y & g t ; & l t ; s t r i n g & g t ; V i s i t s & l t ; / s t r i n g & g t ; & l t ; / k e y & g t ; & l t ; v a l u e & g t ; & l t ; i n t & g t ; 2 & l t ; / i n t & g t ; & l t ; / v a l u e & g t ; & l t ; / i t e m & g t ; & l t ; i t e m & g t ; & l t ; k e y & g t ; & l t ; s t r i n g & g t ; U n i q u e   V i s i t o r s & l t ; / s t r i n g & g t ; & l t ; / k e y & g t ; & l t ; v a l u e & g t ; & l t ; i n t & g t ; 3 & l t ; / i n t & g t ; & l t ; / v a l u e & g t ; & l t ; / i t e m & g t ; & l t ; i t e m & g t ; & l t ; k e y & g t ; & l t ; s t r i n g & g t ; R e g i s t r a t i o n & l t ; / s t r i n g & g t ; & l t ; / k e y & g t ; & l t ; v a l u e & g t ; & l t ; i n t & g t ; 4 & l t ; / i n t & g t ; & l t ; / v a l u e & g t ; & l t ; / i t e m & g t ; & l t ; i t e m & g t ; & l t ; k e y & g t ; & l t ; s t r i n g & g t ; R e v e n u e - U S D & l t ; / s t r i n g & g t ; & l t ; / k e y & g t ; & l t ; v a l u e & g t ; & l t ; i n t & g t ; 9 & l t ; / i n t & g t ; & l t ; / v a l u e & g t ; & l t ; / i t e m & g t ; & l t ; i t e m & g t ; & l t ; k e y & g t ; & l t ; s t r i n g & g t ; O r d e r s & l t ; / s t r i n g & g t ; & l t ; / k e y & g t ; & l t ; v a l u e & g t ; & l t ; i n t & g t ; 5 & l t ; / i n t & g t ; & l t ; / v a l u e & g t ; & l t ; / i t e m & g t ; & l t ; i t e m & g t ; & l t ; k e y & g t ; & l t ; s t r i n g & g t ; C o u n t r y & l t ; / s t r i n g & g t ; & l t ; / k e y & g t ; & l t ; v a l u e & g t ; & l t ; i n t & g t ; 8 & l t ; / i n t & g t ; & l t ; / v a l u e & g t ; & l t ; / i t e m & g t ; & l t ; i t e m & g t ; & l t ; k e y & g t ; & l t ; s t r i n g & g t ; R e v e n u e & l t ; / s t r i n g & g t ; & l t ; / k e y & g t ; & l t ; v a l u e & g t ; & l t ; i n t & g t ; 6 & l t ; / i n t & g t ; & l t ; / v a l u e & g t ; & l t ; / i t e m & g t ; & l t ; i t e m & g t ; & l t ; k e y & g t ; & l t ; s t r i n g & g t ; C h a n n e l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 / & g t ; & l t ; C o l u m n F i l t e r & g t ; & l t ; i t e m & g t ; & l t ; k e y & g t ; & l t ; s t r i n g & g t ; C h a n n e l & l t ; / s t r i n g & g t ; & l t ; / k e y & g t ; & l t ; v a l u e & g t ; & l t ; F i l t e r E x p r e s s i o n 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 / & g t ; & l t ; / v a l u e & g t ; & l t ; / i t e m & g t ; & l t ; i t e m & g t ; & l t ; k e y & g t ; & l t ; s t r i n g & g t ; D a t e & l t ; / s t r i n g & g t ; & l t ; / k e y & g t ; & l t ; v a l u e & g t ; & l t ; F i l t e r E x p r e s s i o n 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C h a n n e l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 x s i : t y p e = " x s d : s t r i n g " & g t ; G o o g l e   A d w o r d s & l t ; / a n y T y p e & g t ; & l t ; / I t e m s & g t ; & l t ; / S e l e c t i o n F i l t e r & g t ; & l t ; / v a l u e & g t ; & l t ; / i t e m & g t ; & l t ; i t e m & g t ; & l t ; k e y & g t ; & l t ; s t r i n g & g t ; D a t e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 x s i : t y p e = " x s d : d a t e T i m e " & g t ; 2 0 1 3 - 1 1 - 0 1 T 0 0 : 0 0 : 0 0 & l t ; / a n y T y p e & g t ; & l t ; a n y T y p e   x s i : t y p e = " x s d : d a t e T i m e " & g t ; 2 0 1 3 - 1 2 - 0 1 T 0 0 : 0 0 : 0 0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C h a n n e l & l t ; / s t r i n g & g t ; & l t ; / k e y & g t ; & l t ; v a l u e & g t ; & l t ; C o m m a n d P a r a m e t e r s   / & g t ; & l t ; / v a l u e & g t ; & l t ; / i t e m & g t ; & l t ; i t e m & g t ; & l t ; k e y & g t ; & l t ; s t r i n g & g t ; D a t e & l t ; / s t r i n g & g t ; & l t ; / k e y & g t ; & l t ; v a l u e & g t ; & l t ; C o m m a n d P a r a m e t e r s   / & g t ; & l t ; / v a l u e & g t ; & l t ; / i t e m & g t ; & l t ; / F i l t e r P a r a m e t e r s & g t ; & l t ; S o r t B y C o l u m n & g t ; O r d e r s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698D36F3-A079-4461-B045-249431A83D44}">
  <ds:schemaRefs/>
</ds:datastoreItem>
</file>

<file path=customXml/itemProps10.xml><?xml version="1.0" encoding="utf-8"?>
<ds:datastoreItem xmlns:ds="http://schemas.openxmlformats.org/officeDocument/2006/customXml" ds:itemID="{4EA23823-A78E-4577-867A-D1AD4B798AB7}">
  <ds:schemaRefs/>
</ds:datastoreItem>
</file>

<file path=customXml/itemProps11.xml><?xml version="1.0" encoding="utf-8"?>
<ds:datastoreItem xmlns:ds="http://schemas.openxmlformats.org/officeDocument/2006/customXml" ds:itemID="{501CD1CB-33DE-4F2A-9D80-55960D0BB15B}">
  <ds:schemaRefs/>
</ds:datastoreItem>
</file>

<file path=customXml/itemProps12.xml><?xml version="1.0" encoding="utf-8"?>
<ds:datastoreItem xmlns:ds="http://schemas.openxmlformats.org/officeDocument/2006/customXml" ds:itemID="{D3BBA2A5-154A-4E3E-8CDC-590AE6136560}">
  <ds:schemaRefs/>
</ds:datastoreItem>
</file>

<file path=customXml/itemProps13.xml><?xml version="1.0" encoding="utf-8"?>
<ds:datastoreItem xmlns:ds="http://schemas.openxmlformats.org/officeDocument/2006/customXml" ds:itemID="{010B9162-92DE-4DE9-BA26-DA8C1B01B357}">
  <ds:schemaRefs/>
</ds:datastoreItem>
</file>

<file path=customXml/itemProps14.xml><?xml version="1.0" encoding="utf-8"?>
<ds:datastoreItem xmlns:ds="http://schemas.openxmlformats.org/officeDocument/2006/customXml" ds:itemID="{5D50A080-09CC-4AB0-883B-0704A9E6AA33}">
  <ds:schemaRefs/>
</ds:datastoreItem>
</file>

<file path=customXml/itemProps15.xml><?xml version="1.0" encoding="utf-8"?>
<ds:datastoreItem xmlns:ds="http://schemas.openxmlformats.org/officeDocument/2006/customXml" ds:itemID="{9CCEC6C3-0947-4BCE-9903-E1DB65AB1D35}">
  <ds:schemaRefs/>
</ds:datastoreItem>
</file>

<file path=customXml/itemProps16.xml><?xml version="1.0" encoding="utf-8"?>
<ds:datastoreItem xmlns:ds="http://schemas.openxmlformats.org/officeDocument/2006/customXml" ds:itemID="{5F92FC52-CCFE-419D-ADB5-BB242AC100B7}">
  <ds:schemaRefs/>
</ds:datastoreItem>
</file>

<file path=customXml/itemProps17.xml><?xml version="1.0" encoding="utf-8"?>
<ds:datastoreItem xmlns:ds="http://schemas.openxmlformats.org/officeDocument/2006/customXml" ds:itemID="{BDAB7B43-AC81-44C7-9F4E-A1FA41C9660B}">
  <ds:schemaRefs/>
</ds:datastoreItem>
</file>

<file path=customXml/itemProps18.xml><?xml version="1.0" encoding="utf-8"?>
<ds:datastoreItem xmlns:ds="http://schemas.openxmlformats.org/officeDocument/2006/customXml" ds:itemID="{88BB0B8F-FFC0-41C2-AD8D-E321DE59228E}">
  <ds:schemaRefs/>
</ds:datastoreItem>
</file>

<file path=customXml/itemProps19.xml><?xml version="1.0" encoding="utf-8"?>
<ds:datastoreItem xmlns:ds="http://schemas.openxmlformats.org/officeDocument/2006/customXml" ds:itemID="{5D25E140-563A-4511-B116-3829FEA39B01}">
  <ds:schemaRefs/>
</ds:datastoreItem>
</file>

<file path=customXml/itemProps2.xml><?xml version="1.0" encoding="utf-8"?>
<ds:datastoreItem xmlns:ds="http://schemas.openxmlformats.org/officeDocument/2006/customXml" ds:itemID="{27CE86EF-88FA-4D9B-8A69-526DCF5A556E}">
  <ds:schemaRefs/>
</ds:datastoreItem>
</file>

<file path=customXml/itemProps20.xml><?xml version="1.0" encoding="utf-8"?>
<ds:datastoreItem xmlns:ds="http://schemas.openxmlformats.org/officeDocument/2006/customXml" ds:itemID="{22926753-1B79-4DC3-AC3D-B5B50672ED6C}">
  <ds:schemaRefs/>
</ds:datastoreItem>
</file>

<file path=customXml/itemProps21.xml><?xml version="1.0" encoding="utf-8"?>
<ds:datastoreItem xmlns:ds="http://schemas.openxmlformats.org/officeDocument/2006/customXml" ds:itemID="{97B3C6A0-0B60-4BD6-B51B-91F23030850F}">
  <ds:schemaRefs/>
</ds:datastoreItem>
</file>

<file path=customXml/itemProps22.xml><?xml version="1.0" encoding="utf-8"?>
<ds:datastoreItem xmlns:ds="http://schemas.openxmlformats.org/officeDocument/2006/customXml" ds:itemID="{3D29ED76-AFA5-45CB-A54B-EDBEB909606E}">
  <ds:schemaRefs/>
</ds:datastoreItem>
</file>

<file path=customXml/itemProps23.xml><?xml version="1.0" encoding="utf-8"?>
<ds:datastoreItem xmlns:ds="http://schemas.openxmlformats.org/officeDocument/2006/customXml" ds:itemID="{05A00D85-C289-4F3D-81E1-CC510D5E5AB5}">
  <ds:schemaRefs/>
</ds:datastoreItem>
</file>

<file path=customXml/itemProps24.xml><?xml version="1.0" encoding="utf-8"?>
<ds:datastoreItem xmlns:ds="http://schemas.openxmlformats.org/officeDocument/2006/customXml" ds:itemID="{38479063-6E46-4392-AED1-5B36A89B472E}">
  <ds:schemaRefs/>
</ds:datastoreItem>
</file>

<file path=customXml/itemProps25.xml><?xml version="1.0" encoding="utf-8"?>
<ds:datastoreItem xmlns:ds="http://schemas.openxmlformats.org/officeDocument/2006/customXml" ds:itemID="{BFB40624-D9C6-468E-AB6D-29403A85A5AE}">
  <ds:schemaRefs/>
</ds:datastoreItem>
</file>

<file path=customXml/itemProps26.xml><?xml version="1.0" encoding="utf-8"?>
<ds:datastoreItem xmlns:ds="http://schemas.openxmlformats.org/officeDocument/2006/customXml" ds:itemID="{EE02790B-8E7E-446A-BF85-2BA49500B5EA}">
  <ds:schemaRefs/>
</ds:datastoreItem>
</file>

<file path=customXml/itemProps27.xml><?xml version="1.0" encoding="utf-8"?>
<ds:datastoreItem xmlns:ds="http://schemas.openxmlformats.org/officeDocument/2006/customXml" ds:itemID="{CDB0AEB2-3F2C-48B3-8566-B438CEE165C8}">
  <ds:schemaRefs/>
</ds:datastoreItem>
</file>

<file path=customXml/itemProps28.xml><?xml version="1.0" encoding="utf-8"?>
<ds:datastoreItem xmlns:ds="http://schemas.openxmlformats.org/officeDocument/2006/customXml" ds:itemID="{6403F130-7D05-4DFE-B172-6A0BC19FC62B}">
  <ds:schemaRefs/>
</ds:datastoreItem>
</file>

<file path=customXml/itemProps29.xml><?xml version="1.0" encoding="utf-8"?>
<ds:datastoreItem xmlns:ds="http://schemas.openxmlformats.org/officeDocument/2006/customXml" ds:itemID="{B8A9F8F9-5DB9-4234-828B-DA0A237631A0}">
  <ds:schemaRefs/>
</ds:datastoreItem>
</file>

<file path=customXml/itemProps3.xml><?xml version="1.0" encoding="utf-8"?>
<ds:datastoreItem xmlns:ds="http://schemas.openxmlformats.org/officeDocument/2006/customXml" ds:itemID="{FF891B51-8F42-4314-8825-ECD10E4D01A7}">
  <ds:schemaRefs/>
</ds:datastoreItem>
</file>

<file path=customXml/itemProps30.xml><?xml version="1.0" encoding="utf-8"?>
<ds:datastoreItem xmlns:ds="http://schemas.openxmlformats.org/officeDocument/2006/customXml" ds:itemID="{FDE9D810-E3B8-441C-AE3A-0B44B878285D}">
  <ds:schemaRefs/>
</ds:datastoreItem>
</file>

<file path=customXml/itemProps31.xml><?xml version="1.0" encoding="utf-8"?>
<ds:datastoreItem xmlns:ds="http://schemas.openxmlformats.org/officeDocument/2006/customXml" ds:itemID="{84AD0B83-E382-46BD-88B3-1A5CF6B4D478}">
  <ds:schemaRefs/>
</ds:datastoreItem>
</file>

<file path=customXml/itemProps4.xml><?xml version="1.0" encoding="utf-8"?>
<ds:datastoreItem xmlns:ds="http://schemas.openxmlformats.org/officeDocument/2006/customXml" ds:itemID="{1FA6DD65-D243-442D-AB6F-9EC69D98B5D4}">
  <ds:schemaRefs/>
</ds:datastoreItem>
</file>

<file path=customXml/itemProps5.xml><?xml version="1.0" encoding="utf-8"?>
<ds:datastoreItem xmlns:ds="http://schemas.openxmlformats.org/officeDocument/2006/customXml" ds:itemID="{2366B42C-F38B-42F6-9A7C-45C12CD8F07C}">
  <ds:schemaRefs/>
</ds:datastoreItem>
</file>

<file path=customXml/itemProps6.xml><?xml version="1.0" encoding="utf-8"?>
<ds:datastoreItem xmlns:ds="http://schemas.openxmlformats.org/officeDocument/2006/customXml" ds:itemID="{25A31406-EC60-4E13-9BEF-0C19D55BDE9D}">
  <ds:schemaRefs/>
</ds:datastoreItem>
</file>

<file path=customXml/itemProps7.xml><?xml version="1.0" encoding="utf-8"?>
<ds:datastoreItem xmlns:ds="http://schemas.openxmlformats.org/officeDocument/2006/customXml" ds:itemID="{1625A800-8F95-43EB-BA3B-D42C1D573E64}">
  <ds:schemaRefs/>
</ds:datastoreItem>
</file>

<file path=customXml/itemProps8.xml><?xml version="1.0" encoding="utf-8"?>
<ds:datastoreItem xmlns:ds="http://schemas.openxmlformats.org/officeDocument/2006/customXml" ds:itemID="{9F88B46D-801F-443E-AA6F-85D4434E4E9F}">
  <ds:schemaRefs/>
</ds:datastoreItem>
</file>

<file path=customXml/itemProps9.xml><?xml version="1.0" encoding="utf-8"?>
<ds:datastoreItem xmlns:ds="http://schemas.openxmlformats.org/officeDocument/2006/customXml" ds:itemID="{0B83086C-7033-401F-8C1E-C7B68A96DB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Key Metrics and SEO</vt:lpstr>
      <vt:lpstr>Traffic Analysis</vt:lpstr>
      <vt:lpstr>Digital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2015-01-26T08:47:20Z</dcterms:modified>
</cp:coreProperties>
</file>