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" yWindow="105" windowWidth="17040" windowHeight="10815"/>
  </bookViews>
  <sheets>
    <sheet name="R" sheetId="3" r:id="rId1"/>
    <sheet name="C" sheetId="1" r:id="rId2"/>
    <sheet name="L" sheetId="4" r:id="rId3"/>
    <sheet name="Transistor" sheetId="2" r:id="rId4"/>
    <sheet name="Music" sheetId="6" r:id="rId5"/>
  </sheets>
  <calcPr calcId="125725"/>
</workbook>
</file>

<file path=xl/calcChain.xml><?xml version="1.0" encoding="utf-8"?>
<calcChain xmlns="http://schemas.openxmlformats.org/spreadsheetml/2006/main">
  <c r="J141" i="6"/>
  <c r="G139"/>
  <c r="I139" s="1"/>
  <c r="G138"/>
  <c r="J138" s="1"/>
  <c r="G137"/>
  <c r="J137"/>
  <c r="I142"/>
  <c r="I141"/>
  <c r="J142"/>
  <c r="G65"/>
  <c r="J65" s="1"/>
  <c r="F142"/>
  <c r="D142"/>
  <c r="E142" s="1"/>
  <c r="G77"/>
  <c r="J77" s="1"/>
  <c r="G73"/>
  <c r="J73" s="1"/>
  <c r="G53"/>
  <c r="J53" s="1"/>
  <c r="C36" i="3"/>
  <c r="C38"/>
  <c r="B38"/>
  <c r="B40" s="1"/>
  <c r="B32" i="4"/>
  <c r="B33" s="1"/>
  <c r="B29"/>
  <c r="E29" i="3"/>
  <c r="E32" s="1"/>
  <c r="E28"/>
  <c r="C26"/>
  <c r="C30"/>
  <c r="D30"/>
  <c r="D32" s="1"/>
  <c r="C32"/>
  <c r="D28"/>
  <c r="D25" s="1"/>
  <c r="D31" s="1"/>
  <c r="B28"/>
  <c r="B29" s="1"/>
  <c r="B12"/>
  <c r="B15"/>
  <c r="B19" i="4"/>
  <c r="B20" s="1"/>
  <c r="B21" s="1"/>
  <c r="B23"/>
  <c r="B11"/>
  <c r="B12" s="1"/>
  <c r="B13"/>
  <c r="J139" i="6" l="1"/>
  <c r="I138"/>
  <c r="I137"/>
  <c r="I53"/>
  <c r="I65"/>
  <c r="I73"/>
  <c r="I77"/>
  <c r="G69"/>
  <c r="G68"/>
  <c r="G72"/>
  <c r="G76"/>
  <c r="G67"/>
  <c r="G71"/>
  <c r="G75"/>
  <c r="G66"/>
  <c r="G70"/>
  <c r="G74"/>
  <c r="G81"/>
  <c r="G85"/>
  <c r="G89"/>
  <c r="I89" s="1"/>
  <c r="G80"/>
  <c r="G84"/>
  <c r="G88"/>
  <c r="G79"/>
  <c r="G83"/>
  <c r="G87"/>
  <c r="G78"/>
  <c r="G82"/>
  <c r="G86"/>
  <c r="G57"/>
  <c r="G61"/>
  <c r="G41"/>
  <c r="G56"/>
  <c r="G60"/>
  <c r="G64"/>
  <c r="G55"/>
  <c r="G59"/>
  <c r="G63"/>
  <c r="G54"/>
  <c r="G58"/>
  <c r="G62"/>
  <c r="B30" i="3"/>
  <c r="B32" s="1"/>
  <c r="B31"/>
  <c r="D33"/>
  <c r="C28"/>
  <c r="C31" s="1"/>
  <c r="C33" s="1"/>
  <c r="B22" i="4"/>
  <c r="E19" i="3"/>
  <c r="B14" i="1"/>
  <c r="B11"/>
  <c r="B12" s="1"/>
  <c r="B13" s="1"/>
  <c r="C21" i="3"/>
  <c r="C20"/>
  <c r="C19"/>
  <c r="B4" i="4"/>
  <c r="B3"/>
  <c r="B6" s="1"/>
  <c r="E3" i="3"/>
  <c r="E4" s="1"/>
  <c r="D5"/>
  <c r="D3"/>
  <c r="C2"/>
  <c r="C5" s="1"/>
  <c r="B4"/>
  <c r="B5" s="1"/>
  <c r="B18" i="1"/>
  <c r="B20" s="1"/>
  <c r="B13" i="3"/>
  <c r="C11"/>
  <c r="C15" s="1"/>
  <c r="D10"/>
  <c r="B4" i="1"/>
  <c r="B3"/>
  <c r="B6" s="1"/>
  <c r="C25" i="2"/>
  <c r="C38"/>
  <c r="C44" s="1"/>
  <c r="C37"/>
  <c r="C13"/>
  <c r="C14"/>
  <c r="C15" s="1"/>
  <c r="J58" i="6" l="1"/>
  <c r="I58"/>
  <c r="J41"/>
  <c r="I41"/>
  <c r="J79"/>
  <c r="I79"/>
  <c r="J70"/>
  <c r="I70"/>
  <c r="J67"/>
  <c r="I67"/>
  <c r="J59"/>
  <c r="I59"/>
  <c r="J56"/>
  <c r="I56"/>
  <c r="J86"/>
  <c r="I86"/>
  <c r="J83"/>
  <c r="I83"/>
  <c r="J80"/>
  <c r="I80"/>
  <c r="J74"/>
  <c r="I74"/>
  <c r="J71"/>
  <c r="I71"/>
  <c r="J68"/>
  <c r="I68"/>
  <c r="J55"/>
  <c r="I55"/>
  <c r="J82"/>
  <c r="I82"/>
  <c r="J69"/>
  <c r="I69"/>
  <c r="J62"/>
  <c r="I62"/>
  <c r="J63"/>
  <c r="I63"/>
  <c r="J60"/>
  <c r="I60"/>
  <c r="J57"/>
  <c r="I57"/>
  <c r="J87"/>
  <c r="I87"/>
  <c r="J84"/>
  <c r="I84"/>
  <c r="J81"/>
  <c r="I81"/>
  <c r="J75"/>
  <c r="I75"/>
  <c r="J72"/>
  <c r="I72"/>
  <c r="G46"/>
  <c r="J54"/>
  <c r="I54"/>
  <c r="J64"/>
  <c r="I64"/>
  <c r="J61"/>
  <c r="I61"/>
  <c r="J78"/>
  <c r="I78"/>
  <c r="J88"/>
  <c r="I88"/>
  <c r="J85"/>
  <c r="I85"/>
  <c r="J66"/>
  <c r="I66"/>
  <c r="J76"/>
  <c r="I76"/>
  <c r="G50"/>
  <c r="G45"/>
  <c r="G42"/>
  <c r="J89"/>
  <c r="G98"/>
  <c r="G94"/>
  <c r="G90"/>
  <c r="G99"/>
  <c r="G95"/>
  <c r="G91"/>
  <c r="G100"/>
  <c r="G96"/>
  <c r="G92"/>
  <c r="G101"/>
  <c r="I101" s="1"/>
  <c r="G97"/>
  <c r="G93"/>
  <c r="G49"/>
  <c r="G29"/>
  <c r="G51"/>
  <c r="G43"/>
  <c r="G52"/>
  <c r="G44"/>
  <c r="G47"/>
  <c r="G48"/>
  <c r="B33" i="3"/>
  <c r="D13"/>
  <c r="D14" s="1"/>
  <c r="D15"/>
  <c r="C13"/>
  <c r="C14" s="1"/>
  <c r="B14"/>
  <c r="C39" i="2"/>
  <c r="C40" s="1"/>
  <c r="C41" s="1"/>
  <c r="C42" s="1"/>
  <c r="C45" s="1"/>
  <c r="C47" s="1"/>
  <c r="C16"/>
  <c r="C17" s="1"/>
  <c r="C19" s="1"/>
  <c r="G20" s="1"/>
  <c r="G21"/>
  <c r="C21"/>
  <c r="J45" i="6" l="1"/>
  <c r="I45"/>
  <c r="J47"/>
  <c r="I47"/>
  <c r="J97"/>
  <c r="I97"/>
  <c r="J90"/>
  <c r="I90"/>
  <c r="J42"/>
  <c r="I42"/>
  <c r="J44"/>
  <c r="I44"/>
  <c r="J29"/>
  <c r="I29"/>
  <c r="J94"/>
  <c r="I94"/>
  <c r="J51"/>
  <c r="I51"/>
  <c r="J100"/>
  <c r="I100"/>
  <c r="J48"/>
  <c r="I48"/>
  <c r="J43"/>
  <c r="I43"/>
  <c r="J93"/>
  <c r="I93"/>
  <c r="J96"/>
  <c r="I96"/>
  <c r="J99"/>
  <c r="I99"/>
  <c r="J46"/>
  <c r="I46"/>
  <c r="J91"/>
  <c r="I91"/>
  <c r="J52"/>
  <c r="I52"/>
  <c r="J49"/>
  <c r="I49"/>
  <c r="J92"/>
  <c r="I92"/>
  <c r="J95"/>
  <c r="I95"/>
  <c r="J98"/>
  <c r="I98"/>
  <c r="J50"/>
  <c r="I50"/>
  <c r="G110"/>
  <c r="J101"/>
  <c r="G109"/>
  <c r="G112"/>
  <c r="G102"/>
  <c r="G106"/>
  <c r="G105"/>
  <c r="G108"/>
  <c r="G111"/>
  <c r="G104"/>
  <c r="G107"/>
  <c r="G103"/>
  <c r="G113"/>
  <c r="I113" s="1"/>
  <c r="G37"/>
  <c r="G39"/>
  <c r="G34"/>
  <c r="G40"/>
  <c r="G35"/>
  <c r="G30"/>
  <c r="G36"/>
  <c r="G31"/>
  <c r="G17"/>
  <c r="G38"/>
  <c r="G32"/>
  <c r="G33"/>
  <c r="C48" i="2"/>
  <c r="C46"/>
  <c r="C43"/>
  <c r="C22"/>
  <c r="C24" s="1"/>
  <c r="C18"/>
  <c r="C20"/>
  <c r="J39" i="6" l="1"/>
  <c r="I39"/>
  <c r="J109"/>
  <c r="I109"/>
  <c r="J108"/>
  <c r="I108"/>
  <c r="J30"/>
  <c r="I30"/>
  <c r="J105"/>
  <c r="I105"/>
  <c r="J32"/>
  <c r="I32"/>
  <c r="J36"/>
  <c r="I36"/>
  <c r="J34"/>
  <c r="I34"/>
  <c r="J103"/>
  <c r="I103"/>
  <c r="J112"/>
  <c r="I112"/>
  <c r="J33"/>
  <c r="I33"/>
  <c r="J40"/>
  <c r="I40"/>
  <c r="J111"/>
  <c r="I111"/>
  <c r="J102"/>
  <c r="I102"/>
  <c r="J110"/>
  <c r="I110"/>
  <c r="J38"/>
  <c r="I38"/>
  <c r="J107"/>
  <c r="I107"/>
  <c r="J31"/>
  <c r="I31"/>
  <c r="J17"/>
  <c r="I17"/>
  <c r="J35"/>
  <c r="I35"/>
  <c r="J37"/>
  <c r="I37"/>
  <c r="J104"/>
  <c r="I104"/>
  <c r="J106"/>
  <c r="I106"/>
  <c r="J113"/>
  <c r="G122"/>
  <c r="G118"/>
  <c r="G114"/>
  <c r="G123"/>
  <c r="G119"/>
  <c r="G115"/>
  <c r="G124"/>
  <c r="G120"/>
  <c r="G116"/>
  <c r="G125"/>
  <c r="I125" s="1"/>
  <c r="G121"/>
  <c r="G117"/>
  <c r="G25"/>
  <c r="G24"/>
  <c r="G19"/>
  <c r="G26"/>
  <c r="G20"/>
  <c r="G5"/>
  <c r="G27"/>
  <c r="G22"/>
  <c r="G28"/>
  <c r="G23"/>
  <c r="G18"/>
  <c r="G21"/>
  <c r="C23" i="2"/>
  <c r="E10" i="3"/>
  <c r="E13"/>
  <c r="J5" i="6" l="1"/>
  <c r="I5"/>
  <c r="J115"/>
  <c r="I115"/>
  <c r="J26"/>
  <c r="I26"/>
  <c r="J23"/>
  <c r="I23"/>
  <c r="J24"/>
  <c r="I24"/>
  <c r="J118"/>
  <c r="I118"/>
  <c r="J18"/>
  <c r="I18"/>
  <c r="J27"/>
  <c r="I27"/>
  <c r="J19"/>
  <c r="I19"/>
  <c r="J121"/>
  <c r="I121"/>
  <c r="J124"/>
  <c r="I124"/>
  <c r="J114"/>
  <c r="I114"/>
  <c r="J21"/>
  <c r="I21"/>
  <c r="J22"/>
  <c r="I22"/>
  <c r="J117"/>
  <c r="I117"/>
  <c r="J120"/>
  <c r="I120"/>
  <c r="J123"/>
  <c r="I123"/>
  <c r="J28"/>
  <c r="I28"/>
  <c r="J20"/>
  <c r="I20"/>
  <c r="J25"/>
  <c r="I25"/>
  <c r="J116"/>
  <c r="I116"/>
  <c r="J119"/>
  <c r="I119"/>
  <c r="J122"/>
  <c r="I122"/>
  <c r="G134"/>
  <c r="J125"/>
  <c r="G135"/>
  <c r="G136"/>
  <c r="G128"/>
  <c r="G126"/>
  <c r="G131"/>
  <c r="G132"/>
  <c r="G127"/>
  <c r="G130"/>
  <c r="G133"/>
  <c r="G129"/>
  <c r="G13"/>
  <c r="G12"/>
  <c r="G7"/>
  <c r="G14"/>
  <c r="G8"/>
  <c r="G15"/>
  <c r="G10"/>
  <c r="G16"/>
  <c r="G11"/>
  <c r="G6"/>
  <c r="G9"/>
  <c r="E15" i="3"/>
  <c r="E11"/>
  <c r="E31"/>
  <c r="E33" s="1"/>
  <c r="J9" i="6" l="1"/>
  <c r="I9"/>
  <c r="J131"/>
  <c r="I131"/>
  <c r="J136"/>
  <c r="I136"/>
  <c r="J7"/>
  <c r="I7"/>
  <c r="J133"/>
  <c r="I133"/>
  <c r="J14"/>
  <c r="I14"/>
  <c r="J132"/>
  <c r="I132"/>
  <c r="J11"/>
  <c r="I11"/>
  <c r="J8"/>
  <c r="I8"/>
  <c r="J13"/>
  <c r="I13"/>
  <c r="J127"/>
  <c r="I127"/>
  <c r="J128"/>
  <c r="I128"/>
  <c r="J134"/>
  <c r="I134"/>
  <c r="J10"/>
  <c r="I10"/>
  <c r="J135"/>
  <c r="I135"/>
  <c r="J16"/>
  <c r="I16"/>
  <c r="J129"/>
  <c r="I129"/>
  <c r="J6"/>
  <c r="I6"/>
  <c r="J15"/>
  <c r="I15"/>
  <c r="J12"/>
  <c r="I12"/>
  <c r="J130"/>
  <c r="I130"/>
  <c r="J126"/>
  <c r="I126"/>
</calcChain>
</file>

<file path=xl/sharedStrings.xml><?xml version="1.0" encoding="utf-8"?>
<sst xmlns="http://schemas.openxmlformats.org/spreadsheetml/2006/main" count="387" uniqueCount="120">
  <si>
    <t>R</t>
  </si>
  <si>
    <t>L</t>
  </si>
  <si>
    <t>C</t>
  </si>
  <si>
    <t>f</t>
  </si>
  <si>
    <t>T</t>
  </si>
  <si>
    <t>Q</t>
  </si>
  <si>
    <t>ζ</t>
  </si>
  <si>
    <r>
      <t>ω</t>
    </r>
    <r>
      <rPr>
        <vertAlign val="subscript"/>
        <sz val="11"/>
        <color theme="1"/>
        <rFont val="Verdana"/>
        <family val="2"/>
      </rPr>
      <t>0</t>
    </r>
  </si>
  <si>
    <t>H</t>
  </si>
  <si>
    <t>F</t>
  </si>
  <si>
    <t>s</t>
  </si>
  <si>
    <t>Ω</t>
  </si>
  <si>
    <t>RLC Circuit</t>
  </si>
  <si>
    <t>rad/s</t>
  </si>
  <si>
    <t>Hz (rev/s)</t>
  </si>
  <si>
    <r>
      <t>R</t>
    </r>
    <r>
      <rPr>
        <vertAlign val="subscript"/>
        <sz val="11"/>
        <color theme="1"/>
        <rFont val="Verdana"/>
        <family val="2"/>
      </rPr>
      <t>1</t>
    </r>
  </si>
  <si>
    <r>
      <t>R</t>
    </r>
    <r>
      <rPr>
        <vertAlign val="subscript"/>
        <sz val="11"/>
        <color theme="1"/>
        <rFont val="Verdana"/>
        <family val="2"/>
      </rPr>
      <t>2</t>
    </r>
  </si>
  <si>
    <r>
      <t>R</t>
    </r>
    <r>
      <rPr>
        <vertAlign val="subscript"/>
        <sz val="11"/>
        <color theme="1"/>
        <rFont val="Verdana"/>
        <family val="2"/>
      </rPr>
      <t>C</t>
    </r>
  </si>
  <si>
    <r>
      <t>R</t>
    </r>
    <r>
      <rPr>
        <vertAlign val="subscript"/>
        <sz val="11"/>
        <color theme="1"/>
        <rFont val="Verdana"/>
        <family val="2"/>
      </rPr>
      <t>E</t>
    </r>
  </si>
  <si>
    <r>
      <t>V</t>
    </r>
    <r>
      <rPr>
        <vertAlign val="subscript"/>
        <sz val="11"/>
        <color theme="1"/>
        <rFont val="Verdana"/>
        <family val="2"/>
      </rPr>
      <t>CC</t>
    </r>
  </si>
  <si>
    <t>V</t>
  </si>
  <si>
    <r>
      <t>V</t>
    </r>
    <r>
      <rPr>
        <vertAlign val="subscript"/>
        <sz val="11"/>
        <color theme="1"/>
        <rFont val="Verdana"/>
        <family val="2"/>
      </rPr>
      <t>B</t>
    </r>
  </si>
  <si>
    <r>
      <t>I</t>
    </r>
    <r>
      <rPr>
        <vertAlign val="subscript"/>
        <sz val="11"/>
        <color theme="1"/>
        <rFont val="Verdana"/>
        <family val="2"/>
      </rPr>
      <t>E</t>
    </r>
  </si>
  <si>
    <r>
      <t>I</t>
    </r>
    <r>
      <rPr>
        <vertAlign val="subscript"/>
        <sz val="11"/>
        <color theme="1"/>
        <rFont val="Verdana"/>
        <family val="2"/>
      </rPr>
      <t>B</t>
    </r>
  </si>
  <si>
    <t>A</t>
  </si>
  <si>
    <r>
      <t>I</t>
    </r>
    <r>
      <rPr>
        <vertAlign val="subscript"/>
        <sz val="11"/>
        <color theme="1"/>
        <rFont val="Verdana"/>
        <family val="2"/>
      </rPr>
      <t>1</t>
    </r>
  </si>
  <si>
    <r>
      <t>I</t>
    </r>
    <r>
      <rPr>
        <vertAlign val="subscript"/>
        <sz val="11"/>
        <color theme="1"/>
        <rFont val="Verdana"/>
        <family val="2"/>
      </rPr>
      <t>2</t>
    </r>
  </si>
  <si>
    <r>
      <t>V</t>
    </r>
    <r>
      <rPr>
        <vertAlign val="subscript"/>
        <sz val="11"/>
        <color theme="1"/>
        <rFont val="Verdana"/>
        <family val="2"/>
      </rPr>
      <t>E</t>
    </r>
  </si>
  <si>
    <r>
      <t>h</t>
    </r>
    <r>
      <rPr>
        <vertAlign val="subscript"/>
        <sz val="11"/>
        <color theme="1"/>
        <rFont val="Verdana"/>
        <family val="2"/>
      </rPr>
      <t>FE</t>
    </r>
    <r>
      <rPr>
        <sz val="11"/>
        <color theme="1"/>
        <rFont val="Verdana"/>
        <family val="2"/>
      </rPr>
      <t xml:space="preserve"> (β)</t>
    </r>
  </si>
  <si>
    <r>
      <t>A</t>
    </r>
    <r>
      <rPr>
        <vertAlign val="subscript"/>
        <sz val="11"/>
        <color theme="1"/>
        <rFont val="Verdana"/>
        <family val="2"/>
      </rPr>
      <t>V</t>
    </r>
  </si>
  <si>
    <r>
      <t>V</t>
    </r>
    <r>
      <rPr>
        <vertAlign val="subscript"/>
        <sz val="11"/>
        <color theme="1"/>
        <rFont val="Verdana"/>
        <family val="2"/>
      </rPr>
      <t>BE</t>
    </r>
  </si>
  <si>
    <r>
      <t>R</t>
    </r>
    <r>
      <rPr>
        <vertAlign val="subscript"/>
        <sz val="11"/>
        <color theme="1"/>
        <rFont val="Verdana"/>
        <family val="2"/>
      </rPr>
      <t>B</t>
    </r>
  </si>
  <si>
    <r>
      <t>Common Emitter Amplifier</t>
    </r>
    <r>
      <rPr>
        <b/>
        <sz val="11"/>
        <color theme="1"/>
        <rFont val="Verdana"/>
        <family val="2"/>
      </rPr>
      <t>, degenerated</t>
    </r>
  </si>
  <si>
    <r>
      <t>I</t>
    </r>
    <r>
      <rPr>
        <b/>
        <vertAlign val="subscript"/>
        <sz val="11"/>
        <color theme="1"/>
        <rFont val="Verdana"/>
        <family val="2"/>
      </rPr>
      <t>C</t>
    </r>
  </si>
  <si>
    <r>
      <t>V</t>
    </r>
    <r>
      <rPr>
        <b/>
        <vertAlign val="subscript"/>
        <sz val="11"/>
        <color theme="1"/>
        <rFont val="Verdana"/>
        <family val="2"/>
      </rPr>
      <t>C</t>
    </r>
  </si>
  <si>
    <r>
      <t>V</t>
    </r>
    <r>
      <rPr>
        <vertAlign val="subscript"/>
        <sz val="9"/>
        <color theme="1"/>
        <rFont val="Verdana"/>
        <family val="2"/>
      </rPr>
      <t>E</t>
    </r>
  </si>
  <si>
    <r>
      <t>I</t>
    </r>
    <r>
      <rPr>
        <vertAlign val="subscript"/>
        <sz val="9"/>
        <color theme="1"/>
        <rFont val="Verdana"/>
        <family val="2"/>
      </rPr>
      <t>E</t>
    </r>
  </si>
  <si>
    <r>
      <t>r</t>
    </r>
    <r>
      <rPr>
        <vertAlign val="subscript"/>
        <sz val="11"/>
        <color theme="1"/>
        <rFont val="Verdana"/>
        <family val="2"/>
      </rPr>
      <t>in</t>
    </r>
  </si>
  <si>
    <r>
      <t>R</t>
    </r>
    <r>
      <rPr>
        <vertAlign val="subscript"/>
        <sz val="11"/>
        <color theme="1"/>
        <rFont val="Verdana"/>
        <family val="2"/>
      </rPr>
      <t>e</t>
    </r>
  </si>
  <si>
    <r>
      <t>r</t>
    </r>
    <r>
      <rPr>
        <vertAlign val="subscript"/>
        <sz val="11"/>
        <color theme="1"/>
        <rFont val="Verdana"/>
        <family val="2"/>
      </rPr>
      <t>out</t>
    </r>
  </si>
  <si>
    <r>
      <t>Common Collector Amplifier</t>
    </r>
    <r>
      <rPr>
        <b/>
        <sz val="11"/>
        <color theme="1"/>
        <rFont val="Verdana"/>
        <family val="2"/>
      </rPr>
      <t xml:space="preserve"> / Emitter Follower</t>
    </r>
  </si>
  <si>
    <r>
      <t>V</t>
    </r>
    <r>
      <rPr>
        <b/>
        <vertAlign val="subscript"/>
        <sz val="11"/>
        <color theme="1"/>
        <rFont val="Verdana"/>
        <family val="2"/>
      </rPr>
      <t>E</t>
    </r>
  </si>
  <si>
    <r>
      <t>V</t>
    </r>
    <r>
      <rPr>
        <vertAlign val="subscript"/>
        <sz val="11"/>
        <color theme="1"/>
        <rFont val="Verdana"/>
        <family val="2"/>
      </rPr>
      <t>in</t>
    </r>
  </si>
  <si>
    <r>
      <t>V</t>
    </r>
    <r>
      <rPr>
        <vertAlign val="subscript"/>
        <sz val="11"/>
        <color theme="1"/>
        <rFont val="Verdana"/>
        <family val="2"/>
      </rPr>
      <t>out</t>
    </r>
  </si>
  <si>
    <r>
      <t>R</t>
    </r>
    <r>
      <rPr>
        <vertAlign val="subscript"/>
        <sz val="11"/>
        <color theme="1"/>
        <rFont val="Verdana"/>
        <family val="2"/>
      </rPr>
      <t>out</t>
    </r>
  </si>
  <si>
    <t>Voltage Divider</t>
  </si>
  <si>
    <t>Bypass Capacitor</t>
  </si>
  <si>
    <t>Z</t>
  </si>
  <si>
    <t>I</t>
  </si>
  <si>
    <t>P</t>
  </si>
  <si>
    <t>W</t>
  </si>
  <si>
    <t>Ohm's Law</t>
  </si>
  <si>
    <t>Capacitor Impedance</t>
  </si>
  <si>
    <t>Inductor Impedance</t>
  </si>
  <si>
    <r>
      <t>R</t>
    </r>
    <r>
      <rPr>
        <vertAlign val="subscript"/>
        <sz val="11"/>
        <color theme="1"/>
        <rFont val="Verdana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</si>
  <si>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R</t>
    </r>
    <r>
      <rPr>
        <vertAlign val="subscript"/>
        <sz val="11"/>
        <color theme="1"/>
        <rFont val="Verdana"/>
        <family val="2"/>
      </rPr>
      <t>4</t>
    </r>
    <r>
      <rPr>
        <sz val="11"/>
        <color theme="1"/>
        <rFont val="Calibri"/>
        <family val="2"/>
        <scheme val="minor"/>
      </rPr>
      <t/>
    </r>
  </si>
  <si>
    <t>Parallel</t>
  </si>
  <si>
    <r>
      <t>ω</t>
    </r>
    <r>
      <rPr>
        <vertAlign val="subscript"/>
        <sz val="11"/>
        <color theme="1"/>
        <rFont val="Verdana"/>
        <family val="2"/>
      </rPr>
      <t>3dB</t>
    </r>
  </si>
  <si>
    <r>
      <t>f</t>
    </r>
    <r>
      <rPr>
        <vertAlign val="subscript"/>
        <sz val="11"/>
        <color theme="1"/>
        <rFont val="Verdana"/>
        <family val="2"/>
      </rPr>
      <t>3dB</t>
    </r>
  </si>
  <si>
    <t>Σ</t>
  </si>
  <si>
    <t>τ</t>
  </si>
  <si>
    <t>ω</t>
  </si>
  <si>
    <t>Filter</t>
  </si>
  <si>
    <r>
      <t>P</t>
    </r>
    <r>
      <rPr>
        <vertAlign val="subscript"/>
        <sz val="11"/>
        <color theme="1"/>
        <rFont val="Verdana"/>
        <family val="2"/>
      </rPr>
      <t>in</t>
    </r>
  </si>
  <si>
    <r>
      <t>P</t>
    </r>
    <r>
      <rPr>
        <vertAlign val="subscript"/>
        <sz val="11"/>
        <color theme="1"/>
        <rFont val="Verdana"/>
        <family val="2"/>
      </rPr>
      <t>out</t>
    </r>
  </si>
  <si>
    <r>
      <t>I</t>
    </r>
    <r>
      <rPr>
        <vertAlign val="subscript"/>
        <sz val="11"/>
        <color theme="1"/>
        <rFont val="Verdana"/>
        <family val="2"/>
      </rPr>
      <t>out max</t>
    </r>
  </si>
  <si>
    <r>
      <t>R</t>
    </r>
    <r>
      <rPr>
        <vertAlign val="subscript"/>
        <sz val="11"/>
        <color theme="1"/>
        <rFont val="Verdana"/>
        <family val="2"/>
      </rPr>
      <t>L</t>
    </r>
  </si>
  <si>
    <r>
      <t>Voltage Divider</t>
    </r>
    <r>
      <rPr>
        <sz val="12"/>
        <color theme="1"/>
        <rFont val="Verdana"/>
        <family val="2"/>
      </rPr>
      <t>, loaded</t>
    </r>
  </si>
  <si>
    <r>
      <t>R</t>
    </r>
    <r>
      <rPr>
        <vertAlign val="subscript"/>
        <sz val="11"/>
        <color theme="1"/>
        <rFont val="Verdana"/>
        <family val="2"/>
      </rPr>
      <t>2||L</t>
    </r>
  </si>
  <si>
    <r>
      <t>I</t>
    </r>
    <r>
      <rPr>
        <vertAlign val="subscript"/>
        <sz val="11"/>
        <color theme="1"/>
        <rFont val="Verdana"/>
        <family val="2"/>
      </rPr>
      <t>L</t>
    </r>
  </si>
  <si>
    <t>Eff</t>
  </si>
  <si>
    <t>N</t>
  </si>
  <si>
    <r>
      <t>μ</t>
    </r>
    <r>
      <rPr>
        <vertAlign val="subscript"/>
        <sz val="11"/>
        <color theme="1"/>
        <rFont val="Verdana"/>
        <family val="2"/>
      </rPr>
      <t>0</t>
    </r>
  </si>
  <si>
    <t>turns</t>
  </si>
  <si>
    <t>m</t>
  </si>
  <si>
    <r>
      <t>m</t>
    </r>
    <r>
      <rPr>
        <vertAlign val="superscript"/>
        <sz val="11"/>
        <color theme="1"/>
        <rFont val="Verdana"/>
        <family val="2"/>
      </rPr>
      <t>2</t>
    </r>
  </si>
  <si>
    <r>
      <t>μ</t>
    </r>
    <r>
      <rPr>
        <vertAlign val="subscript"/>
        <sz val="11"/>
        <color theme="1"/>
        <rFont val="Verdana"/>
        <family val="2"/>
      </rPr>
      <t>r</t>
    </r>
  </si>
  <si>
    <t>r</t>
  </si>
  <si>
    <t>ℓ</t>
  </si>
  <si>
    <t>ρ</t>
  </si>
  <si>
    <t>Ωm</t>
  </si>
  <si>
    <t>l</t>
  </si>
  <si>
    <t>Resistance of Wire</t>
  </si>
  <si>
    <t>Inductivity of Coil</t>
  </si>
  <si>
    <t>c</t>
  </si>
  <si>
    <t>C#</t>
  </si>
  <si>
    <t>D</t>
  </si>
  <si>
    <t>D#</t>
  </si>
  <si>
    <t>E</t>
  </si>
  <si>
    <t>F#</t>
  </si>
  <si>
    <t>G</t>
  </si>
  <si>
    <t>G#</t>
  </si>
  <si>
    <t>Piano</t>
  </si>
  <si>
    <t>A#</t>
  </si>
  <si>
    <t>B</t>
  </si>
  <si>
    <t>Bass</t>
  </si>
  <si>
    <t>Chello</t>
  </si>
  <si>
    <t>Guitar</t>
  </si>
  <si>
    <t>Violin</t>
  </si>
  <si>
    <t>Recorder</t>
  </si>
  <si>
    <t>Music Notes</t>
  </si>
  <si>
    <t>Name</t>
  </si>
  <si>
    <t>Octave</t>
  </si>
  <si>
    <t>Half Step</t>
  </si>
  <si>
    <t>Bass Voice</t>
  </si>
  <si>
    <t>Viola, Tenor Voice</t>
  </si>
  <si>
    <t>Soprano Voice</t>
  </si>
  <si>
    <r>
      <t>Note</t>
    </r>
    <r>
      <rPr>
        <vertAlign val="subscript"/>
        <sz val="11"/>
        <color theme="1"/>
        <rFont val="Verdana"/>
        <family val="2"/>
      </rPr>
      <t>3dB</t>
    </r>
  </si>
  <si>
    <t>Contrabassoon</t>
  </si>
  <si>
    <t>Contrabass Tuba</t>
  </si>
  <si>
    <t>Organ (64 foot C),Hyperbass Flute</t>
  </si>
  <si>
    <t>Bassoon</t>
  </si>
  <si>
    <t>Tuba</t>
  </si>
  <si>
    <t>5 String Bass</t>
  </si>
  <si>
    <t>f (Hz)</t>
  </si>
  <si>
    <t>T (s)</t>
  </si>
  <si>
    <t>λ (m)</t>
  </si>
  <si>
    <t>Spoken Voice, male</t>
  </si>
  <si>
    <t>Spoken Voice, female</t>
  </si>
  <si>
    <t>Tuning Fork</t>
  </si>
</sst>
</file>

<file path=xl/styles.xml><?xml version="1.0" encoding="utf-8"?>
<styleSheet xmlns="http://schemas.openxmlformats.org/spreadsheetml/2006/main">
  <numFmts count="4">
    <numFmt numFmtId="164" formatCode="#,##0.000\ 000\ 000"/>
    <numFmt numFmtId="165" formatCode="#,##0.000\ 000"/>
    <numFmt numFmtId="166" formatCode="#,##0.000000000"/>
    <numFmt numFmtId="167" formatCode="#,##0.000"/>
  </numFmts>
  <fonts count="2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theme="1"/>
      <name val="Verdana"/>
      <family val="2"/>
    </font>
    <font>
      <vertAlign val="subscript"/>
      <sz val="11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Verdana"/>
      <family val="2"/>
    </font>
    <font>
      <b/>
      <vertAlign val="subscript"/>
      <sz val="11"/>
      <color theme="1"/>
      <name val="Verdana"/>
      <family val="2"/>
    </font>
    <font>
      <sz val="9"/>
      <color theme="1"/>
      <name val="Verdana"/>
      <family val="2"/>
    </font>
    <font>
      <vertAlign val="subscript"/>
      <sz val="9"/>
      <color theme="1"/>
      <name val="Verdana"/>
      <family val="2"/>
    </font>
    <font>
      <sz val="12"/>
      <color theme="1"/>
      <name val="Verdana"/>
      <family val="2"/>
    </font>
    <font>
      <vertAlign val="superscript"/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1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</cellStyleXfs>
  <cellXfs count="47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 vertical="center"/>
    </xf>
    <xf numFmtId="0" fontId="17" fillId="0" borderId="0" xfId="0" applyFont="1"/>
    <xf numFmtId="164" fontId="15" fillId="9" borderId="0" xfId="0" applyNumberFormat="1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8" fillId="0" borderId="0" xfId="0" applyFont="1"/>
    <xf numFmtId="3" fontId="15" fillId="9" borderId="0" xfId="0" applyNumberFormat="1" applyFont="1" applyFill="1"/>
    <xf numFmtId="4" fontId="15" fillId="0" borderId="0" xfId="0" applyNumberFormat="1" applyFont="1"/>
    <xf numFmtId="0" fontId="20" fillId="0" borderId="0" xfId="0" applyFont="1"/>
    <xf numFmtId="165" fontId="20" fillId="0" borderId="0" xfId="0" applyNumberFormat="1" applyFont="1"/>
    <xf numFmtId="0" fontId="17" fillId="0" borderId="0" xfId="0" applyFont="1" applyAlignment="1">
      <alignment vertical="top"/>
    </xf>
    <xf numFmtId="164" fontId="15" fillId="0" borderId="0" xfId="0" applyNumberFormat="1" applyFont="1" applyAlignment="1">
      <alignment horizontal="right"/>
    </xf>
    <xf numFmtId="164" fontId="15" fillId="9" borderId="2" xfId="0" applyNumberFormat="1" applyFont="1" applyFill="1" applyBorder="1"/>
    <xf numFmtId="166" fontId="15" fillId="0" borderId="0" xfId="0" applyNumberFormat="1" applyFont="1"/>
    <xf numFmtId="10" fontId="15" fillId="0" borderId="0" xfId="0" applyNumberFormat="1" applyFont="1"/>
    <xf numFmtId="0" fontId="0" fillId="0" borderId="3" xfId="0" applyBorder="1"/>
    <xf numFmtId="0" fontId="0" fillId="1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4" fillId="0" borderId="0" xfId="0" applyFont="1"/>
    <xf numFmtId="4" fontId="24" fillId="0" borderId="0" xfId="0" applyNumberFormat="1" applyFont="1"/>
    <xf numFmtId="0" fontId="24" fillId="11" borderId="0" xfId="0" applyFont="1" applyFill="1"/>
    <xf numFmtId="4" fontId="24" fillId="11" borderId="0" xfId="0" applyNumberFormat="1" applyFont="1" applyFill="1"/>
    <xf numFmtId="0" fontId="24" fillId="13" borderId="0" xfId="0" applyFont="1" applyFill="1"/>
    <xf numFmtId="4" fontId="25" fillId="13" borderId="0" xfId="0" applyNumberFormat="1" applyFont="1" applyFill="1"/>
    <xf numFmtId="0" fontId="26" fillId="0" borderId="0" xfId="0" applyFont="1" applyBorder="1" applyAlignment="1">
      <alignment textRotation="45"/>
    </xf>
    <xf numFmtId="0" fontId="25" fillId="0" borderId="0" xfId="0" applyFont="1" applyBorder="1" applyAlignment="1">
      <alignment textRotation="45"/>
    </xf>
    <xf numFmtId="0" fontId="25" fillId="0" borderId="0" xfId="0" applyFont="1" applyBorder="1" applyAlignment="1">
      <alignment horizontal="center" textRotation="45"/>
    </xf>
    <xf numFmtId="0" fontId="25" fillId="0" borderId="0" xfId="0" applyFont="1" applyBorder="1" applyAlignment="1">
      <alignment vertical="center" textRotation="45"/>
    </xf>
    <xf numFmtId="4" fontId="24" fillId="9" borderId="0" xfId="0" applyNumberFormat="1" applyFont="1" applyFill="1"/>
    <xf numFmtId="167" fontId="24" fillId="0" borderId="0" xfId="0" applyNumberFormat="1" applyFont="1"/>
    <xf numFmtId="167" fontId="15" fillId="0" borderId="0" xfId="0" applyNumberFormat="1" applyFont="1"/>
    <xf numFmtId="167" fontId="24" fillId="9" borderId="0" xfId="0" applyNumberFormat="1" applyFont="1" applyFill="1"/>
    <xf numFmtId="0" fontId="25" fillId="0" borderId="0" xfId="0" applyFont="1" applyAlignment="1">
      <alignment horizontal="center"/>
    </xf>
    <xf numFmtId="165" fontId="24" fillId="0" borderId="0" xfId="0" applyNumberFormat="1" applyFont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7</xdr:row>
      <xdr:rowOff>9525</xdr:rowOff>
    </xdr:from>
    <xdr:to>
      <xdr:col>2</xdr:col>
      <xdr:colOff>228600</xdr:colOff>
      <xdr:row>7</xdr:row>
      <xdr:rowOff>2616844</xdr:rowOff>
    </xdr:to>
    <xdr:pic>
      <xdr:nvPicPr>
        <xdr:cNvPr id="3" name="Picture 2" descr="voltage-divider-main-circui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2450" y="1447800"/>
          <a:ext cx="2219325" cy="2607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533775" y="3152775"/>
    <xdr:ext cx="1585468" cy="1596643"/>
    <xdr:pic>
      <xdr:nvPicPr>
        <xdr:cNvPr id="4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3533775" y="3152775"/>
          <a:ext cx="1585468" cy="1596643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3</xdr:row>
      <xdr:rowOff>38100</xdr:rowOff>
    </xdr:from>
    <xdr:to>
      <xdr:col>7</xdr:col>
      <xdr:colOff>354862</xdr:colOff>
      <xdr:row>17</xdr:row>
      <xdr:rowOff>134271</xdr:rowOff>
    </xdr:to>
    <xdr:pic>
      <xdr:nvPicPr>
        <xdr:cNvPr id="5" name="Picture 4" descr="Tran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14775" y="514350"/>
          <a:ext cx="1783612" cy="308702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29</xdr:row>
      <xdr:rowOff>0</xdr:rowOff>
    </xdr:from>
    <xdr:to>
      <xdr:col>7</xdr:col>
      <xdr:colOff>104775</xdr:colOff>
      <xdr:row>40</xdr:row>
      <xdr:rowOff>9525</xdr:rowOff>
    </xdr:to>
    <xdr:pic>
      <xdr:nvPicPr>
        <xdr:cNvPr id="6" name="Picture 5" descr="coll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95725" y="5924550"/>
          <a:ext cx="1552575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selection activeCell="C13" sqref="C13"/>
    </sheetView>
  </sheetViews>
  <sheetFormatPr defaultRowHeight="14.25"/>
  <cols>
    <col min="1" max="1" width="7.5" style="1" customWidth="1"/>
    <col min="2" max="5" width="25.875" style="1" customWidth="1"/>
    <col min="6" max="9" width="9" style="1"/>
    <col min="10" max="10" width="20.75" style="1" customWidth="1"/>
    <col min="11" max="11" width="21.25" style="1" customWidth="1"/>
    <col min="12" max="12" width="18.375" style="1" customWidth="1"/>
    <col min="13" max="13" width="19.25" style="1" customWidth="1"/>
    <col min="14" max="16384" width="9" style="1"/>
  </cols>
  <sheetData>
    <row r="1" spans="1:6" ht="23.25" customHeight="1">
      <c r="A1" s="12" t="s">
        <v>51</v>
      </c>
    </row>
    <row r="2" spans="1:6">
      <c r="A2" s="1" t="s">
        <v>20</v>
      </c>
      <c r="B2" s="4">
        <v>8</v>
      </c>
      <c r="C2" s="5">
        <f>C3*C4</f>
        <v>8</v>
      </c>
      <c r="D2" s="4">
        <v>8</v>
      </c>
      <c r="E2" s="4">
        <v>8</v>
      </c>
      <c r="F2" s="2" t="s">
        <v>20</v>
      </c>
    </row>
    <row r="3" spans="1:6">
      <c r="A3" s="1" t="s">
        <v>0</v>
      </c>
      <c r="B3" s="4">
        <v>2</v>
      </c>
      <c r="C3" s="4">
        <v>2</v>
      </c>
      <c r="D3" s="5">
        <f>D2/D4</f>
        <v>2</v>
      </c>
      <c r="E3" s="5">
        <f>E2^2/E5</f>
        <v>2</v>
      </c>
      <c r="F3" s="2" t="s">
        <v>11</v>
      </c>
    </row>
    <row r="4" spans="1:6">
      <c r="A4" s="1" t="s">
        <v>48</v>
      </c>
      <c r="B4" s="5">
        <f>B2/B3</f>
        <v>4</v>
      </c>
      <c r="C4" s="4">
        <v>4</v>
      </c>
      <c r="D4" s="4">
        <v>4</v>
      </c>
      <c r="E4" s="5">
        <f>E2/E3</f>
        <v>4</v>
      </c>
      <c r="F4" s="2" t="s">
        <v>24</v>
      </c>
    </row>
    <row r="5" spans="1:6">
      <c r="A5" s="1" t="s">
        <v>49</v>
      </c>
      <c r="B5" s="5">
        <f>B2*B4</f>
        <v>32</v>
      </c>
      <c r="C5" s="5">
        <f t="shared" ref="C5:D5" si="0">C2*C4</f>
        <v>32</v>
      </c>
      <c r="D5" s="5">
        <f t="shared" si="0"/>
        <v>32</v>
      </c>
      <c r="E5" s="4">
        <v>32</v>
      </c>
      <c r="F5" s="2" t="s">
        <v>50</v>
      </c>
    </row>
    <row r="6" spans="1:6" ht="8.25" customHeight="1"/>
    <row r="7" spans="1:6" ht="24.75" customHeight="1">
      <c r="A7" s="12" t="s">
        <v>45</v>
      </c>
    </row>
    <row r="8" spans="1:6" ht="209.25" customHeight="1"/>
    <row r="9" spans="1:6" ht="17.25">
      <c r="A9" s="1" t="s">
        <v>42</v>
      </c>
      <c r="B9" s="4">
        <v>9</v>
      </c>
      <c r="C9" s="4">
        <v>9</v>
      </c>
      <c r="D9" s="4">
        <v>9</v>
      </c>
      <c r="E9" s="4">
        <v>9</v>
      </c>
      <c r="F9" s="2" t="s">
        <v>20</v>
      </c>
    </row>
    <row r="10" spans="1:6" ht="17.25">
      <c r="A10" s="1" t="s">
        <v>15</v>
      </c>
      <c r="B10" s="4">
        <v>3</v>
      </c>
      <c r="C10" s="4">
        <v>3</v>
      </c>
      <c r="D10" s="5">
        <f>D11*(D9-D12)/D12</f>
        <v>3</v>
      </c>
      <c r="E10" s="5">
        <f>E13*E9/E12</f>
        <v>3</v>
      </c>
      <c r="F10" s="2" t="s">
        <v>11</v>
      </c>
    </row>
    <row r="11" spans="1:6" ht="17.25">
      <c r="A11" s="1" t="s">
        <v>16</v>
      </c>
      <c r="B11" s="4">
        <v>6</v>
      </c>
      <c r="C11" s="5">
        <f>C12*C10/(C9-C12)</f>
        <v>6</v>
      </c>
      <c r="D11" s="4">
        <v>6</v>
      </c>
      <c r="E11" s="5">
        <f>-E13*E9/(E12-E9)</f>
        <v>6</v>
      </c>
      <c r="F11" s="2" t="s">
        <v>11</v>
      </c>
    </row>
    <row r="12" spans="1:6" ht="17.25">
      <c r="A12" s="1" t="s">
        <v>43</v>
      </c>
      <c r="B12" s="5">
        <f>B9*B11/(B10+B11)</f>
        <v>6</v>
      </c>
      <c r="C12" s="4">
        <v>6</v>
      </c>
      <c r="D12" s="4">
        <v>6</v>
      </c>
      <c r="E12" s="4">
        <v>6</v>
      </c>
      <c r="F12" s="2" t="s">
        <v>20</v>
      </c>
    </row>
    <row r="13" spans="1:6" ht="17.25">
      <c r="A13" s="1" t="s">
        <v>44</v>
      </c>
      <c r="B13" s="5">
        <f>B10*B11/(B10+B11)</f>
        <v>2</v>
      </c>
      <c r="C13" s="5">
        <f>C10*C11/(C10+C11)</f>
        <v>2</v>
      </c>
      <c r="D13" s="5">
        <f>D10*D11/(D10+D11)</f>
        <v>2</v>
      </c>
      <c r="E13" s="5">
        <f>E12/E14</f>
        <v>2</v>
      </c>
      <c r="F13" s="2" t="s">
        <v>11</v>
      </c>
    </row>
    <row r="14" spans="1:6" ht="17.25">
      <c r="A14" s="1" t="s">
        <v>65</v>
      </c>
      <c r="B14" s="5">
        <f>B12/B13</f>
        <v>3</v>
      </c>
      <c r="C14" s="5">
        <f>C12/C13</f>
        <v>3</v>
      </c>
      <c r="D14" s="5">
        <f>D12/D13</f>
        <v>3</v>
      </c>
      <c r="E14" s="4">
        <v>3</v>
      </c>
      <c r="F14" s="2" t="s">
        <v>24</v>
      </c>
    </row>
    <row r="15" spans="1:6" ht="17.25">
      <c r="A15" s="1" t="s">
        <v>63</v>
      </c>
      <c r="B15" s="5">
        <f>B9^2/(B10+B11)</f>
        <v>9</v>
      </c>
      <c r="C15" s="5">
        <f t="shared" ref="C15:E15" si="1">C9^2/(C10+C11)</f>
        <v>9</v>
      </c>
      <c r="D15" s="5">
        <f t="shared" si="1"/>
        <v>9</v>
      </c>
      <c r="E15" s="5">
        <f t="shared" si="1"/>
        <v>9</v>
      </c>
      <c r="F15" s="2" t="s">
        <v>50</v>
      </c>
    </row>
    <row r="17" spans="1:6" ht="23.25" customHeight="1">
      <c r="A17" s="12" t="s">
        <v>56</v>
      </c>
      <c r="C17" s="13" t="s">
        <v>59</v>
      </c>
    </row>
    <row r="18" spans="1:6" ht="17.25">
      <c r="A18" s="1" t="s">
        <v>15</v>
      </c>
      <c r="B18" s="4">
        <v>1</v>
      </c>
      <c r="C18" s="5"/>
      <c r="E18" s="4">
        <v>1</v>
      </c>
      <c r="F18" s="2" t="s">
        <v>11</v>
      </c>
    </row>
    <row r="19" spans="1:6" ht="17.25">
      <c r="A19" s="1" t="s">
        <v>16</v>
      </c>
      <c r="B19" s="4">
        <v>1</v>
      </c>
      <c r="C19" s="5">
        <f>1/(1/$B$18+1/$B$19)</f>
        <v>0.5</v>
      </c>
      <c r="E19" s="5">
        <f>E18*E20/(E18-E20)</f>
        <v>1</v>
      </c>
      <c r="F19" s="2" t="s">
        <v>11</v>
      </c>
    </row>
    <row r="20" spans="1:6" ht="17.25">
      <c r="A20" s="1" t="s">
        <v>54</v>
      </c>
      <c r="B20" s="4">
        <v>1</v>
      </c>
      <c r="C20" s="5">
        <f>1/(1/$B$18+1/$B$20+1/$B$19)</f>
        <v>0.33333333333333331</v>
      </c>
      <c r="E20" s="14">
        <v>0.5</v>
      </c>
      <c r="F20" s="2" t="s">
        <v>11</v>
      </c>
    </row>
    <row r="21" spans="1:6" ht="17.25">
      <c r="A21" s="1" t="s">
        <v>55</v>
      </c>
      <c r="B21" s="4">
        <v>1</v>
      </c>
      <c r="C21" s="5">
        <f>1/(1/$B$18+1/$B$20+1/$B$19+1/$B$21)</f>
        <v>0.25</v>
      </c>
      <c r="F21" s="2" t="s">
        <v>11</v>
      </c>
    </row>
    <row r="23" spans="1:6" ht="24" customHeight="1">
      <c r="A23" s="12" t="s">
        <v>67</v>
      </c>
    </row>
    <row r="24" spans="1:6" ht="17.25">
      <c r="A24" s="1" t="s">
        <v>42</v>
      </c>
      <c r="B24" s="4">
        <v>9</v>
      </c>
      <c r="C24" s="4">
        <v>9</v>
      </c>
      <c r="D24" s="4">
        <v>9</v>
      </c>
      <c r="E24" s="4">
        <v>9</v>
      </c>
      <c r="F24" s="2" t="s">
        <v>20</v>
      </c>
    </row>
    <row r="25" spans="1:6" ht="17.25">
      <c r="A25" s="1" t="s">
        <v>15</v>
      </c>
      <c r="B25" s="4">
        <v>3</v>
      </c>
      <c r="C25" s="4">
        <v>3</v>
      </c>
      <c r="D25" s="5">
        <f>D28*(D24-D29)/D29</f>
        <v>3</v>
      </c>
      <c r="E25" s="4">
        <v>3</v>
      </c>
      <c r="F25" s="2" t="s">
        <v>11</v>
      </c>
    </row>
    <row r="26" spans="1:6" ht="17.25">
      <c r="A26" s="1" t="s">
        <v>16</v>
      </c>
      <c r="B26" s="4">
        <v>6</v>
      </c>
      <c r="C26" s="5">
        <f>C27*(C29*C25/(C24-C29))/(C27-(C29*C25/(C24-C29)))</f>
        <v>6</v>
      </c>
      <c r="D26" s="4">
        <v>6</v>
      </c>
      <c r="E26" s="4">
        <v>6</v>
      </c>
      <c r="F26" s="2" t="s">
        <v>11</v>
      </c>
    </row>
    <row r="27" spans="1:6" ht="17.25">
      <c r="A27" s="1" t="s">
        <v>66</v>
      </c>
      <c r="B27" s="4">
        <v>6</v>
      </c>
      <c r="C27" s="4">
        <v>6</v>
      </c>
      <c r="D27" s="4">
        <v>6</v>
      </c>
      <c r="E27" s="5"/>
      <c r="F27" s="2" t="s">
        <v>11</v>
      </c>
    </row>
    <row r="28" spans="1:6" ht="17.25">
      <c r="A28" s="1" t="s">
        <v>68</v>
      </c>
      <c r="B28" s="5">
        <f>(B26*B27)/(B26+B27)</f>
        <v>3</v>
      </c>
      <c r="C28" s="5">
        <f t="shared" ref="C28:D28" si="2">(C26*C27)/(C26+C27)</f>
        <v>3</v>
      </c>
      <c r="D28" s="5">
        <f t="shared" si="2"/>
        <v>3</v>
      </c>
      <c r="E28" s="5">
        <f>(E26*E27)/(E26+E27)</f>
        <v>0</v>
      </c>
      <c r="F28" s="2" t="s">
        <v>11</v>
      </c>
    </row>
    <row r="29" spans="1:6" ht="17.25">
      <c r="A29" s="1" t="s">
        <v>43</v>
      </c>
      <c r="B29" s="5">
        <f>B24*B28/(B25+B28)</f>
        <v>4.5</v>
      </c>
      <c r="C29" s="4">
        <v>4.5</v>
      </c>
      <c r="D29" s="4">
        <v>4.5</v>
      </c>
      <c r="E29" s="5">
        <f>E27*E30</f>
        <v>0</v>
      </c>
      <c r="F29" s="2" t="s">
        <v>20</v>
      </c>
    </row>
    <row r="30" spans="1:6" ht="17.25">
      <c r="A30" s="1" t="s">
        <v>69</v>
      </c>
      <c r="B30" s="5">
        <f>B29/B27</f>
        <v>0.75</v>
      </c>
      <c r="C30" s="5">
        <f t="shared" ref="C30:D30" si="3">C29/C27</f>
        <v>0.75</v>
      </c>
      <c r="D30" s="5">
        <f t="shared" si="3"/>
        <v>0.75</v>
      </c>
      <c r="E30" s="4">
        <v>0.75</v>
      </c>
      <c r="F30" s="2" t="s">
        <v>24</v>
      </c>
    </row>
    <row r="31" spans="1:6" ht="17.25">
      <c r="A31" s="1" t="s">
        <v>63</v>
      </c>
      <c r="B31" s="5">
        <f>B24^2/(B25+B28)</f>
        <v>13.5</v>
      </c>
      <c r="C31" s="5">
        <f t="shared" ref="C31:D31" si="4">C24^2/(C25+C28)</f>
        <v>13.5</v>
      </c>
      <c r="D31" s="5">
        <f t="shared" si="4"/>
        <v>13.5</v>
      </c>
      <c r="E31" s="5">
        <f t="shared" ref="E31" si="5">E24^2/(E25+E28)</f>
        <v>27</v>
      </c>
      <c r="F31" s="2" t="s">
        <v>50</v>
      </c>
    </row>
    <row r="32" spans="1:6" ht="17.25">
      <c r="A32" s="1" t="s">
        <v>64</v>
      </c>
      <c r="B32" s="5">
        <f>B29*B30</f>
        <v>3.375</v>
      </c>
      <c r="C32" s="5">
        <f t="shared" ref="C32:D32" si="6">C29*C30</f>
        <v>3.375</v>
      </c>
      <c r="D32" s="5">
        <f t="shared" si="6"/>
        <v>3.375</v>
      </c>
      <c r="E32" s="5">
        <f t="shared" ref="E32" si="7">E29*E30</f>
        <v>0</v>
      </c>
      <c r="F32" s="2" t="s">
        <v>50</v>
      </c>
    </row>
    <row r="33" spans="1:6">
      <c r="A33" s="1" t="s">
        <v>70</v>
      </c>
      <c r="B33" s="16">
        <f>B32/B31</f>
        <v>0.25</v>
      </c>
      <c r="C33" s="16">
        <f t="shared" ref="C33:E33" si="8">C32/C31</f>
        <v>0.25</v>
      </c>
      <c r="D33" s="16">
        <f t="shared" si="8"/>
        <v>0.25</v>
      </c>
      <c r="E33" s="16">
        <f t="shared" si="8"/>
        <v>0</v>
      </c>
      <c r="F33" s="2"/>
    </row>
    <row r="35" spans="1:6" ht="24" customHeight="1">
      <c r="A35" s="12" t="s">
        <v>82</v>
      </c>
      <c r="E35" s="5"/>
    </row>
    <row r="36" spans="1:6">
      <c r="A36" s="1" t="s">
        <v>81</v>
      </c>
      <c r="B36" s="4">
        <v>400</v>
      </c>
      <c r="C36" s="5">
        <f>C38*C40/C39</f>
        <v>399.99999999999994</v>
      </c>
      <c r="F36" s="2" t="s">
        <v>74</v>
      </c>
    </row>
    <row r="37" spans="1:6">
      <c r="A37" s="1" t="s">
        <v>77</v>
      </c>
      <c r="B37" s="4">
        <v>3.9878E-5</v>
      </c>
      <c r="C37" s="4">
        <v>3.9878E-5</v>
      </c>
      <c r="F37" s="2" t="s">
        <v>74</v>
      </c>
    </row>
    <row r="38" spans="1:6" ht="15.75">
      <c r="A38" s="1" t="s">
        <v>24</v>
      </c>
      <c r="B38" s="5">
        <f>PI()*B37^2</f>
        <v>4.9959330609096883E-9</v>
      </c>
      <c r="C38" s="5">
        <f>PI()*C37^2</f>
        <v>4.9959330609096883E-9</v>
      </c>
      <c r="F38" s="2" t="s">
        <v>75</v>
      </c>
    </row>
    <row r="39" spans="1:6">
      <c r="A39" s="1" t="s">
        <v>79</v>
      </c>
      <c r="B39" s="4">
        <v>1.7240000000000001E-8</v>
      </c>
      <c r="C39" s="4">
        <v>1.7240000000000001E-8</v>
      </c>
      <c r="F39" s="2" t="s">
        <v>80</v>
      </c>
    </row>
    <row r="40" spans="1:6">
      <c r="A40" s="1" t="s">
        <v>0</v>
      </c>
      <c r="B40" s="5">
        <f>B36*B39/B38</f>
        <v>1380.3227376998395</v>
      </c>
      <c r="C40" s="4">
        <v>1380.3227376998395</v>
      </c>
      <c r="F40" s="2" t="s">
        <v>11</v>
      </c>
    </row>
  </sheetData>
  <pageMargins left="0.39370078740157483" right="0.39370078740157483" top="0.39370078740157483" bottom="0.39370078740157483" header="0.19685039370078741" footer="0.19685039370078741"/>
  <pageSetup paperSize="9" orientation="landscape" horizontalDpi="300" verticalDpi="300" r:id="rId1"/>
  <headerFooter>
    <oddHeader>&amp;R&amp;"Verdana,Italic"&amp;10Electronics Calculator</oddHeader>
    <oddFooter>&amp;L&amp;"Verdana,Regular"&amp;8&amp;F - &amp;A&amp;C&amp;"Verdana,Italic"&amp;8- &amp;P -&amp;R&amp;"Verdana,Italic"&amp;8&amp;D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12" sqref="A12"/>
    </sheetView>
  </sheetViews>
  <sheetFormatPr defaultRowHeight="14.25"/>
  <cols>
    <col min="1" max="1" width="7.5" style="1" customWidth="1"/>
    <col min="2" max="2" width="22.25" style="1" customWidth="1"/>
    <col min="3" max="3" width="15.625" style="1" bestFit="1" customWidth="1"/>
    <col min="4" max="4" width="3.875" style="1" customWidth="1"/>
    <col min="5" max="16384" width="9" style="1"/>
  </cols>
  <sheetData>
    <row r="1" spans="1:3" ht="24" customHeight="1">
      <c r="A1" s="12" t="s">
        <v>52</v>
      </c>
    </row>
    <row r="2" spans="1:3">
      <c r="A2" s="1" t="s">
        <v>3</v>
      </c>
      <c r="B2" s="4">
        <v>30</v>
      </c>
      <c r="C2" s="2" t="s">
        <v>14</v>
      </c>
    </row>
    <row r="3" spans="1:3">
      <c r="A3" s="1" t="s">
        <v>61</v>
      </c>
      <c r="B3" s="5">
        <f>2*PI()*B2</f>
        <v>188.49555921538757</v>
      </c>
      <c r="C3" s="2" t="s">
        <v>13</v>
      </c>
    </row>
    <row r="4" spans="1:3">
      <c r="A4" s="1" t="s">
        <v>4</v>
      </c>
      <c r="B4" s="5">
        <f>1/B2</f>
        <v>3.3333333333333333E-2</v>
      </c>
      <c r="C4" s="2" t="s">
        <v>10</v>
      </c>
    </row>
    <row r="5" spans="1:3">
      <c r="A5" s="1" t="s">
        <v>2</v>
      </c>
      <c r="B5" s="4">
        <v>1E-8</v>
      </c>
      <c r="C5" s="2" t="s">
        <v>9</v>
      </c>
    </row>
    <row r="6" spans="1:3">
      <c r="A6" s="1" t="s">
        <v>47</v>
      </c>
      <c r="B6" s="5">
        <f>1/(B3*B5)</f>
        <v>530516.4769729845</v>
      </c>
      <c r="C6" s="2" t="s">
        <v>11</v>
      </c>
    </row>
    <row r="8" spans="1:3" ht="24" customHeight="1">
      <c r="A8" s="12" t="s">
        <v>62</v>
      </c>
    </row>
    <row r="9" spans="1:3">
      <c r="A9" s="1" t="s">
        <v>2</v>
      </c>
      <c r="B9" s="4">
        <v>3.3000000000000002E-7</v>
      </c>
      <c r="C9" s="2" t="s">
        <v>9</v>
      </c>
    </row>
    <row r="10" spans="1:3">
      <c r="A10" s="1" t="s">
        <v>0</v>
      </c>
      <c r="B10" s="4">
        <v>1000</v>
      </c>
      <c r="C10" s="2" t="s">
        <v>11</v>
      </c>
    </row>
    <row r="11" spans="1:3" ht="17.25">
      <c r="A11" s="1" t="s">
        <v>57</v>
      </c>
      <c r="B11" s="5">
        <f>1/B9/B10</f>
        <v>3030.3030303030305</v>
      </c>
      <c r="C11" s="2" t="s">
        <v>13</v>
      </c>
    </row>
    <row r="12" spans="1:3" ht="17.25">
      <c r="A12" s="1" t="s">
        <v>58</v>
      </c>
      <c r="B12" s="5">
        <f>B11/2/PI()</f>
        <v>482.28770633907681</v>
      </c>
      <c r="C12" s="2" t="s">
        <v>14</v>
      </c>
    </row>
    <row r="13" spans="1:3" ht="17.25">
      <c r="A13" s="1" t="s">
        <v>107</v>
      </c>
      <c r="B13" s="2" t="str">
        <f>INDEX(Music!$E$65:$E$76, MOD(LOG10($B$12/Music!G141)*12/LOG10(2),12)+1)&amp;INT(5+(LOG10($B$12/Music!G141)*12/LOG10(2)-3)/12)</f>
        <v>A#4</v>
      </c>
      <c r="C13" s="2"/>
    </row>
    <row r="14" spans="1:3">
      <c r="A14" s="1" t="s">
        <v>60</v>
      </c>
      <c r="B14" s="5">
        <f>B9*B10</f>
        <v>3.3E-4</v>
      </c>
      <c r="C14" s="2" t="s">
        <v>10</v>
      </c>
    </row>
    <row r="15" spans="1:3" ht="24" customHeight="1"/>
    <row r="16" spans="1:3" ht="23.25" customHeight="1">
      <c r="A16" s="12" t="s">
        <v>46</v>
      </c>
    </row>
    <row r="17" spans="1:3">
      <c r="A17" s="1" t="s">
        <v>3</v>
      </c>
      <c r="B17" s="4">
        <v>5</v>
      </c>
      <c r="C17" s="2" t="s">
        <v>14</v>
      </c>
    </row>
    <row r="18" spans="1:3">
      <c r="A18" s="1" t="s">
        <v>61</v>
      </c>
      <c r="B18" s="5">
        <f>2*PI()*B17</f>
        <v>31.415926535897931</v>
      </c>
      <c r="C18" s="2" t="s">
        <v>13</v>
      </c>
    </row>
    <row r="19" spans="1:3">
      <c r="A19" s="1" t="s">
        <v>47</v>
      </c>
      <c r="B19" s="4">
        <v>10000</v>
      </c>
      <c r="C19" s="2" t="s">
        <v>11</v>
      </c>
    </row>
    <row r="20" spans="1:3">
      <c r="A20" s="1" t="s">
        <v>2</v>
      </c>
      <c r="B20" s="5">
        <f>1/(B18*B19)</f>
        <v>3.1830988618379071E-6</v>
      </c>
      <c r="C20" s="2" t="s">
        <v>9</v>
      </c>
    </row>
  </sheetData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&amp;L&amp;"Verdana,Italic"&amp;8&amp;F - &amp;A&amp;C&amp;"Verdana,Italic"&amp;8- &amp;P -&amp;R&amp;"Verdana,Italic"&amp;8&amp;D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B31" sqref="B31"/>
    </sheetView>
  </sheetViews>
  <sheetFormatPr defaultRowHeight="14.25"/>
  <cols>
    <col min="1" max="1" width="7.5" style="1" customWidth="1"/>
    <col min="2" max="2" width="22.25" style="1" customWidth="1"/>
    <col min="3" max="3" width="12.625" style="1" customWidth="1"/>
    <col min="4" max="4" width="3.875" style="1" customWidth="1"/>
    <col min="5" max="5" width="14.375" style="1" bestFit="1" customWidth="1"/>
    <col min="6" max="6" width="12.375" style="1" bestFit="1" customWidth="1"/>
    <col min="7" max="7" width="9" style="1" customWidth="1"/>
    <col min="8" max="16384" width="9" style="1"/>
  </cols>
  <sheetData>
    <row r="1" spans="1:3" ht="24" customHeight="1">
      <c r="A1" s="12" t="s">
        <v>53</v>
      </c>
    </row>
    <row r="2" spans="1:3">
      <c r="A2" s="1" t="s">
        <v>3</v>
      </c>
      <c r="B2" s="4">
        <v>1</v>
      </c>
      <c r="C2" s="2" t="s">
        <v>14</v>
      </c>
    </row>
    <row r="3" spans="1:3">
      <c r="A3" s="1" t="s">
        <v>61</v>
      </c>
      <c r="B3" s="5">
        <f>2*PI()*B2</f>
        <v>6.2831853071795862</v>
      </c>
      <c r="C3" s="2" t="s">
        <v>13</v>
      </c>
    </row>
    <row r="4" spans="1:3">
      <c r="A4" s="1" t="s">
        <v>4</v>
      </c>
      <c r="B4" s="5">
        <f>1/B2</f>
        <v>1</v>
      </c>
      <c r="C4" s="2" t="s">
        <v>10</v>
      </c>
    </row>
    <row r="5" spans="1:3">
      <c r="A5" s="1" t="s">
        <v>1</v>
      </c>
      <c r="B5" s="4">
        <v>1</v>
      </c>
      <c r="C5" s="2" t="s">
        <v>8</v>
      </c>
    </row>
    <row r="6" spans="1:3">
      <c r="A6" s="1" t="s">
        <v>47</v>
      </c>
      <c r="B6" s="5">
        <f>B3*B5</f>
        <v>6.2831853071795862</v>
      </c>
      <c r="C6" s="2" t="s">
        <v>11</v>
      </c>
    </row>
    <row r="8" spans="1:3" ht="24" customHeight="1">
      <c r="A8" s="12" t="s">
        <v>62</v>
      </c>
    </row>
    <row r="9" spans="1:3">
      <c r="A9" s="1" t="s">
        <v>1</v>
      </c>
      <c r="B9" s="4">
        <v>1E-3</v>
      </c>
      <c r="C9" s="2" t="s">
        <v>8</v>
      </c>
    </row>
    <row r="10" spans="1:3">
      <c r="A10" s="1" t="s">
        <v>0</v>
      </c>
      <c r="B10" s="4">
        <v>100</v>
      </c>
      <c r="C10" s="2" t="s">
        <v>11</v>
      </c>
    </row>
    <row r="11" spans="1:3" ht="17.25">
      <c r="A11" s="1" t="s">
        <v>57</v>
      </c>
      <c r="B11" s="5">
        <f>B10/B9</f>
        <v>100000</v>
      </c>
      <c r="C11" s="2" t="s">
        <v>13</v>
      </c>
    </row>
    <row r="12" spans="1:3" ht="17.25">
      <c r="A12" s="1" t="s">
        <v>58</v>
      </c>
      <c r="B12" s="5">
        <f>B11/2/PI()</f>
        <v>15915.494309189535</v>
      </c>
      <c r="C12" s="2" t="s">
        <v>14</v>
      </c>
    </row>
    <row r="13" spans="1:3">
      <c r="A13" s="1" t="s">
        <v>60</v>
      </c>
      <c r="B13" s="5">
        <f>B9/B10</f>
        <v>1.0000000000000001E-5</v>
      </c>
      <c r="C13" s="2" t="s">
        <v>10</v>
      </c>
    </row>
    <row r="14" spans="1:3">
      <c r="B14" s="5"/>
      <c r="C14" s="2"/>
    </row>
    <row r="15" spans="1:3" ht="24" customHeight="1">
      <c r="A15" s="12" t="s">
        <v>12</v>
      </c>
    </row>
    <row r="16" spans="1:3">
      <c r="A16" s="1" t="s">
        <v>0</v>
      </c>
      <c r="B16" s="4">
        <v>4500</v>
      </c>
      <c r="C16" s="2" t="s">
        <v>11</v>
      </c>
    </row>
    <row r="17" spans="1:5">
      <c r="A17" s="1" t="s">
        <v>1</v>
      </c>
      <c r="B17" s="4">
        <v>4</v>
      </c>
      <c r="C17" s="2" t="s">
        <v>8</v>
      </c>
    </row>
    <row r="18" spans="1:5">
      <c r="A18" s="1" t="s">
        <v>2</v>
      </c>
      <c r="B18" s="4">
        <v>4.6999999999999997E-8</v>
      </c>
      <c r="C18" s="2" t="s">
        <v>9</v>
      </c>
      <c r="E18" s="15"/>
    </row>
    <row r="19" spans="1:5" ht="17.25">
      <c r="A19" s="1" t="s">
        <v>7</v>
      </c>
      <c r="B19" s="13">
        <f>IF(B16^2&lt;=4*B17/B18,SQRT(1/(B17*B18)-(B16/2/B17)^2),"overdamped")</f>
        <v>2236.6811766924257</v>
      </c>
      <c r="C19" s="2" t="s">
        <v>13</v>
      </c>
    </row>
    <row r="20" spans="1:5">
      <c r="A20" s="1" t="s">
        <v>3</v>
      </c>
      <c r="B20" s="13">
        <f>IF(B16^2&lt;=4*B17/B18,B19/(2*PI()),"n/a")</f>
        <v>355.97886539119651</v>
      </c>
      <c r="C20" s="2" t="s">
        <v>14</v>
      </c>
    </row>
    <row r="21" spans="1:5">
      <c r="A21" s="1" t="s">
        <v>4</v>
      </c>
      <c r="B21" s="13">
        <f>IF(B16^2&lt;=4*B17/B18,1/B20,"n/a")</f>
        <v>2.8091555348407219E-3</v>
      </c>
      <c r="C21" s="2" t="s">
        <v>10</v>
      </c>
    </row>
    <row r="22" spans="1:5">
      <c r="A22" s="1" t="s">
        <v>5</v>
      </c>
      <c r="B22" s="13">
        <f>IF(AND(B16&gt;0, B16^2&lt;=4*B17/B18),B19*B17/B16,"n/a")</f>
        <v>1.9881610459488228</v>
      </c>
      <c r="C22" s="2"/>
    </row>
    <row r="23" spans="1:5">
      <c r="A23" s="1" t="s">
        <v>6</v>
      </c>
      <c r="B23" s="5">
        <f>B16*SQRT(B18/B17)/2</f>
        <v>0.2438941881226365</v>
      </c>
      <c r="C23" s="2"/>
    </row>
    <row r="26" spans="1:5" ht="24" customHeight="1">
      <c r="A26" s="12" t="s">
        <v>83</v>
      </c>
    </row>
    <row r="27" spans="1:5">
      <c r="A27" s="1" t="s">
        <v>71</v>
      </c>
      <c r="B27" s="4">
        <v>20</v>
      </c>
      <c r="C27" s="2" t="s">
        <v>73</v>
      </c>
    </row>
    <row r="28" spans="1:5">
      <c r="A28" s="1" t="s">
        <v>78</v>
      </c>
      <c r="B28" s="4">
        <v>0.01</v>
      </c>
      <c r="C28" s="2" t="s">
        <v>74</v>
      </c>
    </row>
    <row r="29" spans="1:5" ht="17.25">
      <c r="A29" s="1" t="s">
        <v>72</v>
      </c>
      <c r="B29" s="5">
        <f>PI()/400000000</f>
        <v>7.8539816339744827E-9</v>
      </c>
      <c r="C29" s="2"/>
    </row>
    <row r="30" spans="1:5" ht="17.25">
      <c r="A30" s="1" t="s">
        <v>76</v>
      </c>
      <c r="B30" s="4">
        <v>4000</v>
      </c>
      <c r="C30" s="2"/>
    </row>
    <row r="31" spans="1:5">
      <c r="A31" s="1" t="s">
        <v>77</v>
      </c>
      <c r="B31" s="4">
        <v>0.01</v>
      </c>
      <c r="C31" s="2" t="s">
        <v>74</v>
      </c>
    </row>
    <row r="32" spans="1:5" ht="15.75">
      <c r="A32" s="1" t="s">
        <v>24</v>
      </c>
      <c r="B32" s="5">
        <f>PI()*B31^2</f>
        <v>3.1415926535897931E-4</v>
      </c>
      <c r="C32" s="2" t="s">
        <v>75</v>
      </c>
    </row>
    <row r="33" spans="1:3">
      <c r="A33" s="1" t="s">
        <v>1</v>
      </c>
      <c r="B33" s="5">
        <f>B27^2*B29*B30*B32/B28</f>
        <v>3.9478417604357427E-4</v>
      </c>
      <c r="C33" s="2" t="s">
        <v>8</v>
      </c>
    </row>
    <row r="34" spans="1:3">
      <c r="B34" s="5"/>
      <c r="C34" s="2"/>
    </row>
  </sheetData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&amp;L&amp;"Verdana,Italic"&amp;8&amp;F - &amp;A&amp;C&amp;"Verdana,Italic"&amp;8- &amp;P -&amp;R&amp;"Verdana,Italic"&amp;8&amp;D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I48"/>
  <sheetViews>
    <sheetView workbookViewId="0">
      <selection activeCell="C23" sqref="C23"/>
    </sheetView>
  </sheetViews>
  <sheetFormatPr defaultRowHeight="14.25"/>
  <cols>
    <col min="1" max="1" width="1.5" style="1" customWidth="1"/>
    <col min="2" max="2" width="7.5" style="1" customWidth="1"/>
    <col min="3" max="3" width="25.75" style="1" customWidth="1"/>
    <col min="4" max="4" width="12.625" style="1" customWidth="1"/>
    <col min="5" max="5" width="3.875" style="1" customWidth="1"/>
    <col min="6" max="6" width="9.875" style="1" bestFit="1" customWidth="1"/>
    <col min="7" max="16384" width="9" style="1"/>
  </cols>
  <sheetData>
    <row r="1" spans="2:9" ht="9.75" customHeight="1"/>
    <row r="2" spans="2:9" ht="18">
      <c r="B2" s="3" t="s">
        <v>32</v>
      </c>
    </row>
    <row r="3" spans="2:9" ht="9.75" customHeight="1">
      <c r="I3" s="6"/>
    </row>
    <row r="4" spans="2:9" ht="17.25">
      <c r="B4" s="1" t="s">
        <v>19</v>
      </c>
      <c r="C4" s="4">
        <v>9</v>
      </c>
      <c r="D4" s="2" t="s">
        <v>20</v>
      </c>
    </row>
    <row r="5" spans="2:9" ht="17.25">
      <c r="B5" s="1" t="s">
        <v>30</v>
      </c>
      <c r="C5" s="4">
        <v>0.65</v>
      </c>
      <c r="D5" s="2" t="s">
        <v>20</v>
      </c>
    </row>
    <row r="6" spans="2:9" ht="17.25">
      <c r="B6" s="1" t="s">
        <v>15</v>
      </c>
      <c r="C6" s="4">
        <v>80000</v>
      </c>
      <c r="D6" s="2" t="s">
        <v>11</v>
      </c>
    </row>
    <row r="7" spans="2:9" ht="17.25">
      <c r="B7" s="1" t="s">
        <v>16</v>
      </c>
      <c r="C7" s="4">
        <v>32000</v>
      </c>
      <c r="D7" s="2" t="s">
        <v>11</v>
      </c>
    </row>
    <row r="8" spans="2:9" ht="17.25">
      <c r="B8" s="1" t="s">
        <v>17</v>
      </c>
      <c r="C8" s="4">
        <v>10000</v>
      </c>
      <c r="D8" s="2" t="s">
        <v>11</v>
      </c>
    </row>
    <row r="9" spans="2:9" ht="17.25">
      <c r="B9" s="1" t="s">
        <v>18</v>
      </c>
      <c r="C9" s="4">
        <v>1000</v>
      </c>
      <c r="D9" s="2" t="s">
        <v>11</v>
      </c>
    </row>
    <row r="10" spans="2:9" ht="17.25">
      <c r="B10" s="1" t="s">
        <v>28</v>
      </c>
      <c r="C10" s="8">
        <v>100</v>
      </c>
      <c r="D10" s="2"/>
    </row>
    <row r="11" spans="2:9">
      <c r="D11" s="2"/>
    </row>
    <row r="12" spans="2:9">
      <c r="D12" s="2"/>
    </row>
    <row r="13" spans="2:9" ht="17.25">
      <c r="B13" s="1" t="s">
        <v>31</v>
      </c>
      <c r="C13" s="5">
        <f>C6*C7/(C6+C7)</f>
        <v>22857.142857142859</v>
      </c>
      <c r="D13" s="2" t="s">
        <v>11</v>
      </c>
    </row>
    <row r="14" spans="2:9" ht="17.25">
      <c r="B14" s="1" t="s">
        <v>21</v>
      </c>
      <c r="C14" s="5">
        <f>C4*C7/(C6+C7)</f>
        <v>2.5714285714285716</v>
      </c>
      <c r="D14" s="2" t="s">
        <v>20</v>
      </c>
    </row>
    <row r="15" spans="2:9" ht="17.25">
      <c r="B15" s="1" t="s">
        <v>27</v>
      </c>
      <c r="C15" s="5">
        <f>C14-C5</f>
        <v>1.9214285714285717</v>
      </c>
      <c r="D15" s="2" t="s">
        <v>20</v>
      </c>
    </row>
    <row r="16" spans="2:9" ht="17.25">
      <c r="B16" s="1" t="s">
        <v>23</v>
      </c>
      <c r="C16" s="5">
        <f>C15/(C13+C9*(C10+1))</f>
        <v>1.5513264129181087E-5</v>
      </c>
      <c r="D16" s="2" t="s">
        <v>24</v>
      </c>
    </row>
    <row r="17" spans="2:7" ht="17.25">
      <c r="B17" s="7" t="s">
        <v>33</v>
      </c>
      <c r="C17" s="5">
        <f>C16*C10</f>
        <v>1.5513264129181088E-3</v>
      </c>
      <c r="D17" s="2" t="s">
        <v>24</v>
      </c>
    </row>
    <row r="18" spans="2:7" ht="17.25">
      <c r="B18" s="7" t="s">
        <v>34</v>
      </c>
      <c r="C18" s="5">
        <f>C4-(C8*C17)</f>
        <v>-6.5132641291810884</v>
      </c>
      <c r="D18" s="2" t="s">
        <v>20</v>
      </c>
    </row>
    <row r="19" spans="2:7" ht="17.25">
      <c r="B19" s="1" t="s">
        <v>22</v>
      </c>
      <c r="C19" s="5">
        <f>C17+C16</f>
        <v>1.56683967704729E-3</v>
      </c>
      <c r="D19" s="2" t="s">
        <v>24</v>
      </c>
    </row>
    <row r="20" spans="2:7" ht="17.25">
      <c r="B20" s="1" t="s">
        <v>25</v>
      </c>
      <c r="C20" s="5">
        <f>C21+C16</f>
        <v>9.5870406986323957E-5</v>
      </c>
      <c r="D20" s="2" t="s">
        <v>24</v>
      </c>
      <c r="F20" s="10" t="s">
        <v>35</v>
      </c>
      <c r="G20" s="11">
        <f>C19*C9</f>
        <v>1.5668396770472899</v>
      </c>
    </row>
    <row r="21" spans="2:7" ht="17.25">
      <c r="B21" s="1" t="s">
        <v>26</v>
      </c>
      <c r="C21" s="5">
        <f>C14/C7</f>
        <v>8.0357142857142867E-5</v>
      </c>
      <c r="D21" s="2" t="s">
        <v>24</v>
      </c>
      <c r="F21" s="10" t="s">
        <v>36</v>
      </c>
      <c r="G21" s="11">
        <f>C15/C9</f>
        <v>1.9214285714285718E-3</v>
      </c>
    </row>
    <row r="22" spans="2:7" ht="17.25">
      <c r="B22" s="1" t="s">
        <v>38</v>
      </c>
      <c r="C22" s="5">
        <f>0.025/C19</f>
        <v>15.955684787809632</v>
      </c>
      <c r="D22" s="2" t="s">
        <v>11</v>
      </c>
    </row>
    <row r="23" spans="2:7" ht="17.25">
      <c r="B23" s="1" t="s">
        <v>29</v>
      </c>
      <c r="C23" s="9">
        <f>-C8/(C9+C22)</f>
        <v>-9.842949008242007</v>
      </c>
      <c r="D23" s="2" t="s">
        <v>20</v>
      </c>
    </row>
    <row r="24" spans="2:7" ht="17.25">
      <c r="B24" s="1" t="s">
        <v>37</v>
      </c>
      <c r="C24" s="5">
        <f>1/(1/C6+1/C7+1/(C10*(C9+C22)))</f>
        <v>18659.17100113694</v>
      </c>
      <c r="D24" s="2" t="s">
        <v>11</v>
      </c>
    </row>
    <row r="25" spans="2:7" ht="17.25">
      <c r="B25" s="1" t="s">
        <v>39</v>
      </c>
      <c r="C25" s="5">
        <f>C8</f>
        <v>10000</v>
      </c>
      <c r="D25" s="2" t="s">
        <v>11</v>
      </c>
    </row>
    <row r="27" spans="2:7" ht="9" customHeight="1"/>
    <row r="28" spans="2:7" ht="18">
      <c r="B28" s="3" t="s">
        <v>40</v>
      </c>
    </row>
    <row r="30" spans="2:7" ht="17.25">
      <c r="B30" s="1" t="s">
        <v>19</v>
      </c>
      <c r="C30" s="4">
        <v>9</v>
      </c>
      <c r="D30" s="2" t="s">
        <v>20</v>
      </c>
    </row>
    <row r="31" spans="2:7" ht="17.25">
      <c r="B31" s="1" t="s">
        <v>30</v>
      </c>
      <c r="C31" s="4">
        <v>0.65</v>
      </c>
      <c r="D31" s="2" t="s">
        <v>20</v>
      </c>
    </row>
    <row r="32" spans="2:7" ht="17.25">
      <c r="B32" s="1" t="s">
        <v>15</v>
      </c>
      <c r="C32" s="4">
        <v>560000</v>
      </c>
      <c r="D32" s="2" t="s">
        <v>11</v>
      </c>
    </row>
    <row r="33" spans="2:4" ht="17.25">
      <c r="B33" s="1" t="s">
        <v>16</v>
      </c>
      <c r="C33" s="4">
        <v>820000</v>
      </c>
      <c r="D33" s="2" t="s">
        <v>11</v>
      </c>
    </row>
    <row r="34" spans="2:4" ht="17.25">
      <c r="B34" s="1" t="s">
        <v>18</v>
      </c>
      <c r="C34" s="4">
        <v>4700</v>
      </c>
      <c r="D34" s="2" t="s">
        <v>11</v>
      </c>
    </row>
    <row r="35" spans="2:4" ht="17.25">
      <c r="B35" s="1" t="s">
        <v>28</v>
      </c>
      <c r="C35" s="8">
        <v>350</v>
      </c>
      <c r="D35" s="2"/>
    </row>
    <row r="36" spans="2:4">
      <c r="D36" s="2"/>
    </row>
    <row r="37" spans="2:4" ht="17.25">
      <c r="B37" s="1" t="s">
        <v>31</v>
      </c>
      <c r="C37" s="5">
        <f>C32*C33/(C32+C33)</f>
        <v>332753.62318840582</v>
      </c>
      <c r="D37" s="2" t="s">
        <v>11</v>
      </c>
    </row>
    <row r="38" spans="2:4" ht="17.25">
      <c r="B38" s="1" t="s">
        <v>21</v>
      </c>
      <c r="C38" s="5">
        <f>C30*C33/(C32+C33)</f>
        <v>5.3478260869565215</v>
      </c>
      <c r="D38" s="2" t="s">
        <v>20</v>
      </c>
    </row>
    <row r="39" spans="2:4" ht="17.25">
      <c r="B39" s="7" t="s">
        <v>41</v>
      </c>
      <c r="C39" s="5">
        <f>C38-C31</f>
        <v>4.6978260869565212</v>
      </c>
      <c r="D39" s="2" t="s">
        <v>20</v>
      </c>
    </row>
    <row r="40" spans="2:4" ht="17.25">
      <c r="B40" s="1" t="s">
        <v>23</v>
      </c>
      <c r="C40" s="5">
        <f>C39/(C37+C34*(C35+1))</f>
        <v>2.3697028934280678E-6</v>
      </c>
      <c r="D40" s="2" t="s">
        <v>24</v>
      </c>
    </row>
    <row r="41" spans="2:4" ht="17.25">
      <c r="B41" s="7" t="s">
        <v>33</v>
      </c>
      <c r="C41" s="5">
        <f>C40*C35</f>
        <v>8.2939601269982376E-4</v>
      </c>
      <c r="D41" s="2" t="s">
        <v>24</v>
      </c>
    </row>
    <row r="42" spans="2:4" ht="17.25">
      <c r="B42" s="1" t="s">
        <v>22</v>
      </c>
      <c r="C42" s="5">
        <f>C41+C40</f>
        <v>8.317657155932518E-4</v>
      </c>
      <c r="D42" s="2" t="s">
        <v>24</v>
      </c>
    </row>
    <row r="43" spans="2:4" ht="17.25">
      <c r="B43" s="1" t="s">
        <v>25</v>
      </c>
      <c r="C43" s="5">
        <f>C44+C40</f>
        <v>8.8914420238628502E-6</v>
      </c>
      <c r="D43" s="2" t="s">
        <v>24</v>
      </c>
    </row>
    <row r="44" spans="2:4" ht="17.25">
      <c r="B44" s="1" t="s">
        <v>26</v>
      </c>
      <c r="C44" s="5">
        <f>C38/C33</f>
        <v>6.521739130434782E-6</v>
      </c>
      <c r="D44" s="2" t="s">
        <v>24</v>
      </c>
    </row>
    <row r="45" spans="2:4" ht="17.25">
      <c r="B45" s="1" t="s">
        <v>38</v>
      </c>
      <c r="C45" s="5">
        <f>0.025/C42</f>
        <v>30.056540599499108</v>
      </c>
      <c r="D45" s="2" t="s">
        <v>11</v>
      </c>
    </row>
    <row r="46" spans="2:4" ht="17.25">
      <c r="B46" s="1" t="s">
        <v>29</v>
      </c>
      <c r="C46" s="9">
        <f>1/(1+C45/C34)</f>
        <v>0.99364562762801789</v>
      </c>
      <c r="D46" s="2" t="s">
        <v>20</v>
      </c>
    </row>
    <row r="47" spans="2:4" ht="17.25">
      <c r="B47" s="1" t="s">
        <v>37</v>
      </c>
      <c r="C47" s="5">
        <f>1/(1/C37+1/(C35*(C34+C45)))</f>
        <v>277064.61530117743</v>
      </c>
      <c r="D47" s="2" t="s">
        <v>11</v>
      </c>
    </row>
    <row r="48" spans="2:4" ht="17.25">
      <c r="B48" s="1" t="s">
        <v>39</v>
      </c>
      <c r="C48" s="5">
        <f>C45</f>
        <v>30.056540599499108</v>
      </c>
      <c r="D48" s="2" t="s">
        <v>11</v>
      </c>
    </row>
  </sheetData>
  <conditionalFormatting sqref="C18">
    <cfRule type="cellIs" dxfId="0" priority="1" operator="lessThan">
      <formula>0</formula>
    </cfRule>
  </conditionalFormatting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&amp;L&amp;"Verdana,Regular"&amp;8&amp;F - &amp;A&amp;C&amp;"Verdana,Regular"&amp;8- &amp;P -&amp;R&amp;"Verdana,Italic"&amp;8&amp;D</oddFooter>
  </headerFooter>
  <rowBreaks count="1" manualBreakCount="1">
    <brk id="2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4"/>
  <sheetViews>
    <sheetView workbookViewId="0">
      <pane ySplit="3" topLeftCell="A49" activePane="bottomLeft" state="frozen"/>
      <selection pane="bottomLeft" activeCell="G141" sqref="G141"/>
    </sheetView>
  </sheetViews>
  <sheetFormatPr defaultRowHeight="14.25"/>
  <cols>
    <col min="1" max="1" width="3.25" style="1" customWidth="1"/>
    <col min="2" max="2" width="9.375" style="1" customWidth="1"/>
    <col min="3" max="3" width="2.375" style="1" customWidth="1"/>
    <col min="4" max="4" width="3.875" style="1" customWidth="1"/>
    <col min="5" max="5" width="4.625" style="1" customWidth="1"/>
    <col min="6" max="6" width="4.75" style="1" customWidth="1"/>
    <col min="7" max="7" width="9.75" style="1" customWidth="1"/>
    <col min="8" max="8" width="3.125" style="1" customWidth="1"/>
    <col min="9" max="9" width="10.625" style="1" customWidth="1"/>
    <col min="10" max="10" width="7.75" style="1" customWidth="1"/>
    <col min="11" max="11" width="3.125" style="1" customWidth="1"/>
    <col min="12" max="16384" width="9" style="1"/>
  </cols>
  <sheetData>
    <row r="1" spans="1:12" ht="24" customHeight="1">
      <c r="A1" s="12" t="s">
        <v>100</v>
      </c>
    </row>
    <row r="2" spans="1:12" ht="8.25" customHeight="1">
      <c r="D2" s="31"/>
      <c r="E2" s="31"/>
      <c r="F2" s="31"/>
      <c r="G2" s="31"/>
      <c r="H2" s="31"/>
      <c r="I2" s="31"/>
      <c r="K2" s="31"/>
      <c r="L2" s="31"/>
    </row>
    <row r="3" spans="1:12" ht="48">
      <c r="A3" s="37"/>
      <c r="B3" s="37"/>
      <c r="C3" s="37"/>
      <c r="D3" s="38" t="s">
        <v>103</v>
      </c>
      <c r="E3" s="38" t="s">
        <v>101</v>
      </c>
      <c r="F3" s="38" t="s">
        <v>102</v>
      </c>
      <c r="G3" s="45" t="s">
        <v>114</v>
      </c>
      <c r="H3" s="38"/>
      <c r="I3" s="45" t="s">
        <v>115</v>
      </c>
      <c r="J3" s="45" t="s">
        <v>116</v>
      </c>
      <c r="K3" s="38"/>
      <c r="L3" s="38"/>
    </row>
    <row r="4" spans="1:12" ht="7.5" customHeight="1">
      <c r="A4" s="37"/>
      <c r="B4" s="37"/>
      <c r="C4" s="37"/>
      <c r="D4" s="38"/>
      <c r="E4" s="38"/>
      <c r="F4" s="38"/>
      <c r="G4" s="39"/>
      <c r="H4" s="38"/>
      <c r="I4" s="39"/>
      <c r="J4" s="40"/>
      <c r="K4" s="38"/>
      <c r="L4" s="38"/>
    </row>
    <row r="5" spans="1:12">
      <c r="A5" s="26"/>
      <c r="B5" s="20"/>
      <c r="C5"/>
      <c r="D5" s="31">
        <v>0</v>
      </c>
      <c r="E5" s="31" t="s">
        <v>24</v>
      </c>
      <c r="F5" s="31">
        <v>-1</v>
      </c>
      <c r="G5" s="32">
        <f>$G17/2</f>
        <v>13.75</v>
      </c>
      <c r="H5" s="31"/>
      <c r="I5" s="46">
        <f>1/G5</f>
        <v>7.2727272727272724E-2</v>
      </c>
      <c r="J5" s="42">
        <f t="shared" ref="J5:J36" si="0">$B$141/$G5</f>
        <v>25.09090909090909</v>
      </c>
      <c r="K5" s="31"/>
      <c r="L5" s="31"/>
    </row>
    <row r="6" spans="1:12">
      <c r="A6" s="24"/>
      <c r="B6" s="18"/>
      <c r="C6"/>
      <c r="D6" s="31">
        <v>1</v>
      </c>
      <c r="E6" s="31" t="s">
        <v>93</v>
      </c>
      <c r="F6" s="31">
        <v>-1</v>
      </c>
      <c r="G6" s="32">
        <f>$G5*POWER(2,D6/12)</f>
        <v>14.56761754744031</v>
      </c>
      <c r="H6" s="31"/>
      <c r="I6" s="46">
        <f t="shared" ref="I6:I69" si="1">1/G6</f>
        <v>6.8645404558668618E-2</v>
      </c>
      <c r="J6" s="42">
        <f t="shared" si="0"/>
        <v>23.682664572740673</v>
      </c>
      <c r="K6" s="31"/>
    </row>
    <row r="7" spans="1:12">
      <c r="A7" s="25"/>
      <c r="B7" s="19"/>
      <c r="C7"/>
      <c r="D7" s="31">
        <v>2</v>
      </c>
      <c r="E7" s="31" t="s">
        <v>94</v>
      </c>
      <c r="F7" s="31">
        <v>-1</v>
      </c>
      <c r="G7" s="32">
        <f>$G5*POWER(2,D7/12)</f>
        <v>15.433853164253879</v>
      </c>
      <c r="H7" s="31"/>
      <c r="I7" s="46">
        <f t="shared" si="1"/>
        <v>6.4792634046570124E-2</v>
      </c>
      <c r="J7" s="42">
        <f t="shared" si="0"/>
        <v>22.353458746066696</v>
      </c>
      <c r="K7" s="31"/>
      <c r="L7" s="31"/>
    </row>
    <row r="8" spans="1:12">
      <c r="A8" s="26"/>
      <c r="B8" s="20"/>
      <c r="C8"/>
      <c r="D8" s="31">
        <v>3</v>
      </c>
      <c r="E8" s="31" t="s">
        <v>2</v>
      </c>
      <c r="F8" s="31">
        <v>0</v>
      </c>
      <c r="G8" s="32">
        <f>$G5*POWER(2,D8/12)</f>
        <v>16.351597831287414</v>
      </c>
      <c r="H8" s="31"/>
      <c r="I8" s="46">
        <f t="shared" si="1"/>
        <v>6.115610292754288E-2</v>
      </c>
      <c r="J8" s="42">
        <f t="shared" si="0"/>
        <v>21.098855510002291</v>
      </c>
      <c r="K8" s="31"/>
      <c r="L8" s="31" t="s">
        <v>110</v>
      </c>
    </row>
    <row r="9" spans="1:12">
      <c r="A9" s="24"/>
      <c r="B9" s="18"/>
      <c r="C9"/>
      <c r="D9" s="31">
        <v>4</v>
      </c>
      <c r="E9" s="31" t="s">
        <v>85</v>
      </c>
      <c r="F9" s="31">
        <v>0</v>
      </c>
      <c r="G9" s="32">
        <f>$G5*POWER(2,D9/12)</f>
        <v>17.323914436054505</v>
      </c>
      <c r="H9" s="31"/>
      <c r="I9" s="46">
        <f t="shared" si="1"/>
        <v>5.772367461702544E-2</v>
      </c>
      <c r="J9" s="42">
        <f t="shared" si="0"/>
        <v>19.914667742873778</v>
      </c>
      <c r="K9" s="31"/>
      <c r="L9" s="31"/>
    </row>
    <row r="10" spans="1:12">
      <c r="A10" s="24"/>
      <c r="B10" s="17"/>
      <c r="C10"/>
      <c r="D10" s="31">
        <v>5</v>
      </c>
      <c r="E10" s="31" t="s">
        <v>86</v>
      </c>
      <c r="F10" s="31">
        <v>0</v>
      </c>
      <c r="G10" s="32">
        <f>$G5*POWER(2,D10/12)</f>
        <v>18.354047994837973</v>
      </c>
      <c r="H10" s="31"/>
      <c r="I10" s="46">
        <f t="shared" si="1"/>
        <v>5.4483893704606601E-2</v>
      </c>
      <c r="J10" s="42">
        <f t="shared" si="0"/>
        <v>18.796943328089277</v>
      </c>
      <c r="K10" s="31"/>
      <c r="L10" s="31"/>
    </row>
    <row r="11" spans="1:12">
      <c r="A11" s="24"/>
      <c r="B11" s="18"/>
      <c r="C11"/>
      <c r="D11" s="31">
        <v>6</v>
      </c>
      <c r="E11" s="31" t="s">
        <v>87</v>
      </c>
      <c r="F11" s="31">
        <v>0</v>
      </c>
      <c r="G11" s="32">
        <f>$G5*POWER(2,D11/12)</f>
        <v>19.445436482630058</v>
      </c>
      <c r="H11" s="31"/>
      <c r="I11" s="46">
        <f t="shared" si="1"/>
        <v>5.1425947722658003E-2</v>
      </c>
      <c r="J11" s="42">
        <f t="shared" si="0"/>
        <v>17.74195196431701</v>
      </c>
      <c r="K11" s="31"/>
      <c r="L11" s="31"/>
    </row>
    <row r="12" spans="1:12">
      <c r="A12" s="25"/>
      <c r="B12" s="19"/>
      <c r="C12"/>
      <c r="D12" s="31">
        <v>7</v>
      </c>
      <c r="E12" s="33" t="s">
        <v>88</v>
      </c>
      <c r="F12" s="33">
        <v>0</v>
      </c>
      <c r="G12" s="34">
        <f>$G5*POWER(2,D12/12)</f>
        <v>20.60172230705437</v>
      </c>
      <c r="H12" s="31"/>
      <c r="I12" s="46">
        <f t="shared" si="1"/>
        <v>4.8539631060728526E-2</v>
      </c>
      <c r="J12" s="42">
        <f t="shared" si="0"/>
        <v>16.746172715951342</v>
      </c>
      <c r="K12" s="31"/>
      <c r="L12" s="31"/>
    </row>
    <row r="13" spans="1:12">
      <c r="A13" s="26"/>
      <c r="B13" s="20"/>
      <c r="C13"/>
      <c r="D13" s="31">
        <v>8</v>
      </c>
      <c r="E13" s="33" t="s">
        <v>9</v>
      </c>
      <c r="F13" s="33">
        <v>0</v>
      </c>
      <c r="G13" s="34">
        <f>$G5*POWER(2,D13/12)</f>
        <v>21.826764464562743</v>
      </c>
      <c r="H13" s="31"/>
      <c r="I13" s="46">
        <f t="shared" si="1"/>
        <v>4.5815310905268115E-2</v>
      </c>
      <c r="J13" s="42">
        <f t="shared" si="0"/>
        <v>15.806282262317501</v>
      </c>
      <c r="K13" s="31"/>
      <c r="L13" s="31"/>
    </row>
    <row r="14" spans="1:12">
      <c r="A14" s="24"/>
      <c r="B14" s="18"/>
      <c r="C14"/>
      <c r="D14" s="31">
        <v>9</v>
      </c>
      <c r="E14" s="33" t="s">
        <v>89</v>
      </c>
      <c r="F14" s="33">
        <v>0</v>
      </c>
      <c r="G14" s="34">
        <f>$G5*POWER(2,D14/12)</f>
        <v>23.12465141947715</v>
      </c>
      <c r="H14" s="31"/>
      <c r="I14" s="46">
        <f t="shared" si="1"/>
        <v>4.3243895091008039E-2</v>
      </c>
      <c r="J14" s="42">
        <f t="shared" si="0"/>
        <v>14.919143806397773</v>
      </c>
      <c r="K14" s="31"/>
      <c r="L14" s="31"/>
    </row>
    <row r="15" spans="1:12">
      <c r="A15" s="24"/>
      <c r="B15" s="17"/>
      <c r="C15"/>
      <c r="D15" s="31">
        <v>10</v>
      </c>
      <c r="E15" s="33" t="s">
        <v>90</v>
      </c>
      <c r="F15" s="33">
        <v>0</v>
      </c>
      <c r="G15" s="34">
        <f>$G5*POWER(2,D15/12)</f>
        <v>24.499714748859329</v>
      </c>
      <c r="H15" s="31"/>
      <c r="I15" s="46">
        <f t="shared" si="1"/>
        <v>4.0816801756704477E-2</v>
      </c>
      <c r="J15" s="42">
        <f t="shared" si="0"/>
        <v>14.081796606063044</v>
      </c>
      <c r="K15" s="31"/>
      <c r="L15" s="31"/>
    </row>
    <row r="16" spans="1:12">
      <c r="A16" s="24"/>
      <c r="B16" s="18"/>
      <c r="C16"/>
      <c r="D16" s="31">
        <v>11</v>
      </c>
      <c r="E16" s="33" t="s">
        <v>91</v>
      </c>
      <c r="F16" s="33">
        <v>0</v>
      </c>
      <c r="G16" s="34">
        <f>$G5*POWER(2,D16/12)</f>
        <v>25.95654359874657</v>
      </c>
      <c r="H16" s="31"/>
      <c r="I16" s="46">
        <f t="shared" si="1"/>
        <v>3.8525930703974372E-2</v>
      </c>
      <c r="J16" s="42">
        <f t="shared" si="0"/>
        <v>13.291446092871158</v>
      </c>
      <c r="K16" s="31"/>
      <c r="L16" s="31"/>
    </row>
    <row r="17" spans="1:12">
      <c r="A17" s="27"/>
      <c r="B17" s="21"/>
      <c r="C17"/>
      <c r="D17" s="31">
        <v>0</v>
      </c>
      <c r="E17" s="33" t="s">
        <v>24</v>
      </c>
      <c r="F17" s="33">
        <v>0</v>
      </c>
      <c r="G17" s="34">
        <f>$G29/2</f>
        <v>27.5</v>
      </c>
      <c r="H17" s="31"/>
      <c r="I17" s="46">
        <f t="shared" si="1"/>
        <v>3.6363636363636362E-2</v>
      </c>
      <c r="J17" s="42">
        <f t="shared" si="0"/>
        <v>12.545454545454545</v>
      </c>
      <c r="K17" s="31"/>
      <c r="L17" s="31" t="s">
        <v>92</v>
      </c>
    </row>
    <row r="18" spans="1:12">
      <c r="A18" s="28"/>
      <c r="B18" s="22"/>
      <c r="C18"/>
      <c r="D18" s="31">
        <v>1</v>
      </c>
      <c r="E18" s="33" t="s">
        <v>93</v>
      </c>
      <c r="F18" s="33">
        <v>0</v>
      </c>
      <c r="G18" s="34">
        <f>$G17*POWER(2,D18/12)</f>
        <v>29.13523509488062</v>
      </c>
      <c r="H18" s="31"/>
      <c r="I18" s="46">
        <f t="shared" si="1"/>
        <v>3.4322702279334309E-2</v>
      </c>
      <c r="J18" s="42">
        <f t="shared" si="0"/>
        <v>11.841332286370337</v>
      </c>
      <c r="K18" s="31"/>
      <c r="L18" s="31" t="s">
        <v>108</v>
      </c>
    </row>
    <row r="19" spans="1:12">
      <c r="A19" s="29"/>
      <c r="B19" s="21"/>
      <c r="C19"/>
      <c r="D19" s="31">
        <v>2</v>
      </c>
      <c r="E19" s="33" t="s">
        <v>94</v>
      </c>
      <c r="F19" s="33">
        <v>0</v>
      </c>
      <c r="G19" s="34">
        <f>$G17*POWER(2,D19/12)</f>
        <v>30.867706328507758</v>
      </c>
      <c r="H19" s="31"/>
      <c r="I19" s="46">
        <f t="shared" si="1"/>
        <v>3.2396317023285062E-2</v>
      </c>
      <c r="J19" s="42">
        <f t="shared" si="0"/>
        <v>11.176729373033348</v>
      </c>
      <c r="K19" s="31"/>
      <c r="L19" s="31" t="s">
        <v>113</v>
      </c>
    </row>
    <row r="20" spans="1:12">
      <c r="A20" s="27"/>
      <c r="B20" s="21"/>
      <c r="C20"/>
      <c r="D20" s="31">
        <v>3</v>
      </c>
      <c r="E20" s="33" t="s">
        <v>2</v>
      </c>
      <c r="F20" s="33">
        <v>1</v>
      </c>
      <c r="G20" s="34">
        <f>$G17*POWER(2,D20/12)</f>
        <v>32.703195662574828</v>
      </c>
      <c r="H20" s="31"/>
      <c r="I20" s="46">
        <f t="shared" si="1"/>
        <v>3.057805146377144E-2</v>
      </c>
      <c r="J20" s="42">
        <f t="shared" si="0"/>
        <v>10.549427755001146</v>
      </c>
      <c r="K20" s="31"/>
      <c r="L20" s="31" t="s">
        <v>109</v>
      </c>
    </row>
    <row r="21" spans="1:12">
      <c r="A21" s="28"/>
      <c r="B21" s="22"/>
      <c r="C21"/>
      <c r="D21" s="31">
        <v>4</v>
      </c>
      <c r="E21" s="33" t="s">
        <v>85</v>
      </c>
      <c r="F21" s="33">
        <v>1</v>
      </c>
      <c r="G21" s="34">
        <f>$G17*POWER(2,D21/12)</f>
        <v>34.64782887210901</v>
      </c>
      <c r="H21" s="31"/>
      <c r="I21" s="46">
        <f t="shared" si="1"/>
        <v>2.886183730851272E-2</v>
      </c>
      <c r="J21" s="42">
        <f t="shared" si="0"/>
        <v>9.9573338714368891</v>
      </c>
      <c r="K21" s="31"/>
      <c r="L21" s="31"/>
    </row>
    <row r="22" spans="1:12">
      <c r="A22" s="28"/>
      <c r="B22" s="21"/>
      <c r="C22"/>
      <c r="D22" s="31">
        <v>5</v>
      </c>
      <c r="E22" s="33" t="s">
        <v>86</v>
      </c>
      <c r="F22" s="33">
        <v>1</v>
      </c>
      <c r="G22" s="34">
        <f>$G17*POWER(2,D22/12)</f>
        <v>36.708095989675947</v>
      </c>
      <c r="H22" s="31"/>
      <c r="I22" s="46">
        <f t="shared" si="1"/>
        <v>2.72419468523033E-2</v>
      </c>
      <c r="J22" s="42">
        <f t="shared" si="0"/>
        <v>9.3984716640446386</v>
      </c>
      <c r="K22" s="31"/>
      <c r="L22" s="31" t="s">
        <v>112</v>
      </c>
    </row>
    <row r="23" spans="1:12">
      <c r="A23" s="28"/>
      <c r="B23" s="22"/>
      <c r="C23"/>
      <c r="D23" s="31">
        <v>6</v>
      </c>
      <c r="E23" s="33" t="s">
        <v>87</v>
      </c>
      <c r="F23" s="33">
        <v>1</v>
      </c>
      <c r="G23" s="34">
        <f>$G17*POWER(2,D23/12)</f>
        <v>38.890872965260115</v>
      </c>
      <c r="H23" s="31"/>
      <c r="I23" s="46">
        <f t="shared" si="1"/>
        <v>2.5712973861329001E-2</v>
      </c>
      <c r="J23" s="42">
        <f t="shared" si="0"/>
        <v>8.8709759821585052</v>
      </c>
      <c r="K23" s="31"/>
      <c r="L23" s="31"/>
    </row>
    <row r="24" spans="1:12">
      <c r="A24" s="29"/>
      <c r="B24" s="21"/>
      <c r="C24"/>
      <c r="D24" s="31">
        <v>7</v>
      </c>
      <c r="E24" s="33" t="s">
        <v>88</v>
      </c>
      <c r="F24" s="33">
        <v>1</v>
      </c>
      <c r="G24" s="34">
        <f>$G17*POWER(2,D24/12)</f>
        <v>41.20344461410874</v>
      </c>
      <c r="H24" s="31"/>
      <c r="I24" s="46">
        <f t="shared" si="1"/>
        <v>2.4269815530364263E-2</v>
      </c>
      <c r="J24" s="42">
        <f t="shared" si="0"/>
        <v>8.3730863579756711</v>
      </c>
      <c r="K24" s="31"/>
      <c r="L24" s="31" t="s">
        <v>95</v>
      </c>
    </row>
    <row r="25" spans="1:12">
      <c r="A25" s="27"/>
      <c r="B25" s="21"/>
      <c r="C25"/>
      <c r="D25" s="31">
        <v>8</v>
      </c>
      <c r="E25" s="33" t="s">
        <v>9</v>
      </c>
      <c r="F25" s="33">
        <v>1</v>
      </c>
      <c r="G25" s="34">
        <f>$G17*POWER(2,D25/12)</f>
        <v>43.653528929125486</v>
      </c>
      <c r="H25" s="31"/>
      <c r="I25" s="46">
        <f t="shared" si="1"/>
        <v>2.2907655452634058E-2</v>
      </c>
      <c r="J25" s="42">
        <f t="shared" si="0"/>
        <v>7.9031411311587503</v>
      </c>
      <c r="K25" s="31"/>
      <c r="L25" s="31"/>
    </row>
    <row r="26" spans="1:12">
      <c r="A26" s="28"/>
      <c r="B26" s="22"/>
      <c r="C26"/>
      <c r="D26" s="31">
        <v>9</v>
      </c>
      <c r="E26" s="33" t="s">
        <v>89</v>
      </c>
      <c r="F26" s="33">
        <v>1</v>
      </c>
      <c r="G26" s="34">
        <f>$G17*POWER(2,D26/12)</f>
        <v>46.2493028389543</v>
      </c>
      <c r="H26" s="31"/>
      <c r="I26" s="46">
        <f t="shared" si="1"/>
        <v>2.1621947545504019E-2</v>
      </c>
      <c r="J26" s="42">
        <f t="shared" si="0"/>
        <v>7.4595719031988867</v>
      </c>
      <c r="K26" s="31"/>
      <c r="L26" s="31"/>
    </row>
    <row r="27" spans="1:12">
      <c r="A27" s="28"/>
      <c r="B27" s="21"/>
      <c r="C27"/>
      <c r="D27" s="31">
        <v>10</v>
      </c>
      <c r="E27" s="33" t="s">
        <v>90</v>
      </c>
      <c r="F27" s="33">
        <v>1</v>
      </c>
      <c r="G27" s="34">
        <f>$G17*POWER(2,D27/12)</f>
        <v>48.999429497718658</v>
      </c>
      <c r="H27" s="31"/>
      <c r="I27" s="46">
        <f t="shared" si="1"/>
        <v>2.0408400878352238E-2</v>
      </c>
      <c r="J27" s="42">
        <f t="shared" si="0"/>
        <v>7.040898303031522</v>
      </c>
      <c r="K27" s="31"/>
      <c r="L27" s="31"/>
    </row>
    <row r="28" spans="1:12">
      <c r="A28" s="28"/>
      <c r="B28" s="22"/>
      <c r="C28"/>
      <c r="D28" s="31">
        <v>11</v>
      </c>
      <c r="E28" s="33" t="s">
        <v>91</v>
      </c>
      <c r="F28" s="33">
        <v>1</v>
      </c>
      <c r="G28" s="34">
        <f>$G17*POWER(2,D28/12)</f>
        <v>51.913087197493141</v>
      </c>
      <c r="H28" s="31"/>
      <c r="I28" s="46">
        <f t="shared" si="1"/>
        <v>1.9262965351987186E-2</v>
      </c>
      <c r="J28" s="42">
        <f t="shared" si="0"/>
        <v>6.6457230464355792</v>
      </c>
      <c r="K28" s="31"/>
      <c r="L28" s="31"/>
    </row>
    <row r="29" spans="1:12">
      <c r="A29" s="28"/>
      <c r="B29" s="21"/>
      <c r="C29"/>
      <c r="D29" s="31">
        <v>0</v>
      </c>
      <c r="E29" s="33" t="s">
        <v>24</v>
      </c>
      <c r="F29" s="33">
        <v>1</v>
      </c>
      <c r="G29" s="34">
        <f>$G41/2</f>
        <v>55</v>
      </c>
      <c r="H29" s="31"/>
      <c r="I29" s="46">
        <f t="shared" si="1"/>
        <v>1.8181818181818181E-2</v>
      </c>
      <c r="J29" s="42">
        <f t="shared" si="0"/>
        <v>6.2727272727272725</v>
      </c>
      <c r="K29" s="31"/>
      <c r="L29" s="31"/>
    </row>
    <row r="30" spans="1:12">
      <c r="A30" s="28"/>
      <c r="B30" s="22"/>
      <c r="C30"/>
      <c r="D30" s="31">
        <v>1</v>
      </c>
      <c r="E30" s="33" t="s">
        <v>93</v>
      </c>
      <c r="F30" s="33">
        <v>1</v>
      </c>
      <c r="G30" s="34">
        <f>$G29*POWER(2,D30/12)</f>
        <v>58.270470189761241</v>
      </c>
      <c r="H30" s="31"/>
      <c r="I30" s="46">
        <f t="shared" si="1"/>
        <v>1.7161351139667155E-2</v>
      </c>
      <c r="J30" s="42">
        <f t="shared" si="0"/>
        <v>5.9206661431851684</v>
      </c>
      <c r="K30" s="31"/>
      <c r="L30" s="31" t="s">
        <v>111</v>
      </c>
    </row>
    <row r="31" spans="1:12">
      <c r="A31" s="29"/>
      <c r="B31" s="21"/>
      <c r="C31"/>
      <c r="D31" s="31">
        <v>2</v>
      </c>
      <c r="E31" s="33" t="s">
        <v>94</v>
      </c>
      <c r="F31" s="33">
        <v>1</v>
      </c>
      <c r="G31" s="34">
        <f>$G29*POWER(2,D31/12)</f>
        <v>61.735412657015516</v>
      </c>
      <c r="H31" s="31"/>
      <c r="I31" s="46">
        <f t="shared" si="1"/>
        <v>1.6198158511642531E-2</v>
      </c>
      <c r="J31" s="42">
        <f t="shared" si="0"/>
        <v>5.5883646865166741</v>
      </c>
      <c r="K31" s="31"/>
      <c r="L31" s="31"/>
    </row>
    <row r="32" spans="1:12">
      <c r="A32" s="27"/>
      <c r="B32" s="21"/>
      <c r="C32"/>
      <c r="D32" s="31">
        <v>3</v>
      </c>
      <c r="E32" s="33" t="s">
        <v>2</v>
      </c>
      <c r="F32" s="33">
        <v>2</v>
      </c>
      <c r="G32" s="34">
        <f>$G29*POWER(2,D32/12)</f>
        <v>65.406391325149656</v>
      </c>
      <c r="H32" s="31"/>
      <c r="I32" s="46">
        <f t="shared" si="1"/>
        <v>1.528902573188572E-2</v>
      </c>
      <c r="J32" s="42">
        <f t="shared" si="0"/>
        <v>5.2747138775005729</v>
      </c>
      <c r="K32" s="31"/>
      <c r="L32" s="31" t="s">
        <v>96</v>
      </c>
    </row>
    <row r="33" spans="1:12">
      <c r="A33" s="28"/>
      <c r="B33" s="22"/>
      <c r="C33"/>
      <c r="D33" s="31">
        <v>4</v>
      </c>
      <c r="E33" s="33" t="s">
        <v>85</v>
      </c>
      <c r="F33" s="33">
        <v>2</v>
      </c>
      <c r="G33" s="34">
        <f>$G29*POWER(2,D33/12)</f>
        <v>69.295657744218019</v>
      </c>
      <c r="H33" s="31"/>
      <c r="I33" s="46">
        <f t="shared" si="1"/>
        <v>1.443091865425636E-2</v>
      </c>
      <c r="J33" s="42">
        <f t="shared" si="0"/>
        <v>4.9786669357184445</v>
      </c>
      <c r="K33" s="31"/>
      <c r="L33" s="31"/>
    </row>
    <row r="34" spans="1:12">
      <c r="A34" s="28"/>
      <c r="B34" s="21"/>
      <c r="C34"/>
      <c r="D34" s="31">
        <v>5</v>
      </c>
      <c r="E34" s="33" t="s">
        <v>86</v>
      </c>
      <c r="F34" s="33">
        <v>2</v>
      </c>
      <c r="G34" s="34">
        <f>$G29*POWER(2,D34/12)</f>
        <v>73.416191979351893</v>
      </c>
      <c r="H34" s="31"/>
      <c r="I34" s="46">
        <f t="shared" si="1"/>
        <v>1.362097342615165E-2</v>
      </c>
      <c r="J34" s="42">
        <f t="shared" si="0"/>
        <v>4.6992358320223193</v>
      </c>
      <c r="K34" s="31"/>
      <c r="L34" s="31"/>
    </row>
    <row r="35" spans="1:12">
      <c r="A35" s="28"/>
      <c r="B35" s="22"/>
      <c r="C35"/>
      <c r="D35" s="31">
        <v>6</v>
      </c>
      <c r="E35" s="33" t="s">
        <v>87</v>
      </c>
      <c r="F35" s="33">
        <v>2</v>
      </c>
      <c r="G35" s="34">
        <f>$G29*POWER(2,D35/12)</f>
        <v>77.781745930520231</v>
      </c>
      <c r="H35" s="31"/>
      <c r="I35" s="46">
        <f t="shared" si="1"/>
        <v>1.2856486930664501E-2</v>
      </c>
      <c r="J35" s="42">
        <f t="shared" si="0"/>
        <v>4.4354879910792526</v>
      </c>
      <c r="K35" s="31"/>
      <c r="L35" s="31"/>
    </row>
    <row r="36" spans="1:12">
      <c r="A36" s="29"/>
      <c r="B36" s="21"/>
      <c r="C36"/>
      <c r="D36" s="31">
        <v>7</v>
      </c>
      <c r="E36" s="33" t="s">
        <v>88</v>
      </c>
      <c r="F36" s="33">
        <v>2</v>
      </c>
      <c r="G36" s="34">
        <f>$G29*POWER(2,D36/12)</f>
        <v>82.40688922821748</v>
      </c>
      <c r="H36" s="31"/>
      <c r="I36" s="46">
        <f t="shared" si="1"/>
        <v>1.2134907765182132E-2</v>
      </c>
      <c r="J36" s="42">
        <f t="shared" si="0"/>
        <v>4.1865431789878356</v>
      </c>
      <c r="K36" s="31"/>
      <c r="L36" s="31" t="s">
        <v>97</v>
      </c>
    </row>
    <row r="37" spans="1:12">
      <c r="A37" s="27"/>
      <c r="B37" s="21"/>
      <c r="C37"/>
      <c r="D37" s="31">
        <v>8</v>
      </c>
      <c r="E37" s="33" t="s">
        <v>9</v>
      </c>
      <c r="F37" s="33">
        <v>2</v>
      </c>
      <c r="G37" s="34">
        <f>$G29*POWER(2,D37/12)</f>
        <v>87.307057858250971</v>
      </c>
      <c r="H37" s="31"/>
      <c r="I37" s="46">
        <f t="shared" si="1"/>
        <v>1.1453827726317029E-2</v>
      </c>
      <c r="J37" s="42">
        <f t="shared" ref="J37:J68" si="2">$B$141/$G37</f>
        <v>3.9515705655793751</v>
      </c>
      <c r="K37" s="31"/>
      <c r="L37" s="31" t="s">
        <v>104</v>
      </c>
    </row>
    <row r="38" spans="1:12">
      <c r="A38" s="28"/>
      <c r="B38" s="22"/>
      <c r="C38"/>
      <c r="D38" s="31">
        <v>9</v>
      </c>
      <c r="E38" s="33" t="s">
        <v>89</v>
      </c>
      <c r="F38" s="33">
        <v>2</v>
      </c>
      <c r="G38" s="34">
        <f>$G29*POWER(2,D38/12)</f>
        <v>92.4986056779086</v>
      </c>
      <c r="H38" s="31"/>
      <c r="I38" s="46">
        <f t="shared" si="1"/>
        <v>1.081097377275201E-2</v>
      </c>
      <c r="J38" s="42">
        <f t="shared" si="2"/>
        <v>3.7297859515994434</v>
      </c>
      <c r="K38" s="31"/>
      <c r="L38" s="31"/>
    </row>
    <row r="39" spans="1:12">
      <c r="A39" s="28"/>
      <c r="B39" s="21"/>
      <c r="C39"/>
      <c r="D39" s="31">
        <v>10</v>
      </c>
      <c r="E39" s="33" t="s">
        <v>90</v>
      </c>
      <c r="F39" s="33">
        <v>2</v>
      </c>
      <c r="G39" s="34">
        <f>$G29*POWER(2,D39/12)</f>
        <v>97.998858995437317</v>
      </c>
      <c r="H39" s="31"/>
      <c r="I39" s="46">
        <f t="shared" si="1"/>
        <v>1.0204200439176119E-2</v>
      </c>
      <c r="J39" s="42">
        <f t="shared" si="2"/>
        <v>3.520449151515761</v>
      </c>
      <c r="K39" s="31"/>
      <c r="L39" s="31" t="s">
        <v>117</v>
      </c>
    </row>
    <row r="40" spans="1:12">
      <c r="A40" s="28"/>
      <c r="B40" s="22"/>
      <c r="C40"/>
      <c r="D40" s="31">
        <v>11</v>
      </c>
      <c r="E40" s="33" t="s">
        <v>91</v>
      </c>
      <c r="F40" s="33">
        <v>2</v>
      </c>
      <c r="G40" s="34">
        <f>$G29*POWER(2,D40/12)</f>
        <v>103.82617439498628</v>
      </c>
      <c r="H40" s="31"/>
      <c r="I40" s="46">
        <f t="shared" si="1"/>
        <v>9.6314826759935929E-3</v>
      </c>
      <c r="J40" s="42">
        <f t="shared" si="2"/>
        <v>3.3228615232177896</v>
      </c>
      <c r="K40" s="31"/>
      <c r="L40" s="31"/>
    </row>
    <row r="41" spans="1:12">
      <c r="A41" s="28"/>
      <c r="B41" s="21"/>
      <c r="C41"/>
      <c r="D41" s="31">
        <v>0</v>
      </c>
      <c r="E41" s="33" t="s">
        <v>24</v>
      </c>
      <c r="F41" s="33">
        <v>2</v>
      </c>
      <c r="G41" s="34">
        <f>$G53/2</f>
        <v>110</v>
      </c>
      <c r="H41" s="31"/>
      <c r="I41" s="46">
        <f t="shared" si="1"/>
        <v>9.0909090909090905E-3</v>
      </c>
      <c r="J41" s="42">
        <f t="shared" si="2"/>
        <v>3.1363636363636362</v>
      </c>
      <c r="K41" s="31"/>
      <c r="L41" s="31"/>
    </row>
    <row r="42" spans="1:12">
      <c r="A42" s="28"/>
      <c r="B42" s="22"/>
      <c r="C42"/>
      <c r="D42" s="31">
        <v>1</v>
      </c>
      <c r="E42" s="33" t="s">
        <v>93</v>
      </c>
      <c r="F42" s="33">
        <v>2</v>
      </c>
      <c r="G42" s="34">
        <f>$G41*POWER(2,D42/12)</f>
        <v>116.54094037952248</v>
      </c>
      <c r="H42" s="31"/>
      <c r="I42" s="46">
        <f t="shared" si="1"/>
        <v>8.5806755698335773E-3</v>
      </c>
      <c r="J42" s="42">
        <f t="shared" si="2"/>
        <v>2.9603330715925842</v>
      </c>
      <c r="K42" s="31"/>
      <c r="L42" s="31"/>
    </row>
    <row r="43" spans="1:12">
      <c r="A43" s="29"/>
      <c r="B43" s="21"/>
      <c r="C43"/>
      <c r="D43" s="31">
        <v>2</v>
      </c>
      <c r="E43" s="33" t="s">
        <v>94</v>
      </c>
      <c r="F43" s="33">
        <v>2</v>
      </c>
      <c r="G43" s="34">
        <f>$G41*POWER(2,D43/12)</f>
        <v>123.47082531403103</v>
      </c>
      <c r="H43" s="31"/>
      <c r="I43" s="46">
        <f t="shared" si="1"/>
        <v>8.0990792558212656E-3</v>
      </c>
      <c r="J43" s="42">
        <f t="shared" si="2"/>
        <v>2.794182343258337</v>
      </c>
      <c r="K43" s="31"/>
      <c r="L43" s="31"/>
    </row>
    <row r="44" spans="1:12">
      <c r="A44" s="27"/>
      <c r="B44" s="21"/>
      <c r="C44"/>
      <c r="D44" s="31">
        <v>3</v>
      </c>
      <c r="E44" s="33" t="s">
        <v>2</v>
      </c>
      <c r="F44" s="33">
        <v>3</v>
      </c>
      <c r="G44" s="34">
        <f>$G41*POWER(2,D44/12)</f>
        <v>130.81278265029931</v>
      </c>
      <c r="H44" s="31"/>
      <c r="I44" s="46">
        <f t="shared" si="1"/>
        <v>7.64451286594286E-3</v>
      </c>
      <c r="J44" s="42">
        <f t="shared" si="2"/>
        <v>2.6373569387502864</v>
      </c>
      <c r="K44" s="31"/>
      <c r="L44" s="31" t="s">
        <v>105</v>
      </c>
    </row>
    <row r="45" spans="1:12">
      <c r="A45" s="28"/>
      <c r="B45" s="22"/>
      <c r="C45"/>
      <c r="D45" s="31">
        <v>4</v>
      </c>
      <c r="E45" s="33" t="s">
        <v>85</v>
      </c>
      <c r="F45" s="33">
        <v>3</v>
      </c>
      <c r="G45" s="34">
        <f>$G41*POWER(2,D45/12)</f>
        <v>138.59131548843604</v>
      </c>
      <c r="H45" s="31"/>
      <c r="I45" s="46">
        <f t="shared" si="1"/>
        <v>7.21545932712818E-3</v>
      </c>
      <c r="J45" s="42">
        <f t="shared" si="2"/>
        <v>2.4893334678592223</v>
      </c>
      <c r="K45" s="31"/>
      <c r="L45" s="31"/>
    </row>
    <row r="46" spans="1:12">
      <c r="A46" s="28"/>
      <c r="B46" s="21"/>
      <c r="C46"/>
      <c r="D46" s="31">
        <v>5</v>
      </c>
      <c r="E46" s="33" t="s">
        <v>86</v>
      </c>
      <c r="F46" s="33">
        <v>3</v>
      </c>
      <c r="G46" s="34">
        <f>$G41*POWER(2,D46/12)</f>
        <v>146.83238395870379</v>
      </c>
      <c r="H46" s="31"/>
      <c r="I46" s="46">
        <f t="shared" si="1"/>
        <v>6.8104867130758251E-3</v>
      </c>
      <c r="J46" s="42">
        <f t="shared" si="2"/>
        <v>2.3496179160111597</v>
      </c>
      <c r="K46" s="31"/>
      <c r="L46" s="31"/>
    </row>
    <row r="47" spans="1:12">
      <c r="A47" s="28"/>
      <c r="B47" s="22"/>
      <c r="C47"/>
      <c r="D47" s="31">
        <v>6</v>
      </c>
      <c r="E47" s="33" t="s">
        <v>87</v>
      </c>
      <c r="F47" s="33">
        <v>3</v>
      </c>
      <c r="G47" s="34">
        <f>$G41*POWER(2,D47/12)</f>
        <v>155.56349186104046</v>
      </c>
      <c r="H47" s="31"/>
      <c r="I47" s="46">
        <f t="shared" si="1"/>
        <v>6.4282434653322503E-3</v>
      </c>
      <c r="J47" s="42">
        <f t="shared" si="2"/>
        <v>2.2177439955396263</v>
      </c>
      <c r="K47" s="31"/>
      <c r="L47" s="31"/>
    </row>
    <row r="48" spans="1:12">
      <c r="A48" s="29"/>
      <c r="B48" s="21"/>
      <c r="C48"/>
      <c r="D48" s="31">
        <v>7</v>
      </c>
      <c r="E48" s="33" t="s">
        <v>88</v>
      </c>
      <c r="F48" s="33">
        <v>3</v>
      </c>
      <c r="G48" s="34">
        <f>$G41*POWER(2,D48/12)</f>
        <v>164.81377845643496</v>
      </c>
      <c r="H48" s="31"/>
      <c r="I48" s="46">
        <f t="shared" si="1"/>
        <v>6.0674538825910658E-3</v>
      </c>
      <c r="J48" s="42">
        <f t="shared" si="2"/>
        <v>2.0932715894939178</v>
      </c>
      <c r="K48" s="31"/>
      <c r="L48" s="31"/>
    </row>
    <row r="49" spans="1:12">
      <c r="A49" s="27"/>
      <c r="B49" s="21"/>
      <c r="C49"/>
      <c r="D49" s="31">
        <v>8</v>
      </c>
      <c r="E49" s="33" t="s">
        <v>9</v>
      </c>
      <c r="F49" s="33">
        <v>3</v>
      </c>
      <c r="G49" s="34">
        <f>$G41*POWER(2,D49/12)</f>
        <v>174.61411571650194</v>
      </c>
      <c r="H49" s="31"/>
      <c r="I49" s="46">
        <f t="shared" si="1"/>
        <v>5.7269138631585144E-3</v>
      </c>
      <c r="J49" s="42">
        <f t="shared" si="2"/>
        <v>1.9757852827896876</v>
      </c>
      <c r="K49" s="31"/>
      <c r="L49" s="31"/>
    </row>
    <row r="50" spans="1:12">
      <c r="A50" s="28"/>
      <c r="B50" s="22"/>
      <c r="C50"/>
      <c r="D50" s="31">
        <v>9</v>
      </c>
      <c r="E50" s="33" t="s">
        <v>89</v>
      </c>
      <c r="F50" s="33">
        <v>3</v>
      </c>
      <c r="G50" s="34">
        <f>$G41*POWER(2,D50/12)</f>
        <v>184.9972113558172</v>
      </c>
      <c r="H50" s="31"/>
      <c r="I50" s="46">
        <f t="shared" si="1"/>
        <v>5.4054868863760049E-3</v>
      </c>
      <c r="J50" s="42">
        <f t="shared" si="2"/>
        <v>1.8648929757997217</v>
      </c>
      <c r="K50" s="31"/>
      <c r="L50" s="31" t="s">
        <v>118</v>
      </c>
    </row>
    <row r="51" spans="1:12">
      <c r="A51" s="28"/>
      <c r="B51" s="21"/>
      <c r="C51"/>
      <c r="D51" s="31">
        <v>10</v>
      </c>
      <c r="E51" s="33" t="s">
        <v>90</v>
      </c>
      <c r="F51" s="33">
        <v>3</v>
      </c>
      <c r="G51" s="34">
        <f>$G41*POWER(2,D51/12)</f>
        <v>195.99771799087463</v>
      </c>
      <c r="H51" s="31"/>
      <c r="I51" s="46">
        <f t="shared" si="1"/>
        <v>5.1021002195880596E-3</v>
      </c>
      <c r="J51" s="42">
        <f t="shared" si="2"/>
        <v>1.7602245757578805</v>
      </c>
      <c r="K51" s="31"/>
      <c r="L51" s="31" t="s">
        <v>98</v>
      </c>
    </row>
    <row r="52" spans="1:12">
      <c r="A52" s="28"/>
      <c r="B52" s="22"/>
      <c r="C52"/>
      <c r="D52" s="31">
        <v>11</v>
      </c>
      <c r="E52" s="33" t="s">
        <v>91</v>
      </c>
      <c r="F52" s="33">
        <v>3</v>
      </c>
      <c r="G52" s="34">
        <f>$G41*POWER(2,D52/12)</f>
        <v>207.65234878997256</v>
      </c>
      <c r="H52" s="31"/>
      <c r="I52" s="46">
        <f t="shared" si="1"/>
        <v>4.8157413379967965E-3</v>
      </c>
      <c r="J52" s="42">
        <f t="shared" si="2"/>
        <v>1.6614307616088948</v>
      </c>
      <c r="K52" s="31"/>
      <c r="L52" s="31"/>
    </row>
    <row r="53" spans="1:12">
      <c r="A53" s="28"/>
      <c r="B53" s="21"/>
      <c r="C53"/>
      <c r="D53" s="31">
        <v>0</v>
      </c>
      <c r="E53" s="33" t="s">
        <v>24</v>
      </c>
      <c r="F53" s="33">
        <v>3</v>
      </c>
      <c r="G53" s="34">
        <f>$G65/2</f>
        <v>220</v>
      </c>
      <c r="H53" s="31"/>
      <c r="I53" s="46">
        <f t="shared" si="1"/>
        <v>4.5454545454545452E-3</v>
      </c>
      <c r="J53" s="42">
        <f t="shared" si="2"/>
        <v>1.5681818181818181</v>
      </c>
      <c r="K53" s="31"/>
      <c r="L53" s="31"/>
    </row>
    <row r="54" spans="1:12">
      <c r="A54" s="28"/>
      <c r="B54" s="22"/>
      <c r="C54"/>
      <c r="D54" s="31">
        <v>1</v>
      </c>
      <c r="E54" s="33" t="s">
        <v>93</v>
      </c>
      <c r="F54" s="33">
        <v>3</v>
      </c>
      <c r="G54" s="34">
        <f>$G53*POWER(2,D54/12)</f>
        <v>233.08188075904496</v>
      </c>
      <c r="H54" s="31"/>
      <c r="I54" s="46">
        <f t="shared" si="1"/>
        <v>4.2903377849167887E-3</v>
      </c>
      <c r="J54" s="42">
        <f t="shared" si="2"/>
        <v>1.4801665357962921</v>
      </c>
      <c r="K54" s="31"/>
      <c r="L54" s="31"/>
    </row>
    <row r="55" spans="1:12">
      <c r="A55" s="29"/>
      <c r="B55" s="21"/>
      <c r="C55"/>
      <c r="D55" s="31">
        <v>2</v>
      </c>
      <c r="E55" s="33" t="s">
        <v>94</v>
      </c>
      <c r="F55" s="33">
        <v>3</v>
      </c>
      <c r="G55" s="34">
        <f>$G53*POWER(2,D55/12)</f>
        <v>246.94165062806206</v>
      </c>
      <c r="H55" s="31"/>
      <c r="I55" s="46">
        <f t="shared" si="1"/>
        <v>4.0495396279106328E-3</v>
      </c>
      <c r="J55" s="42">
        <f t="shared" si="2"/>
        <v>1.3970911716291685</v>
      </c>
      <c r="K55" s="31"/>
      <c r="L55" s="31" t="s">
        <v>106</v>
      </c>
    </row>
    <row r="56" spans="1:12">
      <c r="A56" s="27"/>
      <c r="B56" s="21"/>
      <c r="C56"/>
      <c r="D56" s="31">
        <v>3</v>
      </c>
      <c r="E56" s="35" t="s">
        <v>2</v>
      </c>
      <c r="F56" s="35">
        <v>4</v>
      </c>
      <c r="G56" s="36">
        <f>$G53*POWER(2,D56/12)</f>
        <v>261.62556530059862</v>
      </c>
      <c r="H56" s="31"/>
      <c r="I56" s="46">
        <f t="shared" si="1"/>
        <v>3.82225643297143E-3</v>
      </c>
      <c r="J56" s="42">
        <f t="shared" si="2"/>
        <v>1.3186784693751432</v>
      </c>
      <c r="K56" s="31"/>
      <c r="L56" s="31" t="s">
        <v>99</v>
      </c>
    </row>
    <row r="57" spans="1:12">
      <c r="A57" s="28"/>
      <c r="B57" s="22"/>
      <c r="C57"/>
      <c r="D57" s="31">
        <v>4</v>
      </c>
      <c r="E57" s="33" t="s">
        <v>85</v>
      </c>
      <c r="F57" s="33">
        <v>4</v>
      </c>
      <c r="G57" s="34">
        <f>$G53*POWER(2,D57/12)</f>
        <v>277.18263097687208</v>
      </c>
      <c r="H57" s="31"/>
      <c r="I57" s="46">
        <f t="shared" si="1"/>
        <v>3.60772966356409E-3</v>
      </c>
      <c r="J57" s="42">
        <f t="shared" si="2"/>
        <v>1.2446667339296111</v>
      </c>
      <c r="K57" s="31"/>
      <c r="L57" s="31"/>
    </row>
    <row r="58" spans="1:12">
      <c r="A58" s="28"/>
      <c r="B58" s="21"/>
      <c r="C58"/>
      <c r="D58" s="31">
        <v>5</v>
      </c>
      <c r="E58" s="33" t="s">
        <v>86</v>
      </c>
      <c r="F58" s="33">
        <v>4</v>
      </c>
      <c r="G58" s="34">
        <f>$G53*POWER(2,D58/12)</f>
        <v>293.66476791740757</v>
      </c>
      <c r="H58" s="31"/>
      <c r="I58" s="46">
        <f t="shared" si="1"/>
        <v>3.4052433565379125E-3</v>
      </c>
      <c r="J58" s="42">
        <f t="shared" si="2"/>
        <v>1.1748089580055798</v>
      </c>
      <c r="K58" s="31"/>
      <c r="L58" s="31"/>
    </row>
    <row r="59" spans="1:12">
      <c r="A59" s="28"/>
      <c r="B59" s="22"/>
      <c r="C59"/>
      <c r="D59" s="31">
        <v>6</v>
      </c>
      <c r="E59" s="33" t="s">
        <v>87</v>
      </c>
      <c r="F59" s="33">
        <v>4</v>
      </c>
      <c r="G59" s="34">
        <f>$G53*POWER(2,D59/12)</f>
        <v>311.12698372208092</v>
      </c>
      <c r="H59" s="31"/>
      <c r="I59" s="46">
        <f t="shared" si="1"/>
        <v>3.2141217326661252E-3</v>
      </c>
      <c r="J59" s="42">
        <f t="shared" si="2"/>
        <v>1.1088719977698132</v>
      </c>
      <c r="K59" s="31"/>
      <c r="L59" s="31"/>
    </row>
    <row r="60" spans="1:12">
      <c r="A60" s="29"/>
      <c r="B60" s="21"/>
      <c r="C60"/>
      <c r="D60" s="31">
        <v>7</v>
      </c>
      <c r="E60" s="33" t="s">
        <v>88</v>
      </c>
      <c r="F60" s="33">
        <v>4</v>
      </c>
      <c r="G60" s="34">
        <f>$G53*POWER(2,D60/12)</f>
        <v>329.62755691286992</v>
      </c>
      <c r="H60" s="31"/>
      <c r="I60" s="46">
        <f t="shared" si="1"/>
        <v>3.0337269412955329E-3</v>
      </c>
      <c r="J60" s="42">
        <f t="shared" si="2"/>
        <v>1.0466357947469589</v>
      </c>
      <c r="K60" s="31"/>
      <c r="L60" s="31"/>
    </row>
    <row r="61" spans="1:12">
      <c r="A61" s="27"/>
      <c r="B61" s="21"/>
      <c r="C61"/>
      <c r="D61" s="31">
        <v>8</v>
      </c>
      <c r="E61" s="33" t="s">
        <v>9</v>
      </c>
      <c r="F61" s="33">
        <v>4</v>
      </c>
      <c r="G61" s="34">
        <f>$G53*POWER(2,D61/12)</f>
        <v>349.22823143300388</v>
      </c>
      <c r="H61" s="31"/>
      <c r="I61" s="46">
        <f t="shared" si="1"/>
        <v>2.8634569315792572E-3</v>
      </c>
      <c r="J61" s="42">
        <f t="shared" si="2"/>
        <v>0.98789264139484378</v>
      </c>
      <c r="K61" s="31"/>
      <c r="L61" s="31"/>
    </row>
    <row r="62" spans="1:12">
      <c r="A62" s="28"/>
      <c r="B62" s="22"/>
      <c r="C62"/>
      <c r="D62" s="31">
        <v>9</v>
      </c>
      <c r="E62" s="33" t="s">
        <v>89</v>
      </c>
      <c r="F62" s="33">
        <v>4</v>
      </c>
      <c r="G62" s="34">
        <f>$G53*POWER(2,D62/12)</f>
        <v>369.9944227116344</v>
      </c>
      <c r="H62" s="31"/>
      <c r="I62" s="46">
        <f t="shared" si="1"/>
        <v>2.7027434431880024E-3</v>
      </c>
      <c r="J62" s="42">
        <f t="shared" si="2"/>
        <v>0.93244648789986084</v>
      </c>
      <c r="K62" s="31"/>
      <c r="L62" s="31"/>
    </row>
    <row r="63" spans="1:12">
      <c r="A63" s="28"/>
      <c r="B63" s="21"/>
      <c r="C63"/>
      <c r="D63" s="31">
        <v>10</v>
      </c>
      <c r="E63" s="33" t="s">
        <v>90</v>
      </c>
      <c r="F63" s="33">
        <v>4</v>
      </c>
      <c r="G63" s="34">
        <f>$G53*POWER(2,D63/12)</f>
        <v>391.99543598174927</v>
      </c>
      <c r="H63" s="31"/>
      <c r="I63" s="46">
        <f t="shared" si="1"/>
        <v>2.5510501097940298E-3</v>
      </c>
      <c r="J63" s="42">
        <f t="shared" si="2"/>
        <v>0.88011228787894025</v>
      </c>
      <c r="K63" s="31"/>
      <c r="L63" s="31"/>
    </row>
    <row r="64" spans="1:12">
      <c r="A64" s="28"/>
      <c r="B64" s="22"/>
      <c r="C64"/>
      <c r="D64" s="31">
        <v>11</v>
      </c>
      <c r="E64" s="33" t="s">
        <v>91</v>
      </c>
      <c r="F64" s="33">
        <v>4</v>
      </c>
      <c r="G64" s="34">
        <f>$G53*POWER(2,D64/12)</f>
        <v>415.30469757994513</v>
      </c>
      <c r="H64" s="31"/>
      <c r="I64" s="46">
        <f t="shared" si="1"/>
        <v>2.4078706689983982E-3</v>
      </c>
      <c r="J64" s="42">
        <f t="shared" si="2"/>
        <v>0.8307153808044474</v>
      </c>
      <c r="K64" s="31"/>
      <c r="L64" s="31"/>
    </row>
    <row r="65" spans="1:12">
      <c r="A65" s="28"/>
      <c r="B65" s="21"/>
      <c r="C65"/>
      <c r="D65" s="31">
        <v>0</v>
      </c>
      <c r="E65" s="35" t="s">
        <v>24</v>
      </c>
      <c r="F65" s="35">
        <v>4</v>
      </c>
      <c r="G65" s="36">
        <f>G141</f>
        <v>440</v>
      </c>
      <c r="H65" s="31"/>
      <c r="I65" s="46">
        <f t="shared" si="1"/>
        <v>2.2727272727272726E-3</v>
      </c>
      <c r="J65" s="42">
        <f t="shared" si="2"/>
        <v>0.78409090909090906</v>
      </c>
      <c r="K65" s="31"/>
      <c r="L65" s="31" t="s">
        <v>119</v>
      </c>
    </row>
    <row r="66" spans="1:12">
      <c r="A66" s="28"/>
      <c r="B66" s="22"/>
      <c r="C66"/>
      <c r="D66" s="31">
        <v>1</v>
      </c>
      <c r="E66" s="33" t="s">
        <v>93</v>
      </c>
      <c r="F66" s="33">
        <v>4</v>
      </c>
      <c r="G66" s="34">
        <f>$G65*POWER(2,D66/12)</f>
        <v>466.16376151808993</v>
      </c>
      <c r="H66" s="31"/>
      <c r="I66" s="46">
        <f t="shared" si="1"/>
        <v>2.1451688924583943E-3</v>
      </c>
      <c r="J66" s="42">
        <f t="shared" si="2"/>
        <v>0.74008326789814605</v>
      </c>
      <c r="K66" s="31"/>
      <c r="L66" s="31"/>
    </row>
    <row r="67" spans="1:12">
      <c r="A67" s="29"/>
      <c r="B67" s="21"/>
      <c r="C67"/>
      <c r="D67" s="31">
        <v>2</v>
      </c>
      <c r="E67" s="33" t="s">
        <v>94</v>
      </c>
      <c r="F67" s="33">
        <v>4</v>
      </c>
      <c r="G67" s="34">
        <f>$G65*POWER(2,D67/12)</f>
        <v>493.88330125612413</v>
      </c>
      <c r="H67" s="31"/>
      <c r="I67" s="46">
        <f t="shared" si="1"/>
        <v>2.0247698139553164E-3</v>
      </c>
      <c r="J67" s="42">
        <f t="shared" si="2"/>
        <v>0.69854558581458426</v>
      </c>
      <c r="K67" s="31"/>
      <c r="L67" s="31"/>
    </row>
    <row r="68" spans="1:12">
      <c r="A68" s="27"/>
      <c r="B68" s="21"/>
      <c r="C68"/>
      <c r="D68" s="31">
        <v>3</v>
      </c>
      <c r="E68" s="33" t="s">
        <v>2</v>
      </c>
      <c r="F68" s="33">
        <v>5</v>
      </c>
      <c r="G68" s="34">
        <f>$G65*POWER(2,D68/12)</f>
        <v>523.25113060119725</v>
      </c>
      <c r="H68" s="31"/>
      <c r="I68" s="46">
        <f t="shared" si="1"/>
        <v>1.911128216485715E-3</v>
      </c>
      <c r="J68" s="42">
        <f t="shared" si="2"/>
        <v>0.65933923468757161</v>
      </c>
      <c r="K68" s="31"/>
      <c r="L68" s="31"/>
    </row>
    <row r="69" spans="1:12">
      <c r="A69" s="28"/>
      <c r="B69" s="22"/>
      <c r="C69"/>
      <c r="D69" s="31">
        <v>4</v>
      </c>
      <c r="E69" s="33" t="s">
        <v>85</v>
      </c>
      <c r="F69" s="33">
        <v>5</v>
      </c>
      <c r="G69" s="34">
        <f>$G65*POWER(2,D69/12)</f>
        <v>554.36526195374415</v>
      </c>
      <c r="H69" s="31"/>
      <c r="I69" s="46">
        <f t="shared" si="1"/>
        <v>1.803864831782045E-3</v>
      </c>
      <c r="J69" s="42">
        <f t="shared" ref="J69:J100" si="3">$B$141/$G69</f>
        <v>0.62233336696480557</v>
      </c>
      <c r="K69" s="31"/>
      <c r="L69" s="31"/>
    </row>
    <row r="70" spans="1:12">
      <c r="A70" s="28"/>
      <c r="B70" s="21"/>
      <c r="C70"/>
      <c r="D70" s="31">
        <v>5</v>
      </c>
      <c r="E70" s="33" t="s">
        <v>86</v>
      </c>
      <c r="F70" s="33">
        <v>5</v>
      </c>
      <c r="G70" s="34">
        <f>$G65*POWER(2,D70/12)</f>
        <v>587.32953583481515</v>
      </c>
      <c r="H70" s="31"/>
      <c r="I70" s="46">
        <f t="shared" ref="I70:I133" si="4">1/G70</f>
        <v>1.7026216782689563E-3</v>
      </c>
      <c r="J70" s="42">
        <f t="shared" si="3"/>
        <v>0.58740447900278991</v>
      </c>
      <c r="K70" s="31"/>
      <c r="L70" s="31"/>
    </row>
    <row r="71" spans="1:12">
      <c r="A71" s="28"/>
      <c r="B71" s="22"/>
      <c r="C71"/>
      <c r="D71" s="31">
        <v>6</v>
      </c>
      <c r="E71" s="33" t="s">
        <v>87</v>
      </c>
      <c r="F71" s="33">
        <v>5</v>
      </c>
      <c r="G71" s="34">
        <f>$G65*POWER(2,D71/12)</f>
        <v>622.25396744416184</v>
      </c>
      <c r="H71" s="31"/>
      <c r="I71" s="46">
        <f t="shared" si="4"/>
        <v>1.6070608663330626E-3</v>
      </c>
      <c r="J71" s="42">
        <f t="shared" si="3"/>
        <v>0.55443599888490658</v>
      </c>
      <c r="K71" s="31"/>
      <c r="L71" s="31"/>
    </row>
    <row r="72" spans="1:12">
      <c r="A72" s="29"/>
      <c r="B72" s="21"/>
      <c r="C72"/>
      <c r="D72" s="31">
        <v>7</v>
      </c>
      <c r="E72" s="33" t="s">
        <v>88</v>
      </c>
      <c r="F72" s="33">
        <v>5</v>
      </c>
      <c r="G72" s="34">
        <f>$G65*POWER(2,D72/12)</f>
        <v>659.25511382573984</v>
      </c>
      <c r="H72" s="31"/>
      <c r="I72" s="46">
        <f t="shared" si="4"/>
        <v>1.5168634706477664E-3</v>
      </c>
      <c r="J72" s="42">
        <f t="shared" si="3"/>
        <v>0.52331789737347945</v>
      </c>
      <c r="K72" s="31"/>
      <c r="L72" s="31"/>
    </row>
    <row r="73" spans="1:12">
      <c r="A73" s="27"/>
      <c r="B73" s="21"/>
      <c r="C73"/>
      <c r="D73" s="31">
        <v>8</v>
      </c>
      <c r="E73" s="33" t="s">
        <v>9</v>
      </c>
      <c r="F73" s="33">
        <v>5</v>
      </c>
      <c r="G73" s="34">
        <f>$G65*POWER(2,D73/12)</f>
        <v>698.45646286600777</v>
      </c>
      <c r="H73" s="31"/>
      <c r="I73" s="46">
        <f t="shared" si="4"/>
        <v>1.4317284657896286E-3</v>
      </c>
      <c r="J73" s="42">
        <f t="shared" si="3"/>
        <v>0.49394632069742189</v>
      </c>
      <c r="K73" s="31"/>
      <c r="L73" s="31"/>
    </row>
    <row r="74" spans="1:12">
      <c r="A74" s="28"/>
      <c r="B74" s="22"/>
      <c r="C74"/>
      <c r="D74" s="31">
        <v>9</v>
      </c>
      <c r="E74" s="33" t="s">
        <v>89</v>
      </c>
      <c r="F74" s="33">
        <v>5</v>
      </c>
      <c r="G74" s="34">
        <f>$G65*POWER(2,D74/12)</f>
        <v>739.9888454232688</v>
      </c>
      <c r="H74" s="31"/>
      <c r="I74" s="46">
        <f t="shared" si="4"/>
        <v>1.3513717215940012E-3</v>
      </c>
      <c r="J74" s="42">
        <f t="shared" si="3"/>
        <v>0.46622324394993042</v>
      </c>
      <c r="K74" s="31"/>
      <c r="L74" s="31"/>
    </row>
    <row r="75" spans="1:12">
      <c r="A75" s="28"/>
      <c r="B75" s="21"/>
      <c r="C75"/>
      <c r="D75" s="31">
        <v>10</v>
      </c>
      <c r="E75" s="33" t="s">
        <v>90</v>
      </c>
      <c r="F75" s="33">
        <v>5</v>
      </c>
      <c r="G75" s="34">
        <f>$G65*POWER(2,D75/12)</f>
        <v>783.99087196349853</v>
      </c>
      <c r="H75" s="31"/>
      <c r="I75" s="46">
        <f t="shared" si="4"/>
        <v>1.2755250548970149E-3</v>
      </c>
      <c r="J75" s="42">
        <f t="shared" si="3"/>
        <v>0.44005614393947012</v>
      </c>
      <c r="K75" s="31"/>
      <c r="L75" s="31"/>
    </row>
    <row r="76" spans="1:12">
      <c r="A76" s="28"/>
      <c r="B76" s="22"/>
      <c r="C76"/>
      <c r="D76" s="31">
        <v>11</v>
      </c>
      <c r="E76" s="33" t="s">
        <v>91</v>
      </c>
      <c r="F76" s="33">
        <v>5</v>
      </c>
      <c r="G76" s="34">
        <f>$G65*POWER(2,D76/12)</f>
        <v>830.60939515989025</v>
      </c>
      <c r="H76" s="31"/>
      <c r="I76" s="46">
        <f t="shared" si="4"/>
        <v>1.2039353344991991E-3</v>
      </c>
      <c r="J76" s="42">
        <f t="shared" si="3"/>
        <v>0.4153576904022237</v>
      </c>
      <c r="K76" s="31"/>
      <c r="L76" s="31"/>
    </row>
    <row r="77" spans="1:12">
      <c r="A77" s="28"/>
      <c r="B77" s="21"/>
      <c r="C77"/>
      <c r="D77" s="31">
        <v>0</v>
      </c>
      <c r="E77" s="33" t="s">
        <v>24</v>
      </c>
      <c r="F77" s="33">
        <v>5</v>
      </c>
      <c r="G77" s="34">
        <f>$G65*2</f>
        <v>880</v>
      </c>
      <c r="H77" s="31"/>
      <c r="I77" s="46">
        <f t="shared" si="4"/>
        <v>1.1363636363636363E-3</v>
      </c>
      <c r="J77" s="42">
        <f t="shared" si="3"/>
        <v>0.39204545454545453</v>
      </c>
      <c r="K77" s="31"/>
      <c r="L77" s="31"/>
    </row>
    <row r="78" spans="1:12">
      <c r="A78" s="28"/>
      <c r="B78" s="22"/>
      <c r="C78"/>
      <c r="D78" s="31">
        <v>1</v>
      </c>
      <c r="E78" s="33" t="s">
        <v>93</v>
      </c>
      <c r="F78" s="33">
        <v>5</v>
      </c>
      <c r="G78" s="34">
        <f>$G77*POWER(2,D78/12)</f>
        <v>932.32752303617985</v>
      </c>
      <c r="H78" s="31"/>
      <c r="I78" s="46">
        <f t="shared" si="4"/>
        <v>1.0725844462291972E-3</v>
      </c>
      <c r="J78" s="42">
        <f t="shared" si="3"/>
        <v>0.37004163394907302</v>
      </c>
      <c r="K78" s="31"/>
      <c r="L78" s="31"/>
    </row>
    <row r="79" spans="1:12">
      <c r="A79" s="29"/>
      <c r="B79" s="21"/>
      <c r="C79"/>
      <c r="D79" s="31">
        <v>2</v>
      </c>
      <c r="E79" s="33" t="s">
        <v>94</v>
      </c>
      <c r="F79" s="33">
        <v>5</v>
      </c>
      <c r="G79" s="34">
        <f>$G77*POWER(2,D79/12)</f>
        <v>987.76660251224826</v>
      </c>
      <c r="H79" s="31"/>
      <c r="I79" s="46">
        <f t="shared" si="4"/>
        <v>1.0123849069776582E-3</v>
      </c>
      <c r="J79" s="42">
        <f t="shared" si="3"/>
        <v>0.34927279290729213</v>
      </c>
      <c r="K79" s="31"/>
      <c r="L79" s="31"/>
    </row>
    <row r="80" spans="1:12">
      <c r="A80" s="27"/>
      <c r="B80" s="21"/>
      <c r="C80"/>
      <c r="D80" s="31">
        <v>3</v>
      </c>
      <c r="E80" s="33" t="s">
        <v>2</v>
      </c>
      <c r="F80" s="33">
        <v>6</v>
      </c>
      <c r="G80" s="34">
        <f>$G77*POWER(2,D80/12)</f>
        <v>1046.5022612023945</v>
      </c>
      <c r="H80" s="31"/>
      <c r="I80" s="46">
        <f t="shared" si="4"/>
        <v>9.555641082428575E-4</v>
      </c>
      <c r="J80" s="42">
        <f t="shared" si="3"/>
        <v>0.3296696173437858</v>
      </c>
      <c r="K80" s="31"/>
      <c r="L80" s="31"/>
    </row>
    <row r="81" spans="1:12">
      <c r="A81" s="28"/>
      <c r="B81" s="22"/>
      <c r="C81"/>
      <c r="D81" s="31">
        <v>4</v>
      </c>
      <c r="E81" s="33" t="s">
        <v>85</v>
      </c>
      <c r="F81" s="33">
        <v>6</v>
      </c>
      <c r="G81" s="34">
        <f>$G77*POWER(2,D81/12)</f>
        <v>1108.7305239074883</v>
      </c>
      <c r="H81" s="31"/>
      <c r="I81" s="46">
        <f t="shared" si="4"/>
        <v>9.019324158910225E-4</v>
      </c>
      <c r="J81" s="42">
        <f t="shared" si="3"/>
        <v>0.31116668348240278</v>
      </c>
      <c r="K81" s="31"/>
      <c r="L81" s="31"/>
    </row>
    <row r="82" spans="1:12">
      <c r="A82" s="28"/>
      <c r="B82" s="21"/>
      <c r="C82"/>
      <c r="D82" s="31">
        <v>5</v>
      </c>
      <c r="E82" s="33" t="s">
        <v>86</v>
      </c>
      <c r="F82" s="33">
        <v>6</v>
      </c>
      <c r="G82" s="34">
        <f>$G77*POWER(2,D82/12)</f>
        <v>1174.6590716696303</v>
      </c>
      <c r="H82" s="31"/>
      <c r="I82" s="46">
        <f t="shared" si="4"/>
        <v>8.5131083913447814E-4</v>
      </c>
      <c r="J82" s="42">
        <f t="shared" si="3"/>
        <v>0.29370223950139496</v>
      </c>
      <c r="K82" s="31"/>
      <c r="L82" s="31"/>
    </row>
    <row r="83" spans="1:12">
      <c r="A83" s="28"/>
      <c r="B83" s="22"/>
      <c r="C83"/>
      <c r="D83" s="31">
        <v>6</v>
      </c>
      <c r="E83" s="33" t="s">
        <v>87</v>
      </c>
      <c r="F83" s="33">
        <v>6</v>
      </c>
      <c r="G83" s="34">
        <f>$G77*POWER(2,D83/12)</f>
        <v>1244.5079348883237</v>
      </c>
      <c r="H83" s="31"/>
      <c r="I83" s="46">
        <f t="shared" si="4"/>
        <v>8.0353043316653129E-4</v>
      </c>
      <c r="J83" s="42">
        <f t="shared" si="3"/>
        <v>0.27721799944245329</v>
      </c>
      <c r="K83" s="31"/>
      <c r="L83" s="31"/>
    </row>
    <row r="84" spans="1:12">
      <c r="A84" s="29"/>
      <c r="B84" s="21"/>
      <c r="C84"/>
      <c r="D84" s="31">
        <v>7</v>
      </c>
      <c r="E84" s="33" t="s">
        <v>88</v>
      </c>
      <c r="F84" s="33">
        <v>6</v>
      </c>
      <c r="G84" s="34">
        <f>$G77*POWER(2,D84/12)</f>
        <v>1318.5102276514797</v>
      </c>
      <c r="H84" s="31"/>
      <c r="I84" s="46">
        <f t="shared" si="4"/>
        <v>7.5843173532388322E-4</v>
      </c>
      <c r="J84" s="42">
        <f t="shared" si="3"/>
        <v>0.26165894868673972</v>
      </c>
      <c r="K84" s="31"/>
      <c r="L84" s="31"/>
    </row>
    <row r="85" spans="1:12">
      <c r="A85" s="27"/>
      <c r="B85" s="21"/>
      <c r="C85"/>
      <c r="D85" s="31">
        <v>8</v>
      </c>
      <c r="E85" s="33" t="s">
        <v>9</v>
      </c>
      <c r="F85" s="33">
        <v>6</v>
      </c>
      <c r="G85" s="34">
        <f>$G77*POWER(2,D85/12)</f>
        <v>1396.9129257320155</v>
      </c>
      <c r="H85" s="31"/>
      <c r="I85" s="46">
        <f t="shared" si="4"/>
        <v>7.158642328948143E-4</v>
      </c>
      <c r="J85" s="42">
        <f t="shared" si="3"/>
        <v>0.24697316034871095</v>
      </c>
      <c r="K85" s="31"/>
      <c r="L85" s="31"/>
    </row>
    <row r="86" spans="1:12">
      <c r="A86" s="28"/>
      <c r="B86" s="22"/>
      <c r="C86"/>
      <c r="D86" s="31">
        <v>9</v>
      </c>
      <c r="E86" s="33" t="s">
        <v>89</v>
      </c>
      <c r="F86" s="33">
        <v>6</v>
      </c>
      <c r="G86" s="34">
        <f>$G77*POWER(2,D86/12)</f>
        <v>1479.9776908465376</v>
      </c>
      <c r="H86" s="31"/>
      <c r="I86" s="46">
        <f t="shared" si="4"/>
        <v>6.7568586079700061E-4</v>
      </c>
      <c r="J86" s="42">
        <f t="shared" si="3"/>
        <v>0.23311162197496521</v>
      </c>
      <c r="K86" s="31"/>
      <c r="L86" s="31"/>
    </row>
    <row r="87" spans="1:12">
      <c r="A87" s="28"/>
      <c r="B87" s="21"/>
      <c r="C87"/>
      <c r="D87" s="31">
        <v>10</v>
      </c>
      <c r="E87" s="33" t="s">
        <v>90</v>
      </c>
      <c r="F87" s="33">
        <v>6</v>
      </c>
      <c r="G87" s="34">
        <f>$G77*POWER(2,D87/12)</f>
        <v>1567.9817439269971</v>
      </c>
      <c r="H87" s="31"/>
      <c r="I87" s="46">
        <f t="shared" si="4"/>
        <v>6.3776252744850745E-4</v>
      </c>
      <c r="J87" s="42">
        <f t="shared" si="3"/>
        <v>0.22002807196973506</v>
      </c>
      <c r="K87" s="31"/>
      <c r="L87" s="31"/>
    </row>
    <row r="88" spans="1:12">
      <c r="A88" s="28"/>
      <c r="B88" s="22"/>
      <c r="C88"/>
      <c r="D88" s="31">
        <v>11</v>
      </c>
      <c r="E88" s="33" t="s">
        <v>91</v>
      </c>
      <c r="F88" s="33">
        <v>6</v>
      </c>
      <c r="G88" s="34">
        <f>$G77*POWER(2,D88/12)</f>
        <v>1661.2187903197805</v>
      </c>
      <c r="H88" s="31"/>
      <c r="I88" s="46">
        <f t="shared" si="4"/>
        <v>6.0196766724959956E-4</v>
      </c>
      <c r="J88" s="42">
        <f t="shared" si="3"/>
        <v>0.20767884520111185</v>
      </c>
      <c r="K88" s="31"/>
      <c r="L88" s="31"/>
    </row>
    <row r="89" spans="1:12">
      <c r="A89" s="28"/>
      <c r="B89" s="21"/>
      <c r="C89"/>
      <c r="D89" s="31">
        <v>0</v>
      </c>
      <c r="E89" s="33" t="s">
        <v>24</v>
      </c>
      <c r="F89" s="33">
        <v>6</v>
      </c>
      <c r="G89" s="34">
        <f>$G77*2</f>
        <v>1760</v>
      </c>
      <c r="H89" s="31"/>
      <c r="I89" s="46">
        <f t="shared" si="4"/>
        <v>5.6818181818181815E-4</v>
      </c>
      <c r="J89" s="42">
        <f t="shared" si="3"/>
        <v>0.19602272727272727</v>
      </c>
      <c r="K89" s="31"/>
      <c r="L89" s="31"/>
    </row>
    <row r="90" spans="1:12">
      <c r="A90" s="28"/>
      <c r="B90" s="22"/>
      <c r="C90"/>
      <c r="D90" s="31">
        <v>1</v>
      </c>
      <c r="E90" s="33" t="s">
        <v>93</v>
      </c>
      <c r="F90" s="33">
        <v>6</v>
      </c>
      <c r="G90" s="34">
        <f>$G89*POWER(2,D90/12)</f>
        <v>1864.6550460723597</v>
      </c>
      <c r="H90" s="31"/>
      <c r="I90" s="46">
        <f t="shared" si="4"/>
        <v>5.3629222311459858E-4</v>
      </c>
      <c r="J90" s="42">
        <f t="shared" si="3"/>
        <v>0.18502081697453651</v>
      </c>
      <c r="K90" s="31"/>
      <c r="L90" s="31"/>
    </row>
    <row r="91" spans="1:12">
      <c r="A91" s="29"/>
      <c r="B91" s="21"/>
      <c r="C91"/>
      <c r="D91" s="31">
        <v>2</v>
      </c>
      <c r="E91" s="33" t="s">
        <v>94</v>
      </c>
      <c r="F91" s="33">
        <v>6</v>
      </c>
      <c r="G91" s="34">
        <f>$G89*POWER(2,D91/12)</f>
        <v>1975.5332050244965</v>
      </c>
      <c r="H91" s="31"/>
      <c r="I91" s="46">
        <f t="shared" si="4"/>
        <v>5.061924534888291E-4</v>
      </c>
      <c r="J91" s="42">
        <f t="shared" si="3"/>
        <v>0.17463639645364606</v>
      </c>
      <c r="K91" s="31"/>
      <c r="L91" s="31"/>
    </row>
    <row r="92" spans="1:12">
      <c r="A92" s="27"/>
      <c r="B92" s="21"/>
      <c r="C92"/>
      <c r="D92" s="31">
        <v>3</v>
      </c>
      <c r="E92" s="33" t="s">
        <v>2</v>
      </c>
      <c r="F92" s="33">
        <v>7</v>
      </c>
      <c r="G92" s="34">
        <f>$G89*POWER(2,D92/12)</f>
        <v>2093.004522404789</v>
      </c>
      <c r="H92" s="31"/>
      <c r="I92" s="46">
        <f t="shared" si="4"/>
        <v>4.7778205412142875E-4</v>
      </c>
      <c r="J92" s="42">
        <f t="shared" si="3"/>
        <v>0.1648348086718929</v>
      </c>
      <c r="K92" s="31"/>
      <c r="L92" s="31"/>
    </row>
    <row r="93" spans="1:12">
      <c r="A93" s="28"/>
      <c r="B93" s="22"/>
      <c r="C93"/>
      <c r="D93" s="31">
        <v>4</v>
      </c>
      <c r="E93" s="33" t="s">
        <v>85</v>
      </c>
      <c r="F93" s="33">
        <v>7</v>
      </c>
      <c r="G93" s="34">
        <f>$G89*POWER(2,D93/12)</f>
        <v>2217.4610478149766</v>
      </c>
      <c r="H93" s="31"/>
      <c r="I93" s="46">
        <f t="shared" si="4"/>
        <v>4.5096620794551125E-4</v>
      </c>
      <c r="J93" s="42">
        <f t="shared" si="3"/>
        <v>0.15558334174120139</v>
      </c>
      <c r="K93" s="31"/>
      <c r="L93" s="31"/>
    </row>
    <row r="94" spans="1:12">
      <c r="A94" s="28"/>
      <c r="B94" s="21"/>
      <c r="C94"/>
      <c r="D94" s="31">
        <v>5</v>
      </c>
      <c r="E94" s="33" t="s">
        <v>86</v>
      </c>
      <c r="F94" s="33">
        <v>7</v>
      </c>
      <c r="G94" s="34">
        <f>$G89*POWER(2,D94/12)</f>
        <v>2349.3181433392606</v>
      </c>
      <c r="H94" s="31"/>
      <c r="I94" s="46">
        <f t="shared" si="4"/>
        <v>4.2565541956723907E-4</v>
      </c>
      <c r="J94" s="42">
        <f t="shared" si="3"/>
        <v>0.14685111975069748</v>
      </c>
      <c r="K94" s="31"/>
      <c r="L94" s="31"/>
    </row>
    <row r="95" spans="1:12">
      <c r="A95" s="28"/>
      <c r="B95" s="22"/>
      <c r="C95"/>
      <c r="D95" s="31">
        <v>6</v>
      </c>
      <c r="E95" s="33" t="s">
        <v>87</v>
      </c>
      <c r="F95" s="33">
        <v>7</v>
      </c>
      <c r="G95" s="34">
        <f>$G89*POWER(2,D95/12)</f>
        <v>2489.0158697766474</v>
      </c>
      <c r="H95" s="31"/>
      <c r="I95" s="46">
        <f t="shared" si="4"/>
        <v>4.0176521658326564E-4</v>
      </c>
      <c r="J95" s="42">
        <f t="shared" si="3"/>
        <v>0.13860899972122664</v>
      </c>
      <c r="K95" s="31"/>
      <c r="L95" s="31"/>
    </row>
    <row r="96" spans="1:12">
      <c r="A96" s="29"/>
      <c r="B96" s="21"/>
      <c r="C96"/>
      <c r="D96" s="31">
        <v>7</v>
      </c>
      <c r="E96" s="33" t="s">
        <v>88</v>
      </c>
      <c r="F96" s="33">
        <v>7</v>
      </c>
      <c r="G96" s="34">
        <f>$G89*POWER(2,D96/12)</f>
        <v>2637.0204553029594</v>
      </c>
      <c r="H96" s="31"/>
      <c r="I96" s="46">
        <f t="shared" si="4"/>
        <v>3.7921586766194161E-4</v>
      </c>
      <c r="J96" s="42">
        <f t="shared" si="3"/>
        <v>0.13082947434336986</v>
      </c>
      <c r="K96" s="31"/>
      <c r="L96" s="31"/>
    </row>
    <row r="97" spans="1:12">
      <c r="A97" s="27"/>
      <c r="B97" s="21"/>
      <c r="C97"/>
      <c r="D97" s="31">
        <v>8</v>
      </c>
      <c r="E97" s="33" t="s">
        <v>9</v>
      </c>
      <c r="F97" s="33">
        <v>7</v>
      </c>
      <c r="G97" s="34">
        <f>$G89*POWER(2,D97/12)</f>
        <v>2793.8258514640311</v>
      </c>
      <c r="H97" s="31"/>
      <c r="I97" s="46">
        <f t="shared" si="4"/>
        <v>3.5793211644740715E-4</v>
      </c>
      <c r="J97" s="42">
        <f t="shared" si="3"/>
        <v>0.12348658017435547</v>
      </c>
      <c r="K97" s="31"/>
      <c r="L97" s="31"/>
    </row>
    <row r="98" spans="1:12">
      <c r="A98" s="28"/>
      <c r="B98" s="22"/>
      <c r="C98"/>
      <c r="D98" s="31">
        <v>9</v>
      </c>
      <c r="E98" s="33" t="s">
        <v>89</v>
      </c>
      <c r="F98" s="33">
        <v>7</v>
      </c>
      <c r="G98" s="34">
        <f>$G89*POWER(2,D98/12)</f>
        <v>2959.9553816930752</v>
      </c>
      <c r="H98" s="31"/>
      <c r="I98" s="46">
        <f t="shared" si="4"/>
        <v>3.378429303985003E-4</v>
      </c>
      <c r="J98" s="42">
        <f t="shared" si="3"/>
        <v>0.11655581098748261</v>
      </c>
      <c r="K98" s="31"/>
      <c r="L98" s="31"/>
    </row>
    <row r="99" spans="1:12">
      <c r="A99" s="28"/>
      <c r="B99" s="21"/>
      <c r="C99"/>
      <c r="D99" s="31">
        <v>10</v>
      </c>
      <c r="E99" s="33" t="s">
        <v>90</v>
      </c>
      <c r="F99" s="33">
        <v>7</v>
      </c>
      <c r="G99" s="34">
        <f>$G89*POWER(2,D99/12)</f>
        <v>3135.9634878539941</v>
      </c>
      <c r="H99" s="31"/>
      <c r="I99" s="46">
        <f t="shared" si="4"/>
        <v>3.1888126372425372E-4</v>
      </c>
      <c r="J99" s="42">
        <f t="shared" si="3"/>
        <v>0.11001403598486753</v>
      </c>
      <c r="K99" s="31"/>
      <c r="L99" s="31"/>
    </row>
    <row r="100" spans="1:12">
      <c r="A100" s="28"/>
      <c r="B100" s="22"/>
      <c r="C100"/>
      <c r="D100" s="31">
        <v>11</v>
      </c>
      <c r="E100" s="33" t="s">
        <v>91</v>
      </c>
      <c r="F100" s="33">
        <v>7</v>
      </c>
      <c r="G100" s="34">
        <f>$G89*POWER(2,D100/12)</f>
        <v>3322.437580639561</v>
      </c>
      <c r="H100" s="31"/>
      <c r="I100" s="46">
        <f t="shared" si="4"/>
        <v>3.0098383362479978E-4</v>
      </c>
      <c r="J100" s="42">
        <f t="shared" si="3"/>
        <v>0.10383942260055593</v>
      </c>
      <c r="K100" s="31"/>
      <c r="L100" s="31"/>
    </row>
    <row r="101" spans="1:12">
      <c r="A101" s="28"/>
      <c r="B101" s="21"/>
      <c r="C101"/>
      <c r="D101" s="31">
        <v>0</v>
      </c>
      <c r="E101" s="33" t="s">
        <v>24</v>
      </c>
      <c r="F101" s="33">
        <v>7</v>
      </c>
      <c r="G101" s="34">
        <f>$G89*2</f>
        <v>3520</v>
      </c>
      <c r="H101" s="31"/>
      <c r="I101" s="46">
        <f t="shared" si="4"/>
        <v>2.8409090909090908E-4</v>
      </c>
      <c r="J101" s="42">
        <f t="shared" ref="J101:J132" si="5">$B$141/$G101</f>
        <v>9.8011363636363633E-2</v>
      </c>
      <c r="K101" s="31"/>
      <c r="L101" s="31"/>
    </row>
    <row r="102" spans="1:12">
      <c r="A102" s="28"/>
      <c r="B102" s="22"/>
      <c r="C102"/>
      <c r="D102" s="31">
        <v>1</v>
      </c>
      <c r="E102" s="33" t="s">
        <v>93</v>
      </c>
      <c r="F102" s="33">
        <v>7</v>
      </c>
      <c r="G102" s="34">
        <f>$G101*POWER(2,D102/12)</f>
        <v>3729.3100921447194</v>
      </c>
      <c r="H102" s="31"/>
      <c r="I102" s="46">
        <f t="shared" si="4"/>
        <v>2.6814611155729929E-4</v>
      </c>
      <c r="J102" s="42">
        <f t="shared" si="5"/>
        <v>9.2510408487268256E-2</v>
      </c>
      <c r="K102" s="31"/>
      <c r="L102" s="31"/>
    </row>
    <row r="103" spans="1:12">
      <c r="A103" s="29"/>
      <c r="B103" s="23"/>
      <c r="C103"/>
      <c r="D103" s="31">
        <v>2</v>
      </c>
      <c r="E103" s="33" t="s">
        <v>94</v>
      </c>
      <c r="F103" s="33">
        <v>7</v>
      </c>
      <c r="G103" s="34">
        <f>$G101*POWER(2,D103/12)</f>
        <v>3951.066410048993</v>
      </c>
      <c r="H103" s="31"/>
      <c r="I103" s="46">
        <f t="shared" si="4"/>
        <v>2.5309622674441455E-4</v>
      </c>
      <c r="J103" s="42">
        <f t="shared" si="5"/>
        <v>8.7318198226823032E-2</v>
      </c>
      <c r="K103" s="31"/>
      <c r="L103" s="31"/>
    </row>
    <row r="104" spans="1:12">
      <c r="A104" s="30"/>
      <c r="B104" s="21"/>
      <c r="C104"/>
      <c r="D104" s="31">
        <v>3</v>
      </c>
      <c r="E104" s="33" t="s">
        <v>2</v>
      </c>
      <c r="F104" s="33">
        <v>8</v>
      </c>
      <c r="G104" s="34">
        <f>$G101*POWER(2,D104/12)</f>
        <v>4186.009044809578</v>
      </c>
      <c r="H104" s="31"/>
      <c r="I104" s="46">
        <f t="shared" si="4"/>
        <v>2.3889102706071437E-4</v>
      </c>
      <c r="J104" s="42">
        <f t="shared" si="5"/>
        <v>8.2417404335946451E-2</v>
      </c>
      <c r="K104" s="31"/>
      <c r="L104" s="31"/>
    </row>
    <row r="105" spans="1:12">
      <c r="A105" s="24"/>
      <c r="B105" s="18"/>
      <c r="C105"/>
      <c r="D105" s="31">
        <v>4</v>
      </c>
      <c r="E105" s="33" t="s">
        <v>85</v>
      </c>
      <c r="F105" s="33">
        <v>8</v>
      </c>
      <c r="G105" s="34">
        <f>$G101*POWER(2,D105/12)</f>
        <v>4434.9220956299532</v>
      </c>
      <c r="H105" s="31"/>
      <c r="I105" s="46">
        <f t="shared" si="4"/>
        <v>2.2548310397275563E-4</v>
      </c>
      <c r="J105" s="42">
        <f t="shared" si="5"/>
        <v>7.7791670870600696E-2</v>
      </c>
      <c r="K105" s="31"/>
      <c r="L105" s="31"/>
    </row>
    <row r="106" spans="1:12">
      <c r="A106" s="24"/>
      <c r="B106" s="17"/>
      <c r="C106"/>
      <c r="D106" s="31">
        <v>5</v>
      </c>
      <c r="E106" s="33" t="s">
        <v>86</v>
      </c>
      <c r="F106" s="33">
        <v>8</v>
      </c>
      <c r="G106" s="34">
        <f>$G101*POWER(2,D106/12)</f>
        <v>4698.6362866785212</v>
      </c>
      <c r="H106" s="31"/>
      <c r="I106" s="46">
        <f t="shared" si="4"/>
        <v>2.1282770978361953E-4</v>
      </c>
      <c r="J106" s="42">
        <f t="shared" si="5"/>
        <v>7.3425559875348739E-2</v>
      </c>
      <c r="K106" s="31"/>
      <c r="L106" s="31"/>
    </row>
    <row r="107" spans="1:12">
      <c r="A107" s="24"/>
      <c r="B107" s="18"/>
      <c r="C107"/>
      <c r="D107" s="31">
        <v>6</v>
      </c>
      <c r="E107" s="33" t="s">
        <v>87</v>
      </c>
      <c r="F107" s="33">
        <v>8</v>
      </c>
      <c r="G107" s="34">
        <f>$G101*POWER(2,D107/12)</f>
        <v>4978.0317395532948</v>
      </c>
      <c r="H107" s="31"/>
      <c r="I107" s="46">
        <f t="shared" si="4"/>
        <v>2.0088260829163282E-4</v>
      </c>
      <c r="J107" s="42">
        <f t="shared" si="5"/>
        <v>6.9304499860613322E-2</v>
      </c>
      <c r="K107" s="31"/>
      <c r="L107" s="31"/>
    </row>
    <row r="108" spans="1:12">
      <c r="A108" s="25"/>
      <c r="B108" s="19"/>
      <c r="C108"/>
      <c r="D108" s="31">
        <v>7</v>
      </c>
      <c r="E108" s="33" t="s">
        <v>88</v>
      </c>
      <c r="F108" s="33">
        <v>8</v>
      </c>
      <c r="G108" s="34">
        <f>$G101*POWER(2,D108/12)</f>
        <v>5274.0409106059187</v>
      </c>
      <c r="H108" s="31"/>
      <c r="I108" s="46">
        <f t="shared" si="4"/>
        <v>1.8960793383097081E-4</v>
      </c>
      <c r="J108" s="42">
        <f t="shared" si="5"/>
        <v>6.5414737171684931E-2</v>
      </c>
      <c r="K108" s="31"/>
      <c r="L108" s="31"/>
    </row>
    <row r="109" spans="1:12">
      <c r="A109" s="26"/>
      <c r="B109" s="20"/>
      <c r="C109"/>
      <c r="D109" s="31">
        <v>8</v>
      </c>
      <c r="E109" s="33" t="s">
        <v>9</v>
      </c>
      <c r="F109" s="33">
        <v>8</v>
      </c>
      <c r="G109" s="34">
        <f>$G101*POWER(2,D109/12)</f>
        <v>5587.6517029280622</v>
      </c>
      <c r="H109" s="31"/>
      <c r="I109" s="46">
        <f t="shared" si="4"/>
        <v>1.7896605822370358E-4</v>
      </c>
      <c r="J109" s="42">
        <f t="shared" si="5"/>
        <v>6.1743290087177737E-2</v>
      </c>
      <c r="K109" s="31"/>
      <c r="L109" s="31"/>
    </row>
    <row r="110" spans="1:12">
      <c r="A110" s="24"/>
      <c r="B110" s="18"/>
      <c r="C110"/>
      <c r="D110" s="31">
        <v>9</v>
      </c>
      <c r="E110" s="33" t="s">
        <v>89</v>
      </c>
      <c r="F110" s="33">
        <v>8</v>
      </c>
      <c r="G110" s="34">
        <f>$G101*POWER(2,D110/12)</f>
        <v>5919.9107633861504</v>
      </c>
      <c r="H110" s="31"/>
      <c r="I110" s="46">
        <f t="shared" si="4"/>
        <v>1.6892146519925015E-4</v>
      </c>
      <c r="J110" s="42">
        <f t="shared" si="5"/>
        <v>5.8277905493741303E-2</v>
      </c>
      <c r="K110" s="31"/>
      <c r="L110" s="31"/>
    </row>
    <row r="111" spans="1:12">
      <c r="A111" s="24"/>
      <c r="B111" s="17"/>
      <c r="C111"/>
      <c r="D111" s="31">
        <v>10</v>
      </c>
      <c r="E111" s="33" t="s">
        <v>90</v>
      </c>
      <c r="F111" s="33">
        <v>8</v>
      </c>
      <c r="G111" s="34">
        <f>$G101*POWER(2,D111/12)</f>
        <v>6271.9269757079883</v>
      </c>
      <c r="H111" s="31"/>
      <c r="I111" s="46">
        <f t="shared" si="4"/>
        <v>1.5944063186212686E-4</v>
      </c>
      <c r="J111" s="42">
        <f t="shared" si="5"/>
        <v>5.5007017992433765E-2</v>
      </c>
      <c r="K111" s="31"/>
      <c r="L111" s="31"/>
    </row>
    <row r="112" spans="1:12">
      <c r="A112" s="24"/>
      <c r="B112" s="18"/>
      <c r="C112"/>
      <c r="D112" s="31">
        <v>11</v>
      </c>
      <c r="E112" s="33" t="s">
        <v>91</v>
      </c>
      <c r="F112" s="33">
        <v>8</v>
      </c>
      <c r="G112" s="34">
        <f>$G101*POWER(2,D112/12)</f>
        <v>6644.875161279122</v>
      </c>
      <c r="H112" s="31"/>
      <c r="I112" s="46">
        <f t="shared" si="4"/>
        <v>1.5049191681239989E-4</v>
      </c>
      <c r="J112" s="42">
        <f t="shared" si="5"/>
        <v>5.1919711300277963E-2</v>
      </c>
      <c r="K112" s="31"/>
      <c r="L112" s="31"/>
    </row>
    <row r="113" spans="1:12">
      <c r="A113" s="24"/>
      <c r="B113" s="17"/>
      <c r="C113"/>
      <c r="D113" s="31">
        <v>0</v>
      </c>
      <c r="E113" s="33" t="s">
        <v>24</v>
      </c>
      <c r="F113" s="33">
        <v>8</v>
      </c>
      <c r="G113" s="34">
        <f>$G101*2</f>
        <v>7040</v>
      </c>
      <c r="H113" s="31"/>
      <c r="I113" s="46">
        <f t="shared" si="4"/>
        <v>1.4204545454545454E-4</v>
      </c>
      <c r="J113" s="42">
        <f t="shared" si="5"/>
        <v>4.9005681818181816E-2</v>
      </c>
      <c r="K113" s="31"/>
      <c r="L113" s="31"/>
    </row>
    <row r="114" spans="1:12">
      <c r="A114" s="24"/>
      <c r="B114" s="18"/>
      <c r="C114"/>
      <c r="D114" s="31">
        <v>1</v>
      </c>
      <c r="E114" s="33" t="s">
        <v>93</v>
      </c>
      <c r="F114" s="33">
        <v>8</v>
      </c>
      <c r="G114" s="34">
        <f>$G113*POWER(2,D114/12)</f>
        <v>7458.6201842894388</v>
      </c>
      <c r="H114" s="31"/>
      <c r="I114" s="46">
        <f t="shared" si="4"/>
        <v>1.3407305577864965E-4</v>
      </c>
      <c r="J114" s="42">
        <f t="shared" si="5"/>
        <v>4.6255204243634128E-2</v>
      </c>
      <c r="K114" s="31"/>
      <c r="L114" s="31"/>
    </row>
    <row r="115" spans="1:12">
      <c r="A115" s="25"/>
      <c r="B115" s="19"/>
      <c r="C115"/>
      <c r="D115" s="31">
        <v>2</v>
      </c>
      <c r="E115" s="33" t="s">
        <v>94</v>
      </c>
      <c r="F115" s="33">
        <v>8</v>
      </c>
      <c r="G115" s="34">
        <f>$G113*POWER(2,D115/12)</f>
        <v>7902.132820097986</v>
      </c>
      <c r="H115" s="31"/>
      <c r="I115" s="46">
        <f t="shared" si="4"/>
        <v>1.2654811337220727E-4</v>
      </c>
      <c r="J115" s="42">
        <f t="shared" si="5"/>
        <v>4.3659099113411516E-2</v>
      </c>
      <c r="K115" s="31"/>
      <c r="L115" s="31"/>
    </row>
    <row r="116" spans="1:12">
      <c r="A116" s="26"/>
      <c r="B116" s="20"/>
      <c r="C116"/>
      <c r="D116" s="31">
        <v>3</v>
      </c>
      <c r="E116" s="33" t="s">
        <v>2</v>
      </c>
      <c r="F116" s="33">
        <v>9</v>
      </c>
      <c r="G116" s="34">
        <f>$G113*POWER(2,D116/12)</f>
        <v>8372.0180896191559</v>
      </c>
      <c r="H116" s="31"/>
      <c r="I116" s="46">
        <f t="shared" si="4"/>
        <v>1.1944551353035719E-4</v>
      </c>
      <c r="J116" s="42">
        <f t="shared" si="5"/>
        <v>4.1208702167973225E-2</v>
      </c>
      <c r="K116" s="31"/>
      <c r="L116" s="31"/>
    </row>
    <row r="117" spans="1:12">
      <c r="A117" s="24"/>
      <c r="B117" s="18"/>
      <c r="C117"/>
      <c r="D117" s="31">
        <v>4</v>
      </c>
      <c r="E117" s="33" t="s">
        <v>85</v>
      </c>
      <c r="F117" s="33">
        <v>9</v>
      </c>
      <c r="G117" s="34">
        <f>$G113*POWER(2,D117/12)</f>
        <v>8869.8441912599064</v>
      </c>
      <c r="H117" s="31"/>
      <c r="I117" s="46">
        <f t="shared" si="4"/>
        <v>1.1274155198637781E-4</v>
      </c>
      <c r="J117" s="42">
        <f t="shared" si="5"/>
        <v>3.8895835435300348E-2</v>
      </c>
      <c r="K117" s="31"/>
      <c r="L117" s="31"/>
    </row>
    <row r="118" spans="1:12">
      <c r="A118" s="24"/>
      <c r="B118" s="17"/>
      <c r="C118"/>
      <c r="D118" s="31">
        <v>5</v>
      </c>
      <c r="E118" s="33" t="s">
        <v>86</v>
      </c>
      <c r="F118" s="33">
        <v>9</v>
      </c>
      <c r="G118" s="34">
        <f>$G113*POWER(2,D118/12)</f>
        <v>9397.2725733570423</v>
      </c>
      <c r="H118" s="31"/>
      <c r="I118" s="46">
        <f t="shared" si="4"/>
        <v>1.0641385489180977E-4</v>
      </c>
      <c r="J118" s="42">
        <f t="shared" si="5"/>
        <v>3.671277993767437E-2</v>
      </c>
      <c r="K118" s="31"/>
      <c r="L118" s="31"/>
    </row>
    <row r="119" spans="1:12">
      <c r="A119" s="24"/>
      <c r="B119" s="18"/>
      <c r="C119"/>
      <c r="D119" s="31">
        <v>6</v>
      </c>
      <c r="E119" s="33" t="s">
        <v>87</v>
      </c>
      <c r="F119" s="33">
        <v>9</v>
      </c>
      <c r="G119" s="34">
        <f>$G113*POWER(2,D119/12)</f>
        <v>9956.0634791065895</v>
      </c>
      <c r="H119" s="31"/>
      <c r="I119" s="46">
        <f t="shared" si="4"/>
        <v>1.0044130414581641E-4</v>
      </c>
      <c r="J119" s="42">
        <f t="shared" si="5"/>
        <v>3.4652249930306661E-2</v>
      </c>
      <c r="K119" s="31"/>
      <c r="L119" s="31"/>
    </row>
    <row r="120" spans="1:12">
      <c r="A120" s="25"/>
      <c r="B120" s="19"/>
      <c r="C120"/>
      <c r="D120" s="31">
        <v>7</v>
      </c>
      <c r="E120" s="33" t="s">
        <v>88</v>
      </c>
      <c r="F120" s="33">
        <v>9</v>
      </c>
      <c r="G120" s="34">
        <f>$G113*POWER(2,D120/12)</f>
        <v>10548.081821211837</v>
      </c>
      <c r="H120" s="31"/>
      <c r="I120" s="46">
        <f t="shared" si="4"/>
        <v>9.4803966915485403E-5</v>
      </c>
      <c r="J120" s="42">
        <f t="shared" si="5"/>
        <v>3.2707368585842465E-2</v>
      </c>
      <c r="K120" s="31"/>
      <c r="L120" s="31"/>
    </row>
    <row r="121" spans="1:12">
      <c r="A121" s="26"/>
      <c r="B121" s="20"/>
      <c r="C121"/>
      <c r="D121" s="31">
        <v>8</v>
      </c>
      <c r="E121" s="33" t="s">
        <v>9</v>
      </c>
      <c r="F121" s="33">
        <v>9</v>
      </c>
      <c r="G121" s="34">
        <f>$G113*POWER(2,D121/12)</f>
        <v>11175.303405856124</v>
      </c>
      <c r="H121" s="31"/>
      <c r="I121" s="46">
        <f t="shared" si="4"/>
        <v>8.9483029111851788E-5</v>
      </c>
      <c r="J121" s="42">
        <f t="shared" si="5"/>
        <v>3.0871645043588868E-2</v>
      </c>
      <c r="K121" s="31"/>
      <c r="L121" s="31"/>
    </row>
    <row r="122" spans="1:12">
      <c r="A122" s="24"/>
      <c r="B122" s="18"/>
      <c r="C122"/>
      <c r="D122" s="31">
        <v>9</v>
      </c>
      <c r="E122" s="33" t="s">
        <v>89</v>
      </c>
      <c r="F122" s="33">
        <v>9</v>
      </c>
      <c r="G122" s="34">
        <f>$G113*POWER(2,D122/12)</f>
        <v>11839.821526772301</v>
      </c>
      <c r="H122" s="31"/>
      <c r="I122" s="46">
        <f t="shared" si="4"/>
        <v>8.4460732599625076E-5</v>
      </c>
      <c r="J122" s="42">
        <f t="shared" si="5"/>
        <v>2.9138952746870651E-2</v>
      </c>
      <c r="K122" s="31"/>
      <c r="L122" s="31"/>
    </row>
    <row r="123" spans="1:12">
      <c r="A123" s="24"/>
      <c r="B123" s="17"/>
      <c r="C123"/>
      <c r="D123" s="31">
        <v>10</v>
      </c>
      <c r="E123" s="33" t="s">
        <v>90</v>
      </c>
      <c r="F123" s="33">
        <v>9</v>
      </c>
      <c r="G123" s="34">
        <f>$G113*POWER(2,D123/12)</f>
        <v>12543.853951415977</v>
      </c>
      <c r="H123" s="31"/>
      <c r="I123" s="46">
        <f t="shared" si="4"/>
        <v>7.9720315931063431E-5</v>
      </c>
      <c r="J123" s="42">
        <f t="shared" si="5"/>
        <v>2.7503508996216883E-2</v>
      </c>
      <c r="K123" s="31"/>
      <c r="L123" s="31"/>
    </row>
    <row r="124" spans="1:12">
      <c r="A124" s="24"/>
      <c r="B124" s="18"/>
      <c r="C124"/>
      <c r="D124" s="31">
        <v>11</v>
      </c>
      <c r="E124" s="33" t="s">
        <v>91</v>
      </c>
      <c r="F124" s="33">
        <v>9</v>
      </c>
      <c r="G124" s="34">
        <f>$G113*POWER(2,D124/12)</f>
        <v>13289.750322558244</v>
      </c>
      <c r="H124" s="31"/>
      <c r="I124" s="46">
        <f t="shared" si="4"/>
        <v>7.5245958406199945E-5</v>
      </c>
      <c r="J124" s="42">
        <f t="shared" si="5"/>
        <v>2.5959855650138981E-2</v>
      </c>
      <c r="K124" s="31"/>
      <c r="L124" s="31"/>
    </row>
    <row r="125" spans="1:12">
      <c r="A125" s="24"/>
      <c r="B125" s="17"/>
      <c r="C125"/>
      <c r="D125" s="31">
        <v>0</v>
      </c>
      <c r="E125" s="33" t="s">
        <v>24</v>
      </c>
      <c r="F125" s="33">
        <v>9</v>
      </c>
      <c r="G125" s="34">
        <f>$G113*2</f>
        <v>14080</v>
      </c>
      <c r="H125" s="31"/>
      <c r="I125" s="46">
        <f t="shared" si="4"/>
        <v>7.1022727272727269E-5</v>
      </c>
      <c r="J125" s="42">
        <f t="shared" si="5"/>
        <v>2.4502840909090908E-2</v>
      </c>
      <c r="K125" s="31"/>
      <c r="L125" s="31"/>
    </row>
    <row r="126" spans="1:12">
      <c r="A126" s="24"/>
      <c r="B126" s="18"/>
      <c r="C126"/>
      <c r="D126" s="31">
        <v>1</v>
      </c>
      <c r="E126" s="33" t="s">
        <v>93</v>
      </c>
      <c r="F126" s="33">
        <v>9</v>
      </c>
      <c r="G126" s="34">
        <f>$G125*POWER(2,D126/12)</f>
        <v>14917.240368578878</v>
      </c>
      <c r="H126" s="31"/>
      <c r="I126" s="46">
        <f t="shared" si="4"/>
        <v>6.7036527889324823E-5</v>
      </c>
      <c r="J126" s="42">
        <f t="shared" si="5"/>
        <v>2.3127602121817064E-2</v>
      </c>
      <c r="K126" s="31"/>
      <c r="L126" s="31"/>
    </row>
    <row r="127" spans="1:12">
      <c r="A127" s="25"/>
      <c r="B127" s="19"/>
      <c r="C127"/>
      <c r="D127" s="31">
        <v>2</v>
      </c>
      <c r="E127" s="33" t="s">
        <v>94</v>
      </c>
      <c r="F127" s="33">
        <v>9</v>
      </c>
      <c r="G127" s="34">
        <f>$G125*POWER(2,D127/12)</f>
        <v>15804.265640195972</v>
      </c>
      <c r="H127" s="31"/>
      <c r="I127" s="46">
        <f t="shared" si="4"/>
        <v>6.3274056686103637E-5</v>
      </c>
      <c r="J127" s="42">
        <f t="shared" si="5"/>
        <v>2.1829549556705758E-2</v>
      </c>
      <c r="K127" s="31"/>
      <c r="L127" s="31"/>
    </row>
    <row r="128" spans="1:12">
      <c r="A128" s="26"/>
      <c r="B128" s="20"/>
      <c r="C128"/>
      <c r="D128" s="31">
        <v>3</v>
      </c>
      <c r="E128" s="33" t="s">
        <v>2</v>
      </c>
      <c r="F128" s="33">
        <v>10</v>
      </c>
      <c r="G128" s="34">
        <f>$G125*POWER(2,D128/12)</f>
        <v>16744.036179238312</v>
      </c>
      <c r="H128" s="31"/>
      <c r="I128" s="46">
        <f t="shared" si="4"/>
        <v>5.9722756765178593E-5</v>
      </c>
      <c r="J128" s="42">
        <f t="shared" si="5"/>
        <v>2.0604351083986613E-2</v>
      </c>
      <c r="K128" s="31"/>
      <c r="L128" s="31"/>
    </row>
    <row r="129" spans="1:12">
      <c r="A129" s="24"/>
      <c r="B129" s="18"/>
      <c r="C129"/>
      <c r="D129" s="31">
        <v>4</v>
      </c>
      <c r="E129" s="33" t="s">
        <v>85</v>
      </c>
      <c r="F129" s="33">
        <v>10</v>
      </c>
      <c r="G129" s="34">
        <f>$G125*POWER(2,D129/12)</f>
        <v>17739.688382519813</v>
      </c>
      <c r="H129" s="31"/>
      <c r="I129" s="46">
        <f t="shared" si="4"/>
        <v>5.6370775993188907E-5</v>
      </c>
      <c r="J129" s="42">
        <f t="shared" si="5"/>
        <v>1.9447917717650174E-2</v>
      </c>
      <c r="K129" s="31"/>
      <c r="L129" s="31"/>
    </row>
    <row r="130" spans="1:12">
      <c r="A130" s="24"/>
      <c r="B130" s="17"/>
      <c r="C130"/>
      <c r="D130" s="31">
        <v>5</v>
      </c>
      <c r="E130" s="33" t="s">
        <v>86</v>
      </c>
      <c r="F130" s="33">
        <v>10</v>
      </c>
      <c r="G130" s="34">
        <f>$G125*POWER(2,D130/12)</f>
        <v>18794.545146714085</v>
      </c>
      <c r="H130" s="31"/>
      <c r="I130" s="46">
        <f t="shared" si="4"/>
        <v>5.3206927445904884E-5</v>
      </c>
      <c r="J130" s="42">
        <f t="shared" si="5"/>
        <v>1.8356389968837185E-2</v>
      </c>
      <c r="K130" s="31"/>
      <c r="L130" s="31"/>
    </row>
    <row r="131" spans="1:12">
      <c r="A131" s="24"/>
      <c r="B131" s="18"/>
      <c r="C131"/>
      <c r="D131" s="31">
        <v>6</v>
      </c>
      <c r="E131" s="33" t="s">
        <v>87</v>
      </c>
      <c r="F131" s="33">
        <v>10</v>
      </c>
      <c r="G131" s="34">
        <f>$G125*POWER(2,D131/12)</f>
        <v>19912.126958213179</v>
      </c>
      <c r="H131" s="31"/>
      <c r="I131" s="46">
        <f t="shared" si="4"/>
        <v>5.0220652072908206E-5</v>
      </c>
      <c r="J131" s="42">
        <f t="shared" si="5"/>
        <v>1.7326124965153331E-2</v>
      </c>
      <c r="K131" s="31"/>
      <c r="L131" s="31"/>
    </row>
    <row r="132" spans="1:12">
      <c r="A132" s="25"/>
      <c r="B132" s="19"/>
      <c r="C132"/>
      <c r="D132" s="31">
        <v>7</v>
      </c>
      <c r="E132" s="31" t="s">
        <v>88</v>
      </c>
      <c r="F132" s="31">
        <v>10</v>
      </c>
      <c r="G132" s="32">
        <f>$G125*POWER(2,D132/12)</f>
        <v>21096.163642423675</v>
      </c>
      <c r="H132" s="31"/>
      <c r="I132" s="46">
        <f t="shared" si="4"/>
        <v>4.7401983457742701E-5</v>
      </c>
      <c r="J132" s="42">
        <f t="shared" si="5"/>
        <v>1.6353684292921233E-2</v>
      </c>
      <c r="K132" s="31"/>
      <c r="L132" s="31"/>
    </row>
    <row r="133" spans="1:12">
      <c r="A133" s="26"/>
      <c r="B133" s="20"/>
      <c r="C133"/>
      <c r="D133" s="31">
        <v>8</v>
      </c>
      <c r="E133" s="31" t="s">
        <v>9</v>
      </c>
      <c r="F133" s="31">
        <v>10</v>
      </c>
      <c r="G133" s="32">
        <f>$G125*POWER(2,D133/12)</f>
        <v>22350.606811712249</v>
      </c>
      <c r="H133" s="31"/>
      <c r="I133" s="46">
        <f t="shared" si="4"/>
        <v>4.4741514555925894E-5</v>
      </c>
      <c r="J133" s="42">
        <f t="shared" ref="J133:J139" si="6">$B$141/$G133</f>
        <v>1.5435822521794434E-2</v>
      </c>
      <c r="K133" s="31"/>
      <c r="L133" s="31"/>
    </row>
    <row r="134" spans="1:12">
      <c r="A134" s="24"/>
      <c r="B134" s="18"/>
      <c r="C134"/>
      <c r="D134" s="31">
        <v>9</v>
      </c>
      <c r="E134" s="31" t="s">
        <v>89</v>
      </c>
      <c r="F134" s="31">
        <v>10</v>
      </c>
      <c r="G134" s="32">
        <f>$G125*POWER(2,D134/12)</f>
        <v>23679.643053544602</v>
      </c>
      <c r="H134" s="31"/>
      <c r="I134" s="46">
        <f t="shared" ref="I134:I139" si="7">1/G134</f>
        <v>4.2230366299812538E-5</v>
      </c>
      <c r="J134" s="42">
        <f t="shared" si="6"/>
        <v>1.4569476373435326E-2</v>
      </c>
      <c r="K134" s="31"/>
      <c r="L134" s="31"/>
    </row>
    <row r="135" spans="1:12">
      <c r="A135" s="24"/>
      <c r="B135" s="17"/>
      <c r="C135"/>
      <c r="D135" s="31">
        <v>10</v>
      </c>
      <c r="E135" s="31" t="s">
        <v>90</v>
      </c>
      <c r="F135" s="31">
        <v>10</v>
      </c>
      <c r="G135" s="32">
        <f>$G125*POWER(2,D135/12)</f>
        <v>25087.707902831953</v>
      </c>
      <c r="H135" s="31"/>
      <c r="I135" s="46">
        <f t="shared" si="7"/>
        <v>3.9860157965531715E-5</v>
      </c>
      <c r="J135" s="42">
        <f t="shared" si="6"/>
        <v>1.3751754498108441E-2</v>
      </c>
      <c r="K135" s="31"/>
      <c r="L135" s="31"/>
    </row>
    <row r="136" spans="1:12">
      <c r="A136" s="24"/>
      <c r="B136" s="18"/>
      <c r="C136"/>
      <c r="D136" s="31">
        <v>11</v>
      </c>
      <c r="E136" s="31" t="s">
        <v>91</v>
      </c>
      <c r="F136" s="31">
        <v>10</v>
      </c>
      <c r="G136" s="32">
        <f>$G125*POWER(2,D136/12)</f>
        <v>26579.500645116488</v>
      </c>
      <c r="H136" s="31"/>
      <c r="I136" s="46">
        <f t="shared" si="7"/>
        <v>3.7622979203099972E-5</v>
      </c>
      <c r="J136" s="42">
        <f t="shared" si="6"/>
        <v>1.2979927825069491E-2</v>
      </c>
      <c r="K136" s="31"/>
      <c r="L136" s="31"/>
    </row>
    <row r="137" spans="1:12">
      <c r="A137" s="24"/>
      <c r="B137" s="17"/>
      <c r="C137"/>
      <c r="D137" s="31">
        <v>0</v>
      </c>
      <c r="E137" s="31" t="s">
        <v>24</v>
      </c>
      <c r="F137" s="31">
        <v>10</v>
      </c>
      <c r="G137" s="32">
        <f>$G125*2</f>
        <v>28160</v>
      </c>
      <c r="H137" s="31"/>
      <c r="I137" s="46">
        <f t="shared" si="7"/>
        <v>3.5511363636363635E-5</v>
      </c>
      <c r="J137" s="42">
        <f t="shared" si="6"/>
        <v>1.2251420454545454E-2</v>
      </c>
      <c r="K137" s="31"/>
      <c r="L137" s="31"/>
    </row>
    <row r="138" spans="1:12">
      <c r="A138" s="24"/>
      <c r="B138" s="18"/>
      <c r="C138"/>
      <c r="D138" s="31">
        <v>1</v>
      </c>
      <c r="E138" s="31" t="s">
        <v>93</v>
      </c>
      <c r="F138" s="31">
        <v>10</v>
      </c>
      <c r="G138" s="32">
        <f>$G137*POWER(2,D138/12)</f>
        <v>29834.480737157755</v>
      </c>
      <c r="H138" s="31"/>
      <c r="I138" s="46">
        <f t="shared" si="7"/>
        <v>3.3518263944662411E-5</v>
      </c>
      <c r="J138" s="42">
        <f t="shared" si="6"/>
        <v>1.1563801060908532E-2</v>
      </c>
      <c r="K138" s="31"/>
      <c r="L138" s="31"/>
    </row>
    <row r="139" spans="1:12">
      <c r="A139" s="25"/>
      <c r="B139" s="19"/>
      <c r="C139"/>
      <c r="D139" s="31">
        <v>2</v>
      </c>
      <c r="E139" s="31" t="s">
        <v>94</v>
      </c>
      <c r="F139" s="31">
        <v>10</v>
      </c>
      <c r="G139" s="32">
        <f>$G137*POWER(2,D139/12)</f>
        <v>31608.531280391944</v>
      </c>
      <c r="H139" s="31"/>
      <c r="I139" s="46">
        <f t="shared" si="7"/>
        <v>3.1637028343051819E-5</v>
      </c>
      <c r="J139" s="42">
        <f t="shared" si="6"/>
        <v>1.0914774778352879E-2</v>
      </c>
      <c r="K139" s="31"/>
      <c r="L139" s="31"/>
    </row>
    <row r="140" spans="1:12" ht="8.25" customHeight="1">
      <c r="J140" s="43"/>
    </row>
    <row r="141" spans="1:12">
      <c r="A141" s="1" t="s">
        <v>84</v>
      </c>
      <c r="B141" s="44">
        <v>345</v>
      </c>
      <c r="D141" s="31">
        <v>0</v>
      </c>
      <c r="E141" s="31" t="s">
        <v>24</v>
      </c>
      <c r="F141" s="31">
        <v>4</v>
      </c>
      <c r="G141" s="41">
        <v>440</v>
      </c>
      <c r="I141" s="46">
        <f t="shared" ref="I141:I142" si="8">1/G141</f>
        <v>2.2727272727272726E-3</v>
      </c>
      <c r="J141" s="42">
        <f>$B$141/$G141</f>
        <v>0.78409090909090906</v>
      </c>
    </row>
    <row r="142" spans="1:12">
      <c r="D142" s="31">
        <f>MOD(LOG10($G$142/$G$141)*12/LOG10(2),12)</f>
        <v>2.2130948536491317</v>
      </c>
      <c r="E142" s="31" t="str">
        <f>INDEX($E$65:$E$76,$D142+1)</f>
        <v>B</v>
      </c>
      <c r="F142" s="31">
        <f>INT(5+(LOG10($G$142/$G$141)*12/LOG10(2)-3)/12)</f>
        <v>5</v>
      </c>
      <c r="G142" s="41">
        <v>1000</v>
      </c>
      <c r="H142"/>
      <c r="I142" s="46">
        <f t="shared" si="8"/>
        <v>1E-3</v>
      </c>
      <c r="J142" s="42">
        <f>$B$141/$G142</f>
        <v>0.34499999999999997</v>
      </c>
    </row>
    <row r="143" spans="1:12">
      <c r="F143" s="31"/>
      <c r="H143"/>
    </row>
    <row r="144" spans="1:12">
      <c r="G144"/>
      <c r="I144"/>
    </row>
  </sheetData>
  <pageMargins left="0.39370078740157483" right="0.39370078740157483" top="0.59055118110236227" bottom="0.39370078740157483" header="0.19685039370078741" footer="0.19685039370078741"/>
  <pageSetup paperSize="9" orientation="portrait" horizontalDpi="300" verticalDpi="300" r:id="rId1"/>
  <headerFooter>
    <oddHeader>&amp;R&amp;"Verdana,Italic"&amp;10Electronics Calculator</oddHeader>
    <oddFooter>&amp;L&amp;"Verdana,Italic"&amp;8&amp;F - &amp;A&amp;C&amp;"Verdana,Italic"&amp;8- &amp;P -&amp;R&amp;"Verdana,Italic"&amp;8&amp;D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C</vt:lpstr>
      <vt:lpstr>L</vt:lpstr>
      <vt:lpstr>Transistor</vt:lpstr>
      <vt:lpstr>Music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Electronics Calculator</dc:title>
  <dc:creator>Thomas Führinger</dc:creator>
  <cp:keywords/>
  <dc:description>https://github.com/thomasfuhringer/ragbag
thomasfuhringer@gmail.com</dc:description>
  <cp:lastModifiedBy>Thomas Führinger</cp:lastModifiedBy>
  <cp:revision>8</cp:revision>
  <cp:lastPrinted>2020-06-12T20:44:24Z</cp:lastPrinted>
  <dcterms:created xsi:type="dcterms:W3CDTF">2020-05-29T10:56:28Z</dcterms:created>
  <dcterms:modified xsi:type="dcterms:W3CDTF">2020-06-21T20:42:29Z</dcterms:modified>
</cp:coreProperties>
</file>