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xtcloud\io-footprinting\luxstrat\excel\"/>
    </mc:Choice>
  </mc:AlternateContent>
  <xr:revisionPtr revIDLastSave="0" documentId="13_ncr:1_{30184DAC-E67B-4968-B2FC-B6A3273A5E88}" xr6:coauthVersionLast="47" xr6:coauthVersionMax="47" xr10:uidLastSave="{00000000-0000-0000-0000-000000000000}"/>
  <bookViews>
    <workbookView minimized="1" xWindow="5" yWindow="0" windowWidth="9590" windowHeight="5250" firstSheet="2" activeTab="2" xr2:uid="{9C020466-51D9-4448-9A5B-695F5741AD9C}"/>
  </bookViews>
  <sheets>
    <sheet name="Exercice 1" sheetId="2" r:id="rId1"/>
    <sheet name="Exercice 2" sheetId="3" r:id="rId2"/>
    <sheet name="Exercice 3" sheetId="4" r:id="rId3"/>
  </sheets>
  <externalReferences>
    <externalReference r:id="rId4"/>
  </externalReferences>
  <definedNames>
    <definedName name="GHG" localSheetId="2">'[1]Exercice 2'!$M$6:$M$8</definedName>
    <definedName name="GHG">'Exercice 2'!$M$6:$M$8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4" l="1"/>
  <c r="B23" i="3" a="1"/>
  <c r="B23" i="3" s="1"/>
  <c r="C25" i="3"/>
  <c r="B95" i="2"/>
  <c r="C125" i="2" s="1" a="1"/>
  <c r="C125" i="2" s="1"/>
  <c r="I95" i="2" a="1"/>
  <c r="I95" i="2" s="1"/>
  <c r="B49" i="2" a="1"/>
  <c r="B49" i="2" s="1"/>
  <c r="B51" i="2"/>
  <c r="C51" i="2"/>
  <c r="Q95" i="4"/>
  <c r="Q94" i="4"/>
  <c r="M93" i="4"/>
  <c r="C96" i="4" s="1" a="1"/>
  <c r="H41" i="4"/>
  <c r="F41" i="4"/>
  <c r="E41" i="4"/>
  <c r="D41" i="4"/>
  <c r="C41" i="4"/>
  <c r="Q40" i="4"/>
  <c r="Q39" i="4"/>
  <c r="Q38" i="4"/>
  <c r="Q35" i="4"/>
  <c r="P34" i="4"/>
  <c r="P36" i="4" s="1"/>
  <c r="P42" i="4" s="1"/>
  <c r="O34" i="4"/>
  <c r="O36" i="4" s="1"/>
  <c r="O42" i="4" s="1"/>
  <c r="M34" i="4"/>
  <c r="M36" i="4" s="1"/>
  <c r="M42" i="4" s="1"/>
  <c r="L34" i="4"/>
  <c r="L36" i="4" s="1"/>
  <c r="L42" i="4" s="1"/>
  <c r="K34" i="4"/>
  <c r="K36" i="4" s="1"/>
  <c r="K42" i="4" s="1"/>
  <c r="J34" i="4"/>
  <c r="J36" i="4" s="1"/>
  <c r="J42" i="4" s="1"/>
  <c r="I34" i="4"/>
  <c r="I36" i="4" s="1"/>
  <c r="I42" i="4" s="1"/>
  <c r="H34" i="4"/>
  <c r="H36" i="4" s="1"/>
  <c r="H42" i="4" s="1"/>
  <c r="N33" i="4" s="1"/>
  <c r="N34" i="4" s="1"/>
  <c r="N36" i="4" s="1"/>
  <c r="N42" i="4" s="1"/>
  <c r="G34" i="4"/>
  <c r="G36" i="4" s="1"/>
  <c r="F34" i="4"/>
  <c r="F36" i="4" s="1"/>
  <c r="E34" i="4"/>
  <c r="E36" i="4" s="1"/>
  <c r="E42" i="4" s="1"/>
  <c r="D34" i="4"/>
  <c r="D36" i="4" s="1"/>
  <c r="D42" i="4" s="1"/>
  <c r="C34" i="4"/>
  <c r="C36" i="4" s="1"/>
  <c r="S32" i="4"/>
  <c r="Q32" i="4"/>
  <c r="G37" i="4" s="1"/>
  <c r="S31" i="4"/>
  <c r="Q31" i="4"/>
  <c r="S30" i="4"/>
  <c r="Q30" i="4"/>
  <c r="S29" i="4"/>
  <c r="Q29" i="4"/>
  <c r="S28" i="4"/>
  <c r="Q28" i="4"/>
  <c r="E21" i="4"/>
  <c r="D21" i="4"/>
  <c r="C21" i="4"/>
  <c r="H20" i="4"/>
  <c r="G20" i="4"/>
  <c r="F20" i="4"/>
  <c r="H19" i="4"/>
  <c r="G19" i="4"/>
  <c r="F19" i="4"/>
  <c r="H18" i="4"/>
  <c r="G18" i="4"/>
  <c r="F18" i="4"/>
  <c r="H17" i="4"/>
  <c r="G17" i="4"/>
  <c r="F17" i="4"/>
  <c r="H15" i="4"/>
  <c r="G15" i="4"/>
  <c r="F15" i="4"/>
  <c r="Q14" i="4"/>
  <c r="L13" i="4"/>
  <c r="L16" i="4" s="1"/>
  <c r="L22" i="4" s="1"/>
  <c r="K13" i="4"/>
  <c r="K16" i="4" s="1"/>
  <c r="K22" i="4" s="1"/>
  <c r="J13" i="4"/>
  <c r="J16" i="4" s="1"/>
  <c r="J22" i="4" s="1"/>
  <c r="I13" i="4"/>
  <c r="I16" i="4" s="1"/>
  <c r="I22" i="4" s="1"/>
  <c r="E13" i="4"/>
  <c r="E16" i="4" s="1"/>
  <c r="E22" i="4" s="1"/>
  <c r="D13" i="4"/>
  <c r="D16" i="4" s="1"/>
  <c r="C13" i="4"/>
  <c r="C16" i="4" s="1"/>
  <c r="P12" i="4"/>
  <c r="O12" i="4"/>
  <c r="N12" i="4"/>
  <c r="M12" i="4"/>
  <c r="H12" i="4"/>
  <c r="G12" i="4"/>
  <c r="F12" i="4"/>
  <c r="P11" i="4"/>
  <c r="O11" i="4"/>
  <c r="N11" i="4"/>
  <c r="M11" i="4"/>
  <c r="H11" i="4"/>
  <c r="G11" i="4"/>
  <c r="F11" i="4"/>
  <c r="P10" i="4"/>
  <c r="O10" i="4"/>
  <c r="N10" i="4"/>
  <c r="M10" i="4"/>
  <c r="H10" i="4"/>
  <c r="G10" i="4"/>
  <c r="F10" i="4"/>
  <c r="Q9" i="4"/>
  <c r="Q8" i="4"/>
  <c r="Q7" i="4"/>
  <c r="B62" i="3"/>
  <c r="E47" i="3" a="1"/>
  <c r="E47" i="3" s="1"/>
  <c r="J13" i="3" a="1"/>
  <c r="J13" i="3" s="1"/>
  <c r="B13" i="3" a="1"/>
  <c r="B13" i="3" s="1"/>
  <c r="J12" i="3"/>
  <c r="J11" i="3"/>
  <c r="J10" i="3"/>
  <c r="G130" i="2"/>
  <c r="F130" i="2"/>
  <c r="E130" i="2"/>
  <c r="D130" i="2"/>
  <c r="C130" i="2"/>
  <c r="B130" i="2"/>
  <c r="AA124" i="2"/>
  <c r="V124" i="2"/>
  <c r="Q124" i="2"/>
  <c r="L124" i="2"/>
  <c r="G124" i="2"/>
  <c r="B124" i="2"/>
  <c r="AB119" i="2" a="1"/>
  <c r="W119" i="2" a="1"/>
  <c r="R119" i="2" a="1"/>
  <c r="M119" i="2" a="1"/>
  <c r="H119" i="2" a="1"/>
  <c r="C119" i="2" a="1"/>
  <c r="C119" i="2" s="1"/>
  <c r="D120" i="2"/>
  <c r="E120" i="2"/>
  <c r="C121" i="2"/>
  <c r="D121" i="2"/>
  <c r="H113" i="2" a="1"/>
  <c r="H115" i="2"/>
  <c r="I115" i="2"/>
  <c r="C113" i="2" a="1"/>
  <c r="C113" i="2" s="1"/>
  <c r="E114" i="2"/>
  <c r="C115" i="2"/>
  <c r="D115" i="2"/>
  <c r="B54" i="2" a="1"/>
  <c r="B54" i="2" s="1"/>
  <c r="D55" i="2"/>
  <c r="B56" i="2"/>
  <c r="C56" i="2"/>
  <c r="B52" i="2" a="1"/>
  <c r="B52" i="2" s="1"/>
  <c r="D53" i="2"/>
  <c r="J26" i="2"/>
  <c r="J27" i="2"/>
  <c r="J25" i="2"/>
  <c r="B97" i="2"/>
  <c r="B96" i="2"/>
  <c r="D36" i="2"/>
  <c r="C36" i="2"/>
  <c r="B36" i="2"/>
  <c r="J35" i="2"/>
  <c r="J34" i="2"/>
  <c r="J33" i="2"/>
  <c r="J32" i="2"/>
  <c r="H31" i="2"/>
  <c r="H37" i="2" s="1"/>
  <c r="J30" i="2"/>
  <c r="J29" i="2"/>
  <c r="I28" i="2"/>
  <c r="I31" i="2" s="1"/>
  <c r="I37" i="2" s="1"/>
  <c r="H28" i="2"/>
  <c r="G28" i="2"/>
  <c r="G31" i="2" s="1"/>
  <c r="G37" i="2" s="1"/>
  <c r="F28" i="2"/>
  <c r="F31" i="2" s="1"/>
  <c r="F37" i="2" s="1"/>
  <c r="E28" i="2"/>
  <c r="E31" i="2" s="1"/>
  <c r="E37" i="2" s="1"/>
  <c r="D28" i="2"/>
  <c r="D31" i="2" s="1"/>
  <c r="C28" i="2"/>
  <c r="C31" i="2" s="1"/>
  <c r="C37" i="2" s="1"/>
  <c r="B28" i="2"/>
  <c r="B31" i="2" s="1"/>
  <c r="B25" i="3" l="1"/>
  <c r="B26" i="3" s="1" a="1"/>
  <c r="D24" i="3"/>
  <c r="C24" i="3"/>
  <c r="B24" i="3"/>
  <c r="J24" i="3" s="1"/>
  <c r="D23" i="3"/>
  <c r="J23" i="3" s="1"/>
  <c r="C23" i="3"/>
  <c r="D25" i="3"/>
  <c r="C127" i="2"/>
  <c r="D127" i="2"/>
  <c r="B133" i="2" s="1" a="1"/>
  <c r="B133" i="2" s="1"/>
  <c r="J97" i="2"/>
  <c r="I97" i="2"/>
  <c r="K96" i="2"/>
  <c r="J96" i="2"/>
  <c r="I96" i="2"/>
  <c r="K95" i="2"/>
  <c r="J95" i="2"/>
  <c r="K97" i="2"/>
  <c r="B58" i="2"/>
  <c r="D50" i="2"/>
  <c r="J114" i="2" s="1"/>
  <c r="J120" i="2" s="1"/>
  <c r="H113" i="2"/>
  <c r="H119" i="2" s="1"/>
  <c r="C50" i="2"/>
  <c r="B50" i="2"/>
  <c r="D49" i="2"/>
  <c r="D58" i="2" s="1"/>
  <c r="C49" i="2"/>
  <c r="D51" i="2"/>
  <c r="J115" i="2" s="1"/>
  <c r="J121" i="2" s="1"/>
  <c r="C22" i="4"/>
  <c r="F42" i="4"/>
  <c r="C42" i="4"/>
  <c r="Q34" i="4"/>
  <c r="Q36" i="4" s="1"/>
  <c r="Q20" i="4"/>
  <c r="G13" i="4"/>
  <c r="G16" i="4" s="1"/>
  <c r="Q12" i="4"/>
  <c r="F21" i="4"/>
  <c r="H13" i="4"/>
  <c r="H16" i="4" s="1"/>
  <c r="Q18" i="4"/>
  <c r="Q11" i="4"/>
  <c r="Q19" i="4"/>
  <c r="Q10" i="4"/>
  <c r="H21" i="4"/>
  <c r="F13" i="4"/>
  <c r="F16" i="4" s="1"/>
  <c r="J96" i="4"/>
  <c r="I96" i="4"/>
  <c r="P96" i="4"/>
  <c r="H96" i="4"/>
  <c r="O96" i="4"/>
  <c r="G96" i="4"/>
  <c r="N96" i="4"/>
  <c r="F96" i="4"/>
  <c r="M96" i="4"/>
  <c r="E96" i="4"/>
  <c r="D22" i="4"/>
  <c r="Q17" i="4"/>
  <c r="G21" i="4"/>
  <c r="S33" i="4"/>
  <c r="Q33" i="4"/>
  <c r="C103" i="4" s="1" a="1"/>
  <c r="C96" i="4"/>
  <c r="L96" i="4"/>
  <c r="Q15" i="4"/>
  <c r="G41" i="4"/>
  <c r="G42" i="4" s="1"/>
  <c r="Q37" i="4"/>
  <c r="D96" i="4"/>
  <c r="K96" i="4"/>
  <c r="Q93" i="4"/>
  <c r="E49" i="3"/>
  <c r="E48" i="3"/>
  <c r="E13" i="3"/>
  <c r="D13" i="3"/>
  <c r="C13" i="3"/>
  <c r="E126" i="2"/>
  <c r="D126" i="2"/>
  <c r="B132" i="2" s="1" a="1"/>
  <c r="B132" i="2" s="1"/>
  <c r="C126" i="2"/>
  <c r="E125" i="2"/>
  <c r="D125" i="2"/>
  <c r="B131" i="2" s="1" a="1"/>
  <c r="B131" i="2" s="1"/>
  <c r="E127" i="2"/>
  <c r="B134" i="2" s="1" a="1"/>
  <c r="B134" i="2" s="1"/>
  <c r="H121" i="2"/>
  <c r="I121" i="2"/>
  <c r="I120" i="2"/>
  <c r="C120" i="2"/>
  <c r="E119" i="2"/>
  <c r="D119" i="2"/>
  <c r="E121" i="2"/>
  <c r="I114" i="2"/>
  <c r="H114" i="2"/>
  <c r="H120" i="2" s="1"/>
  <c r="J113" i="2"/>
  <c r="J119" i="2" s="1"/>
  <c r="I113" i="2"/>
  <c r="I119" i="2" s="1"/>
  <c r="D114" i="2"/>
  <c r="C114" i="2"/>
  <c r="E113" i="2"/>
  <c r="D113" i="2"/>
  <c r="E115" i="2"/>
  <c r="C55" i="2"/>
  <c r="D57" i="2"/>
  <c r="B55" i="2"/>
  <c r="C57" i="2"/>
  <c r="D54" i="2"/>
  <c r="B57" i="2"/>
  <c r="C54" i="2"/>
  <c r="D56" i="2"/>
  <c r="C53" i="2"/>
  <c r="B53" i="2"/>
  <c r="D52" i="2"/>
  <c r="C52" i="2"/>
  <c r="D37" i="2"/>
  <c r="B37" i="2"/>
  <c r="G95" i="2" a="1"/>
  <c r="J36" i="2"/>
  <c r="J28" i="2"/>
  <c r="J31" i="2" s="1"/>
  <c r="B26" i="3" l="1"/>
  <c r="D26" i="3"/>
  <c r="C26" i="3"/>
  <c r="H125" i="2" a="1"/>
  <c r="C58" i="2"/>
  <c r="M113" i="2" a="1"/>
  <c r="B71" i="2" a="1"/>
  <c r="B71" i="2" s="1"/>
  <c r="B85" i="2" s="1" a="1"/>
  <c r="G155" i="4"/>
  <c r="J141" i="4"/>
  <c r="C154" i="4"/>
  <c r="I140" i="4"/>
  <c r="H22" i="4"/>
  <c r="F22" i="4"/>
  <c r="Q13" i="4"/>
  <c r="Q16" i="4" s="1"/>
  <c r="Q21" i="4"/>
  <c r="F105" i="4"/>
  <c r="D104" i="4"/>
  <c r="E105" i="4"/>
  <c r="C104" i="4"/>
  <c r="D105" i="4"/>
  <c r="H103" i="4"/>
  <c r="C105" i="4"/>
  <c r="G103" i="4"/>
  <c r="H104" i="4"/>
  <c r="F103" i="4"/>
  <c r="G104" i="4"/>
  <c r="E103" i="4"/>
  <c r="H105" i="4"/>
  <c r="C103" i="4"/>
  <c r="G105" i="4"/>
  <c r="F104" i="4"/>
  <c r="D103" i="4"/>
  <c r="E104" i="4"/>
  <c r="C50" i="4" a="1"/>
  <c r="Q41" i="4"/>
  <c r="G22" i="4"/>
  <c r="Q96" i="4"/>
  <c r="J25" i="3"/>
  <c r="G97" i="2"/>
  <c r="G95" i="2"/>
  <c r="G96" i="2"/>
  <c r="B85" i="2" l="1"/>
  <c r="D86" i="2"/>
  <c r="C87" i="2"/>
  <c r="B87" i="2"/>
  <c r="C86" i="2"/>
  <c r="B86" i="2"/>
  <c r="D85" i="2"/>
  <c r="C85" i="2"/>
  <c r="D87" i="2"/>
  <c r="M113" i="2"/>
  <c r="N115" i="2"/>
  <c r="N121" i="2" s="1"/>
  <c r="O114" i="2"/>
  <c r="O120" i="2" s="1"/>
  <c r="O115" i="2"/>
  <c r="O121" i="2" s="1"/>
  <c r="M115" i="2"/>
  <c r="M121" i="2" s="1"/>
  <c r="N114" i="2"/>
  <c r="N120" i="2" s="1"/>
  <c r="M114" i="2"/>
  <c r="M120" i="2" s="1"/>
  <c r="O113" i="2"/>
  <c r="O119" i="2" s="1"/>
  <c r="N113" i="2"/>
  <c r="N119" i="2" s="1"/>
  <c r="J127" i="2"/>
  <c r="C134" i="2" s="1" a="1"/>
  <c r="C134" i="2" s="1"/>
  <c r="I125" i="2"/>
  <c r="C131" i="2" s="1" a="1"/>
  <c r="C131" i="2" s="1"/>
  <c r="I126" i="2"/>
  <c r="C132" i="2" s="1" a="1"/>
  <c r="C132" i="2" s="1"/>
  <c r="I127" i="2"/>
  <c r="C133" i="2" s="1" a="1"/>
  <c r="C133" i="2" s="1"/>
  <c r="H127" i="2"/>
  <c r="H125" i="2"/>
  <c r="J125" i="2"/>
  <c r="H126" i="2"/>
  <c r="J126" i="2"/>
  <c r="E63" i="4"/>
  <c r="C62" i="4"/>
  <c r="G60" i="4"/>
  <c r="E59" i="4"/>
  <c r="C58" i="4"/>
  <c r="G56" i="4"/>
  <c r="E55" i="4"/>
  <c r="C54" i="4"/>
  <c r="G52" i="4"/>
  <c r="E51" i="4"/>
  <c r="C50" i="4"/>
  <c r="D63" i="4"/>
  <c r="H61" i="4"/>
  <c r="F60" i="4"/>
  <c r="D59" i="4"/>
  <c r="H57" i="4"/>
  <c r="F56" i="4"/>
  <c r="D55" i="4"/>
  <c r="H53" i="4"/>
  <c r="F52" i="4"/>
  <c r="D51" i="4"/>
  <c r="C63" i="4"/>
  <c r="G61" i="4"/>
  <c r="E60" i="4"/>
  <c r="C59" i="4"/>
  <c r="G57" i="4"/>
  <c r="E56" i="4"/>
  <c r="C55" i="4"/>
  <c r="G53" i="4"/>
  <c r="E52" i="4"/>
  <c r="C51" i="4"/>
  <c r="H62" i="4"/>
  <c r="F61" i="4"/>
  <c r="D60" i="4"/>
  <c r="H58" i="4"/>
  <c r="F57" i="4"/>
  <c r="D56" i="4"/>
  <c r="H54" i="4"/>
  <c r="F53" i="4"/>
  <c r="D52" i="4"/>
  <c r="H50" i="4"/>
  <c r="G62" i="4"/>
  <c r="C60" i="4"/>
  <c r="G58" i="4"/>
  <c r="G64" i="4" s="1"/>
  <c r="E57" i="4"/>
  <c r="C56" i="4"/>
  <c r="G54" i="4"/>
  <c r="E53" i="4"/>
  <c r="C52" i="4"/>
  <c r="G50" i="4"/>
  <c r="E61" i="4"/>
  <c r="H63" i="4"/>
  <c r="F62" i="4"/>
  <c r="D61" i="4"/>
  <c r="H59" i="4"/>
  <c r="F58" i="4"/>
  <c r="F64" i="4" s="1"/>
  <c r="D57" i="4"/>
  <c r="H55" i="4"/>
  <c r="F54" i="4"/>
  <c r="D53" i="4"/>
  <c r="H51" i="4"/>
  <c r="F50" i="4"/>
  <c r="G59" i="4"/>
  <c r="E54" i="4"/>
  <c r="G55" i="4"/>
  <c r="H60" i="4"/>
  <c r="F55" i="4"/>
  <c r="D50" i="4"/>
  <c r="F59" i="4"/>
  <c r="D54" i="4"/>
  <c r="C61" i="4"/>
  <c r="E50" i="4"/>
  <c r="G63" i="4"/>
  <c r="E58" i="4"/>
  <c r="E64" i="4" s="1"/>
  <c r="C53" i="4"/>
  <c r="F63" i="4"/>
  <c r="D58" i="4"/>
  <c r="D64" i="4" s="1"/>
  <c r="H52" i="4"/>
  <c r="E62" i="4"/>
  <c r="C57" i="4"/>
  <c r="G51" i="4"/>
  <c r="D62" i="4"/>
  <c r="H56" i="4"/>
  <c r="F51" i="4"/>
  <c r="C106" i="4" a="1"/>
  <c r="R113" i="2" l="1" a="1"/>
  <c r="M119" i="2"/>
  <c r="B35" i="3" a="1"/>
  <c r="E95" i="2" a="1"/>
  <c r="H64" i="4"/>
  <c r="G106" i="4"/>
  <c r="F106" i="4"/>
  <c r="E106" i="4"/>
  <c r="D106" i="4"/>
  <c r="C106" i="4"/>
  <c r="H106" i="4"/>
  <c r="C70" i="4" a="1"/>
  <c r="M125" i="2" l="1" a="1"/>
  <c r="E95" i="2"/>
  <c r="E96" i="2"/>
  <c r="E97" i="2"/>
  <c r="T115" i="2"/>
  <c r="T121" i="2" s="1"/>
  <c r="R113" i="2"/>
  <c r="S113" i="2"/>
  <c r="S119" i="2" s="1"/>
  <c r="S114" i="2"/>
  <c r="S120" i="2" s="1"/>
  <c r="T113" i="2"/>
  <c r="T119" i="2" s="1"/>
  <c r="S115" i="2"/>
  <c r="S121" i="2" s="1"/>
  <c r="R114" i="2"/>
  <c r="R120" i="2" s="1"/>
  <c r="T114" i="2"/>
  <c r="T120" i="2" s="1"/>
  <c r="R115" i="2"/>
  <c r="R121" i="2" s="1"/>
  <c r="B35" i="3"/>
  <c r="C37" i="3"/>
  <c r="D36" i="3"/>
  <c r="B37" i="3"/>
  <c r="C36" i="3"/>
  <c r="B36" i="3"/>
  <c r="D35" i="3"/>
  <c r="C35" i="3"/>
  <c r="D37" i="3"/>
  <c r="C134" i="4" a="1"/>
  <c r="C134" i="4" s="1"/>
  <c r="H74" i="4"/>
  <c r="F73" i="4"/>
  <c r="D72" i="4"/>
  <c r="H70" i="4"/>
  <c r="G74" i="4"/>
  <c r="E73" i="4"/>
  <c r="C72" i="4"/>
  <c r="G70" i="4"/>
  <c r="H75" i="4"/>
  <c r="F74" i="4"/>
  <c r="D73" i="4"/>
  <c r="H71" i="4"/>
  <c r="F70" i="4"/>
  <c r="G75" i="4"/>
  <c r="E74" i="4"/>
  <c r="C73" i="4"/>
  <c r="G71" i="4"/>
  <c r="E70" i="4"/>
  <c r="F75" i="4"/>
  <c r="D74" i="4"/>
  <c r="H72" i="4"/>
  <c r="F71" i="4"/>
  <c r="D70" i="4"/>
  <c r="E75" i="4"/>
  <c r="C74" i="4"/>
  <c r="G72" i="4"/>
  <c r="E71" i="4"/>
  <c r="C70" i="4"/>
  <c r="D75" i="4"/>
  <c r="D71" i="4"/>
  <c r="C71" i="4"/>
  <c r="C75" i="4"/>
  <c r="H73" i="4"/>
  <c r="G73" i="4"/>
  <c r="F72" i="4"/>
  <c r="E72" i="4"/>
  <c r="N127" i="2" l="1"/>
  <c r="D133" i="2" s="1" a="1"/>
  <c r="D133" i="2" s="1"/>
  <c r="M125" i="2"/>
  <c r="O127" i="2"/>
  <c r="D134" i="2" s="1" a="1"/>
  <c r="D134" i="2" s="1"/>
  <c r="O126" i="2"/>
  <c r="O125" i="2"/>
  <c r="N125" i="2"/>
  <c r="D131" i="2" s="1" a="1"/>
  <c r="D131" i="2" s="1"/>
  <c r="N126" i="2"/>
  <c r="D132" i="2" s="1" a="1"/>
  <c r="D132" i="2" s="1"/>
  <c r="M127" i="2"/>
  <c r="M126" i="2"/>
  <c r="B38" i="3" a="1"/>
  <c r="B47" i="3" a="1"/>
  <c r="J35" i="3"/>
  <c r="J36" i="3"/>
  <c r="W113" i="2" a="1"/>
  <c r="J37" i="3"/>
  <c r="R119" i="2"/>
  <c r="F139" i="4"/>
  <c r="G139" i="4"/>
  <c r="F135" i="4"/>
  <c r="E134" i="4"/>
  <c r="C138" i="4"/>
  <c r="G138" i="4"/>
  <c r="H139" i="4"/>
  <c r="H137" i="4"/>
  <c r="D136" i="4"/>
  <c r="H136" i="4"/>
  <c r="G137" i="4"/>
  <c r="H138" i="4"/>
  <c r="H135" i="4"/>
  <c r="E139" i="4"/>
  <c r="C139" i="4"/>
  <c r="H134" i="4"/>
  <c r="F134" i="4"/>
  <c r="E137" i="4"/>
  <c r="E136" i="4"/>
  <c r="D138" i="4"/>
  <c r="F138" i="4"/>
  <c r="D139" i="4"/>
  <c r="F137" i="4"/>
  <c r="D137" i="4"/>
  <c r="G134" i="4"/>
  <c r="G135" i="4"/>
  <c r="C135" i="4"/>
  <c r="G136" i="4"/>
  <c r="D134" i="4"/>
  <c r="C137" i="4"/>
  <c r="F136" i="4"/>
  <c r="E135" i="4"/>
  <c r="C136" i="4"/>
  <c r="E138" i="4"/>
  <c r="D135" i="4"/>
  <c r="C81" i="4" a="1"/>
  <c r="B47" i="3" l="1"/>
  <c r="B49" i="3"/>
  <c r="C49" i="3"/>
  <c r="D49" i="3"/>
  <c r="J49" i="3" s="1"/>
  <c r="C48" i="3"/>
  <c r="D48" i="3"/>
  <c r="B48" i="3"/>
  <c r="J48" i="3" s="1"/>
  <c r="D47" i="3"/>
  <c r="C47" i="3"/>
  <c r="X115" i="2"/>
  <c r="X121" i="2" s="1"/>
  <c r="W115" i="2"/>
  <c r="W121" i="2" s="1"/>
  <c r="W113" i="2"/>
  <c r="Y115" i="2"/>
  <c r="Y121" i="2" s="1"/>
  <c r="Y114" i="2"/>
  <c r="Y120" i="2" s="1"/>
  <c r="Y113" i="2"/>
  <c r="Y119" i="2" s="1"/>
  <c r="X113" i="2"/>
  <c r="X119" i="2" s="1"/>
  <c r="X114" i="2"/>
  <c r="X120" i="2" s="1"/>
  <c r="W114" i="2"/>
  <c r="W120" i="2" s="1"/>
  <c r="B38" i="3"/>
  <c r="D38" i="3"/>
  <c r="C38" i="3"/>
  <c r="B59" i="3" s="1" a="1"/>
  <c r="R125" i="2" a="1"/>
  <c r="W119" i="2"/>
  <c r="E86" i="4"/>
  <c r="C85" i="4"/>
  <c r="G83" i="4"/>
  <c r="E82" i="4"/>
  <c r="C81" i="4"/>
  <c r="D86" i="4"/>
  <c r="H84" i="4"/>
  <c r="F83" i="4"/>
  <c r="D82" i="4"/>
  <c r="C86" i="4"/>
  <c r="G84" i="4"/>
  <c r="E83" i="4"/>
  <c r="C82" i="4"/>
  <c r="H85" i="4"/>
  <c r="F84" i="4"/>
  <c r="D83" i="4"/>
  <c r="H81" i="4"/>
  <c r="G85" i="4"/>
  <c r="E84" i="4"/>
  <c r="C83" i="4"/>
  <c r="G81" i="4"/>
  <c r="H86" i="4"/>
  <c r="F85" i="4"/>
  <c r="D84" i="4"/>
  <c r="H82" i="4"/>
  <c r="F81" i="4"/>
  <c r="E85" i="4"/>
  <c r="F86" i="4"/>
  <c r="D81" i="4"/>
  <c r="D85" i="4"/>
  <c r="E81" i="4"/>
  <c r="C84" i="4"/>
  <c r="G86" i="4"/>
  <c r="H83" i="4"/>
  <c r="G82" i="4"/>
  <c r="F82" i="4"/>
  <c r="T127" i="2" l="1"/>
  <c r="E134" i="2" s="1" a="1"/>
  <c r="E134" i="2" s="1"/>
  <c r="T125" i="2"/>
  <c r="S125" i="2"/>
  <c r="E131" i="2" s="1" a="1"/>
  <c r="E131" i="2" s="1"/>
  <c r="R126" i="2"/>
  <c r="R125" i="2"/>
  <c r="S126" i="2"/>
  <c r="E132" i="2" s="1" a="1"/>
  <c r="E132" i="2" s="1"/>
  <c r="T126" i="2"/>
  <c r="R127" i="2"/>
  <c r="S127" i="2"/>
  <c r="E133" i="2" s="1" a="1"/>
  <c r="E133" i="2" s="1"/>
  <c r="D61" i="3"/>
  <c r="F60" i="3"/>
  <c r="B59" i="3"/>
  <c r="D60" i="3"/>
  <c r="E59" i="3"/>
  <c r="D59" i="3"/>
  <c r="E60" i="3"/>
  <c r="F61" i="3"/>
  <c r="B60" i="3"/>
  <c r="F59" i="3"/>
  <c r="C59" i="3"/>
  <c r="E61" i="3"/>
  <c r="B61" i="3"/>
  <c r="C60" i="3"/>
  <c r="C61" i="3"/>
  <c r="AB113" i="2" a="1"/>
  <c r="W125" i="2" a="1"/>
  <c r="J47" i="3"/>
  <c r="J50" i="3" s="1" a="1"/>
  <c r="J50" i="3" s="1"/>
  <c r="B50" i="3" a="1"/>
  <c r="C113" i="4" a="1"/>
  <c r="D115" i="4" s="1"/>
  <c r="AC115" i="2" l="1"/>
  <c r="AC121" i="2" s="1"/>
  <c r="AB113" i="2"/>
  <c r="AB119" i="2" s="1"/>
  <c r="AC114" i="2"/>
  <c r="AC120" i="2" s="1"/>
  <c r="AD114" i="2"/>
  <c r="AD120" i="2" s="1"/>
  <c r="AD113" i="2"/>
  <c r="AD119" i="2" s="1"/>
  <c r="AC113" i="2"/>
  <c r="AC119" i="2" s="1"/>
  <c r="AB115" i="2"/>
  <c r="AB121" i="2" s="1"/>
  <c r="AD115" i="2"/>
  <c r="AD121" i="2" s="1"/>
  <c r="AB114" i="2"/>
  <c r="AB120" i="2" s="1"/>
  <c r="B50" i="3"/>
  <c r="E50" i="3"/>
  <c r="D50" i="3"/>
  <c r="C50" i="3"/>
  <c r="Y127" i="2"/>
  <c r="F134" i="2" s="1" a="1"/>
  <c r="F134" i="2" s="1"/>
  <c r="X125" i="2"/>
  <c r="F131" i="2" s="1" a="1"/>
  <c r="F131" i="2" s="1"/>
  <c r="Y126" i="2"/>
  <c r="X126" i="2"/>
  <c r="F132" i="2" s="1" a="1"/>
  <c r="F132" i="2" s="1"/>
  <c r="Y125" i="2"/>
  <c r="X127" i="2"/>
  <c r="F133" i="2" s="1" a="1"/>
  <c r="F133" i="2" s="1"/>
  <c r="W125" i="2"/>
  <c r="W127" i="2"/>
  <c r="W126" i="2"/>
  <c r="F114" i="4"/>
  <c r="E115" i="4"/>
  <c r="D114" i="4"/>
  <c r="F115" i="4"/>
  <c r="C114" i="4"/>
  <c r="C113" i="4"/>
  <c r="C115" i="4"/>
  <c r="E113" i="4"/>
  <c r="G114" i="4"/>
  <c r="F113" i="4"/>
  <c r="H114" i="4"/>
  <c r="E114" i="4"/>
  <c r="G113" i="4"/>
  <c r="G115" i="4"/>
  <c r="D113" i="4"/>
  <c r="C116" i="4" s="1" a="1"/>
  <c r="H113" i="4"/>
  <c r="H115" i="4"/>
  <c r="AB125" i="2" l="1" a="1"/>
  <c r="C123" i="4" a="1"/>
  <c r="H124" i="4" s="1"/>
  <c r="E116" i="4"/>
  <c r="D116" i="4"/>
  <c r="C116" i="4"/>
  <c r="H116" i="4"/>
  <c r="G116" i="4"/>
  <c r="F116" i="4"/>
  <c r="AB125" i="2" l="1"/>
  <c r="AD126" i="2"/>
  <c r="AC127" i="2"/>
  <c r="G133" i="2" s="1" a="1"/>
  <c r="G133" i="2" s="1"/>
  <c r="AB127" i="2"/>
  <c r="AB126" i="2"/>
  <c r="AD125" i="2"/>
  <c r="AC126" i="2"/>
  <c r="G132" i="2" s="1" a="1"/>
  <c r="G132" i="2" s="1"/>
  <c r="AC125" i="2"/>
  <c r="G131" i="2" s="1" a="1"/>
  <c r="G131" i="2" s="1"/>
  <c r="AD127" i="2"/>
  <c r="G134" i="2" s="1" a="1"/>
  <c r="G134" i="2" s="1"/>
  <c r="C124" i="4"/>
  <c r="G125" i="4"/>
  <c r="E125" i="4"/>
  <c r="D124" i="4"/>
  <c r="H125" i="4"/>
  <c r="G124" i="4"/>
  <c r="D123" i="4"/>
  <c r="F124" i="4"/>
  <c r="F125" i="4"/>
  <c r="H123" i="4"/>
  <c r="E123" i="4"/>
  <c r="D125" i="4"/>
  <c r="C125" i="4"/>
  <c r="C123" i="4"/>
  <c r="C126" i="4" s="1" a="1"/>
  <c r="F123" i="4"/>
  <c r="G123" i="4"/>
  <c r="E124" i="4"/>
  <c r="C148" i="4" a="1"/>
  <c r="C126" i="4" l="1"/>
  <c r="H126" i="4"/>
  <c r="E126" i="4"/>
  <c r="G126" i="4"/>
  <c r="F126" i="4"/>
  <c r="D126" i="4"/>
  <c r="D153" i="4"/>
  <c r="D152" i="4"/>
  <c r="D151" i="4"/>
  <c r="D150" i="4"/>
  <c r="D149" i="4"/>
  <c r="D148" i="4"/>
  <c r="C153" i="4"/>
  <c r="C152" i="4"/>
  <c r="C151" i="4"/>
  <c r="C150" i="4"/>
  <c r="C149" i="4"/>
  <c r="C148" i="4"/>
  <c r="J153" i="4"/>
  <c r="J152" i="4"/>
  <c r="J151" i="4"/>
  <c r="J150" i="4"/>
  <c r="J149" i="4"/>
  <c r="J148" i="4"/>
  <c r="F152" i="4"/>
  <c r="I153" i="4"/>
  <c r="I152" i="4"/>
  <c r="I151" i="4"/>
  <c r="I150" i="4"/>
  <c r="I149" i="4"/>
  <c r="I148" i="4"/>
  <c r="H152" i="4"/>
  <c r="F153" i="4"/>
  <c r="F151" i="4"/>
  <c r="F150" i="4"/>
  <c r="F149" i="4"/>
  <c r="F148" i="4"/>
  <c r="H153" i="4"/>
  <c r="H151" i="4"/>
  <c r="H150" i="4"/>
  <c r="H149" i="4"/>
  <c r="H148" i="4"/>
  <c r="G153" i="4"/>
  <c r="G152" i="4"/>
  <c r="G151" i="4"/>
  <c r="G150" i="4"/>
  <c r="G149" i="4"/>
  <c r="G148" i="4"/>
  <c r="E153" i="4"/>
  <c r="E152" i="4"/>
  <c r="E151" i="4"/>
  <c r="E150" i="4"/>
  <c r="E149" i="4"/>
  <c r="E1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<sst xmlns="http://schemas.openxmlformats.org/spreadsheetml/2006/main" count="581" uniqueCount="123">
  <si>
    <t>Products</t>
  </si>
  <si>
    <t>Final use</t>
  </si>
  <si>
    <t>Total output at basic prices</t>
  </si>
  <si>
    <t>Z</t>
  </si>
  <si>
    <t>Agriculture</t>
  </si>
  <si>
    <t>Final consumption</t>
  </si>
  <si>
    <t>Gross fixed capital formation</t>
  </si>
  <si>
    <t>Changes in inventories</t>
  </si>
  <si>
    <t>Exports</t>
  </si>
  <si>
    <t>Households</t>
  </si>
  <si>
    <t>Government</t>
  </si>
  <si>
    <t>Total at basic prices</t>
  </si>
  <si>
    <t>Imports</t>
  </si>
  <si>
    <t>Taxes less subsidies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</si>
  <si>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</si>
  <si>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</si>
  <si>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</si>
  <si>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</si>
  <si>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</si>
  <si>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Gross value added</t>
  </si>
  <si>
    <t>Total input at basic prices</t>
  </si>
  <si>
    <t>Manufacturing &amp; construction</t>
  </si>
  <si>
    <t>Services</t>
  </si>
  <si>
    <t>Single region input-output table</t>
  </si>
  <si>
    <t>A</t>
  </si>
  <si>
    <t>Technical coefficients</t>
  </si>
  <si>
    <t>Économie allemande en 2009</t>
  </si>
  <si>
    <t>Exemple tiré de la table 20.1 dans</t>
  </si>
  <si>
    <t xml:space="preserve">https://unstats.un.org/unsd/nationalaccount/docs/SUT_IOT_HB_Final_Cover.pdf </t>
  </si>
  <si>
    <t>Flux en milliards €/an</t>
  </si>
  <si>
    <t>Légende</t>
  </si>
  <si>
    <t>Ag</t>
  </si>
  <si>
    <t>MC</t>
  </si>
  <si>
    <t>Se</t>
  </si>
  <si>
    <t>Exercice 1.1: compléter la table de consommation intermédiaire</t>
  </si>
  <si>
    <t>Exercice 1.2: compléter la table des coefficients techniques</t>
  </si>
  <si>
    <t>Input coefficients</t>
  </si>
  <si>
    <t>Ces coefficients sont obtenus en divisant chaque valeur de la table input-output par le total de sa colonne. La somme est par définition toujours égale à 1.</t>
  </si>
  <si>
    <t>Quelle interprétation peut-on faire de chaque partie de la table ?</t>
  </si>
  <si>
    <t>Exercice 1.3: calculer la matrice puis l'inverse de Leontief</t>
  </si>
  <si>
    <t>Matrice de Leontief</t>
  </si>
  <si>
    <t>Ces coefficients sont obtenus en soustrayant les coefficients d'entrée à une matrice identité.</t>
  </si>
  <si>
    <t>Interprétation : ces coefficients sont le surplus de production de chaque secteur.</t>
  </si>
  <si>
    <t>Exemple :</t>
  </si>
  <si>
    <t>I-A</t>
  </si>
  <si>
    <t>Matrice identité</t>
  </si>
  <si>
    <t>Inverse de Leontief</t>
  </si>
  <si>
    <t>Ces coefficients sont obtenus en inversant la matrice de Leontief.</t>
  </si>
  <si>
    <t>Interprétation : ces coefficients représentent la demande totale (sur toute la chaîne de valeur) due à la production d'1 € de chaque produit.</t>
  </si>
  <si>
    <t>Pour les matheux :</t>
  </si>
  <si>
    <r>
      <t>L=(I-A)</t>
    </r>
    <r>
      <rPr>
        <b/>
        <vertAlign val="superscript"/>
        <sz val="8"/>
        <color theme="1"/>
        <rFont val="Arial Nova"/>
        <family val="2"/>
      </rPr>
      <t>-1</t>
    </r>
  </si>
  <si>
    <t>Exercice 1.4: vérifier que le système est bouclé</t>
  </si>
  <si>
    <t>Vérifier que Ly = x</t>
  </si>
  <si>
    <t>y</t>
  </si>
  <si>
    <t>x</t>
  </si>
  <si>
    <t>Total output (L * y)</t>
  </si>
  <si>
    <t>Total output (Z + y)</t>
  </si>
  <si>
    <t>La matrice L permet de calculer une production totale simplement en connaissant la demande finale.</t>
  </si>
  <si>
    <t>Elle permet de résoudre instantanément le calcul des besoins nécessaires à chaque étape de la chaîne de valeur de chaque secteur.</t>
  </si>
  <si>
    <t>Exercice 1.5 (bonus): calculer les échanges à chaque niveau de la chaîne de valeur</t>
  </si>
  <si>
    <t>I</t>
  </si>
  <si>
    <r>
      <t>A</t>
    </r>
    <r>
      <rPr>
        <vertAlign val="superscript"/>
        <sz val="8"/>
        <color theme="1"/>
        <rFont val="Arial Nova"/>
        <family val="2"/>
      </rPr>
      <t>2</t>
    </r>
  </si>
  <si>
    <t>I+A</t>
  </si>
  <si>
    <r>
      <t>I+A+A</t>
    </r>
    <r>
      <rPr>
        <vertAlign val="superscript"/>
        <sz val="8"/>
        <color theme="1"/>
        <rFont val="Arial Nova"/>
        <family val="2"/>
      </rPr>
      <t>2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</si>
  <si>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</si>
  <si>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</si>
  <si>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4</t>
    </r>
  </si>
  <si>
    <r>
      <t>A</t>
    </r>
    <r>
      <rPr>
        <vertAlign val="superscript"/>
        <sz val="8"/>
        <color theme="1"/>
        <rFont val="Arial Nova"/>
        <family val="2"/>
      </rPr>
      <t>5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</si>
  <si>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</si>
  <si>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5</t>
    </r>
  </si>
  <si>
    <t>Termes indépendants</t>
  </si>
  <si>
    <t>Somme cumulée</t>
  </si>
  <si>
    <t>À l'échelle de toute l'économie</t>
  </si>
  <si>
    <t>Ag-&gt;MC</t>
  </si>
  <si>
    <t>MC-&gt;MC</t>
  </si>
  <si>
    <t>Se-&gt;MC</t>
  </si>
  <si>
    <t>Se-Se</t>
  </si>
  <si>
    <t>Chaîne</t>
  </si>
  <si>
    <t>Nous allons ajouter les extensions environnementales</t>
  </si>
  <si>
    <t>Exercice 2. Calcul des émissions de production et d'empreinte</t>
  </si>
  <si>
    <t>Bonus: calculer les émissions en kg CO2 eq.</t>
  </si>
  <si>
    <t>Les émissions atmosphériques de chaque secteur sont compilées par les instituts statistiques, en valeur annuelle.</t>
  </si>
  <si>
    <t>Global warming potential</t>
  </si>
  <si>
    <t>GWP100</t>
  </si>
  <si>
    <t>CO2</t>
  </si>
  <si>
    <t>kg CO2 eq./kg</t>
  </si>
  <si>
    <t>Emissions model</t>
  </si>
  <si>
    <t>CH4</t>
  </si>
  <si>
    <t>F</t>
  </si>
  <si>
    <t>N2O</t>
  </si>
  <si>
    <t>kt</t>
  </si>
  <si>
    <t>On peut vérifier qu'à peu de choses près, l'Allemagne émettait autour de 900 Mt CO2/an en 2009</t>
  </si>
  <si>
    <t>CO2 eq.</t>
  </si>
  <si>
    <t>Exercice 2.1. Calcul des coefficients (facteurs) d'émissions.</t>
  </si>
  <si>
    <t>Pour calculer une empreinte environnementale, la première étape est de calculer les facteurs d'émissions.</t>
  </si>
  <si>
    <r>
      <t xml:space="preserve">Ces coefficients traduisent l'intensité carbone (ou autre) </t>
    </r>
    <r>
      <rPr>
        <b/>
        <sz val="8"/>
        <color theme="1"/>
        <rFont val="Arial Nova"/>
        <family val="2"/>
      </rPr>
      <t>directe</t>
    </r>
    <r>
      <rPr>
        <sz val="8"/>
        <color theme="1"/>
        <rFont val="Arial Nova"/>
        <family val="2"/>
      </rPr>
      <t xml:space="preserve"> de chaque secteur.</t>
    </r>
  </si>
  <si>
    <t>Emission coefficients (factors)</t>
  </si>
  <si>
    <t>S = F/x</t>
  </si>
  <si>
    <t>kt/G€</t>
  </si>
  <si>
    <t>Exercice 2.2. Calcul des coefficients de cycle de vie ("multiplier")</t>
  </si>
  <si>
    <r>
      <t xml:space="preserve">Ces coefficients traduisent l'intensité carbone </t>
    </r>
    <r>
      <rPr>
        <b/>
        <sz val="8"/>
        <color theme="1"/>
        <rFont val="Arial Nova"/>
        <family val="2"/>
      </rPr>
      <t>directe et indirecte (de toute la chaîne amont)</t>
    </r>
    <r>
      <rPr>
        <sz val="8"/>
        <color theme="1"/>
        <rFont val="Arial Nova"/>
        <family val="2"/>
      </rPr>
      <t xml:space="preserve"> de chaque secteur.</t>
    </r>
  </si>
  <si>
    <t>M = S*L</t>
  </si>
  <si>
    <t>Exercice 2.3. Calcul de l'empreinte carbone par secteur économique</t>
  </si>
  <si>
    <t>Ces valeurs donnent l'empreinte carbone causée par la demande annuelle de chaque secteur.</t>
  </si>
  <si>
    <t>Empreinte totale</t>
  </si>
  <si>
    <t>D = M*y</t>
  </si>
  <si>
    <t>Exercice 2.4. Calcul de l'empreinte carbone par catégorie de demande finale</t>
  </si>
  <si>
    <t>Ces valeurs donnent l'empreinte carbone causée par la demande annuelle de chaque catégorie de demande finale.</t>
  </si>
  <si>
    <t>kt CO2 eq.</t>
  </si>
  <si>
    <t>Direct emissions from final demand</t>
  </si>
  <si>
    <t>Travaillons maintenant avec une table multirégionale</t>
  </si>
  <si>
    <t>Two-region input-output table</t>
  </si>
  <si>
    <t>DE</t>
  </si>
  <si>
    <t>non-DE</t>
  </si>
  <si>
    <t>Final demand</t>
  </si>
  <si>
    <t>Total output</t>
  </si>
  <si>
    <t>Direct</t>
  </si>
  <si>
    <t>F = D_pba</t>
  </si>
  <si>
    <t>D_cba = M*y</t>
  </si>
  <si>
    <t>Exercice 2.4. Calcul de l'empreinte carbone par secteur de l'économie</t>
  </si>
  <si>
    <t>Exercice 2.5. Calcul de l'empreinte carbone par catégorie de demande finale</t>
  </si>
  <si>
    <t>Empreinte détaillée</t>
  </si>
  <si>
    <t>D = diag(S) * L * diag(y)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</si>
</sst>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sz val="8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 Nova"/>
      <family val="2"/>
    </font>
    <font>
      <sz val="7"/>
      <color theme="1"/>
      <name val="Arial Nova"/>
      <family val="2"/>
    </font>
    <font>
      <b/>
      <sz val="8"/>
      <color theme="6"/>
      <name val="Arial Nova"/>
      <family val="2"/>
    </font>
    <font>
      <i/>
      <sz val="8"/>
      <color theme="6"/>
      <name val="Arial Nova"/>
      <family val="2"/>
    </font>
    <font>
      <b/>
      <i/>
      <sz val="8"/>
      <color theme="6"/>
      <name val="Arial Nova"/>
      <family val="2"/>
    </font>
    <font>
      <sz val="8"/>
      <color theme="6"/>
      <name val="Arial Nova"/>
      <family val="2"/>
    </font>
    <font>
      <b/>
      <vertAlign val="superscript"/>
      <sz val="8"/>
      <color theme="1"/>
      <name val="Arial Nova"/>
      <family val="2"/>
    </font>
    <font>
      <vertAlign val="superscript"/>
      <sz val="8"/>
      <color theme="1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1" fontId="2" fillId="0" borderId="3" xfId="0" applyNumberFormat="1" applyFont="1" applyBorder="1"/>
    <xf numFmtId="1" fontId="2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1" fontId="1" fillId="0" borderId="6" xfId="0" applyNumberFormat="1" applyFont="1" applyBorder="1"/>
    <xf numFmtId="1" fontId="1" fillId="0" borderId="5" xfId="0" applyNumberFormat="1" applyFont="1" applyBorder="1"/>
    <xf numFmtId="0" fontId="1" fillId="0" borderId="5" xfId="0" applyFont="1" applyBorder="1"/>
    <xf numFmtId="0" fontId="3" fillId="0" borderId="0" xfId="0" applyFont="1"/>
    <xf numFmtId="0" fontId="3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3" fillId="0" borderId="3" xfId="0" applyNumberFormat="1" applyFont="1" applyBorder="1"/>
    <xf numFmtId="1" fontId="3" fillId="0" borderId="0" xfId="0" applyNumberFormat="1" applyFont="1"/>
    <xf numFmtId="1" fontId="1" fillId="0" borderId="11" xfId="0" applyNumberFormat="1" applyFont="1" applyBorder="1"/>
    <xf numFmtId="1" fontId="1" fillId="0" borderId="12" xfId="0" applyNumberFormat="1" applyFont="1" applyBorder="1"/>
    <xf numFmtId="1" fontId="1" fillId="0" borderId="16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1" applyFont="1"/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1" fontId="2" fillId="4" borderId="1" xfId="0" applyNumberFormat="1" applyFont="1" applyFill="1" applyBorder="1"/>
    <xf numFmtId="1" fontId="2" fillId="4" borderId="2" xfId="0" applyNumberFormat="1" applyFont="1" applyFill="1" applyBorder="1"/>
    <xf numFmtId="1" fontId="1" fillId="4" borderId="17" xfId="0" applyNumberFormat="1" applyFont="1" applyFill="1" applyBorder="1"/>
    <xf numFmtId="1" fontId="2" fillId="4" borderId="3" xfId="0" applyNumberFormat="1" applyFont="1" applyFill="1" applyBorder="1"/>
    <xf numFmtId="1" fontId="2" fillId="4" borderId="0" xfId="0" applyNumberFormat="1" applyFont="1" applyFill="1"/>
    <xf numFmtId="1" fontId="1" fillId="4" borderId="18" xfId="0" applyNumberFormat="1" applyFont="1" applyFill="1" applyBorder="1"/>
    <xf numFmtId="1" fontId="1" fillId="4" borderId="19" xfId="0" applyNumberFormat="1" applyFont="1" applyFill="1" applyBorder="1"/>
    <xf numFmtId="1" fontId="8" fillId="0" borderId="6" xfId="0" applyNumberFormat="1" applyFont="1" applyBorder="1"/>
    <xf numFmtId="1" fontId="8" fillId="0" borderId="5" xfId="0" applyNumberFormat="1" applyFont="1" applyBorder="1"/>
    <xf numFmtId="0" fontId="8" fillId="0" borderId="5" xfId="0" applyFont="1" applyBorder="1"/>
    <xf numFmtId="0" fontId="8" fillId="0" borderId="7" xfId="0" applyFont="1" applyBorder="1"/>
    <xf numFmtId="1" fontId="8" fillId="0" borderId="16" xfId="0" applyNumberFormat="1" applyFont="1" applyBorder="1"/>
    <xf numFmtId="0" fontId="9" fillId="0" borderId="3" xfId="0" applyFont="1" applyBorder="1"/>
    <xf numFmtId="0" fontId="9" fillId="0" borderId="0" xfId="0" applyFont="1"/>
    <xf numFmtId="0" fontId="9" fillId="0" borderId="4" xfId="0" applyFont="1" applyBorder="1"/>
    <xf numFmtId="0" fontId="10" fillId="0" borderId="0" xfId="0" applyFont="1"/>
    <xf numFmtId="0" fontId="11" fillId="0" borderId="0" xfId="0" applyFont="1"/>
    <xf numFmtId="0" fontId="11" fillId="0" borderId="4" xfId="0" applyFont="1" applyBorder="1"/>
    <xf numFmtId="0" fontId="8" fillId="0" borderId="0" xfId="0" applyFont="1"/>
    <xf numFmtId="1" fontId="9" fillId="0" borderId="3" xfId="0" applyNumberFormat="1" applyFont="1" applyBorder="1"/>
    <xf numFmtId="1" fontId="9" fillId="0" borderId="0" xfId="0" applyNumberFormat="1" applyFont="1"/>
    <xf numFmtId="1" fontId="8" fillId="0" borderId="11" xfId="0" applyNumberFormat="1" applyFont="1" applyBorder="1"/>
    <xf numFmtId="1" fontId="8" fillId="0" borderId="12" xfId="0" applyNumberFormat="1" applyFont="1" applyBorder="1"/>
    <xf numFmtId="0" fontId="8" fillId="0" borderId="8" xfId="0" applyFont="1" applyBorder="1"/>
    <xf numFmtId="0" fontId="8" fillId="0" borderId="9" xfId="0" applyFont="1" applyBorder="1"/>
    <xf numFmtId="1" fontId="1" fillId="4" borderId="13" xfId="0" applyNumberFormat="1" applyFont="1" applyFill="1" applyBorder="1"/>
    <xf numFmtId="1" fontId="1" fillId="4" borderId="14" xfId="0" applyNumberFormat="1" applyFont="1" applyFill="1" applyBorder="1"/>
    <xf numFmtId="1" fontId="1" fillId="4" borderId="15" xfId="0" applyNumberFormat="1" applyFont="1" applyFill="1" applyBorder="1"/>
    <xf numFmtId="164" fontId="2" fillId="0" borderId="0" xfId="0" applyNumberFormat="1" applyFont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21" xfId="0" applyFont="1" applyFill="1" applyBorder="1"/>
    <xf numFmtId="0" fontId="2" fillId="0" borderId="1" xfId="0" applyFont="1" applyBorder="1"/>
    <xf numFmtId="0" fontId="2" fillId="0" borderId="21" xfId="0" applyFont="1" applyBorder="1"/>
    <xf numFmtId="0" fontId="2" fillId="4" borderId="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0" borderId="3" xfId="0" applyFont="1" applyBorder="1"/>
    <xf numFmtId="0" fontId="2" fillId="4" borderId="22" xfId="0" applyFont="1" applyFill="1" applyBorder="1"/>
    <xf numFmtId="0" fontId="2" fillId="4" borderId="10" xfId="0" applyFont="1" applyFill="1" applyBorder="1"/>
    <xf numFmtId="0" fontId="2" fillId="4" borderId="23" xfId="0" applyFont="1" applyFill="1" applyBorder="1"/>
    <xf numFmtId="0" fontId="2" fillId="0" borderId="22" xfId="0" applyFont="1" applyBorder="1"/>
    <xf numFmtId="0" fontId="2" fillId="0" borderId="10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2" fontId="2" fillId="4" borderId="1" xfId="0" applyNumberFormat="1" applyFont="1" applyFill="1" applyBorder="1"/>
    <xf numFmtId="2" fontId="2" fillId="4" borderId="2" xfId="0" applyNumberFormat="1" applyFont="1" applyFill="1" applyBorder="1"/>
    <xf numFmtId="2" fontId="2" fillId="4" borderId="21" xfId="0" applyNumberFormat="1" applyFont="1" applyFill="1" applyBorder="1"/>
    <xf numFmtId="2" fontId="2" fillId="4" borderId="3" xfId="0" applyNumberFormat="1" applyFont="1" applyFill="1" applyBorder="1"/>
    <xf numFmtId="2" fontId="2" fillId="4" borderId="0" xfId="0" applyNumberFormat="1" applyFont="1" applyFill="1"/>
    <xf numFmtId="2" fontId="2" fillId="4" borderId="4" xfId="0" applyNumberFormat="1" applyFont="1" applyFill="1" applyBorder="1"/>
    <xf numFmtId="2" fontId="2" fillId="4" borderId="22" xfId="0" applyNumberFormat="1" applyFont="1" applyFill="1" applyBorder="1"/>
    <xf numFmtId="2" fontId="2" fillId="4" borderId="10" xfId="0" applyNumberFormat="1" applyFont="1" applyFill="1" applyBorder="1"/>
    <xf numFmtId="2" fontId="2" fillId="4" borderId="23" xfId="0" applyNumberFormat="1" applyFont="1" applyFill="1" applyBorder="1"/>
    <xf numFmtId="2" fontId="2" fillId="0" borderId="0" xfId="0" applyNumberFormat="1" applyFont="1"/>
    <xf numFmtId="2" fontId="11" fillId="4" borderId="0" xfId="0" applyNumberFormat="1" applyFont="1" applyFill="1"/>
    <xf numFmtId="1" fontId="2" fillId="4" borderId="21" xfId="0" applyNumberFormat="1" applyFont="1" applyFill="1" applyBorder="1"/>
    <xf numFmtId="1" fontId="2" fillId="4" borderId="4" xfId="0" applyNumberFormat="1" applyFont="1" applyFill="1" applyBorder="1"/>
    <xf numFmtId="1" fontId="2" fillId="4" borderId="22" xfId="0" applyNumberFormat="1" applyFont="1" applyFill="1" applyBorder="1"/>
    <xf numFmtId="1" fontId="2" fillId="4" borderId="10" xfId="0" applyNumberFormat="1" applyFont="1" applyFill="1" applyBorder="1"/>
    <xf numFmtId="1" fontId="2" fillId="4" borderId="23" xfId="0" applyNumberFormat="1" applyFont="1" applyFill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1" fontId="2" fillId="0" borderId="21" xfId="0" applyNumberFormat="1" applyFont="1" applyBorder="1"/>
    <xf numFmtId="1" fontId="2" fillId="0" borderId="4" xfId="0" applyNumberFormat="1" applyFont="1" applyBorder="1"/>
    <xf numFmtId="1" fontId="2" fillId="0" borderId="22" xfId="0" applyNumberFormat="1" applyFont="1" applyBorder="1"/>
    <xf numFmtId="1" fontId="2" fillId="0" borderId="10" xfId="0" applyNumberFormat="1" applyFont="1" applyBorder="1"/>
    <xf numFmtId="1" fontId="2" fillId="0" borderId="23" xfId="0" applyNumberFormat="1" applyFont="1" applyBorder="1"/>
    <xf numFmtId="0" fontId="14" fillId="0" borderId="0" xfId="0" applyFont="1"/>
    <xf numFmtId="0" fontId="15" fillId="0" borderId="0" xfId="0" applyFont="1"/>
    <xf numFmtId="0" fontId="14" fillId="3" borderId="0" xfId="0" applyFont="1" applyFill="1"/>
    <xf numFmtId="0" fontId="15" fillId="3" borderId="0" xfId="0" applyFont="1" applyFill="1"/>
    <xf numFmtId="0" fontId="1" fillId="5" borderId="0" xfId="0" applyFont="1" applyFill="1"/>
    <xf numFmtId="0" fontId="2" fillId="5" borderId="0" xfId="0" applyFont="1" applyFill="1"/>
    <xf numFmtId="0" fontId="2" fillId="5" borderId="24" xfId="0" applyFont="1" applyFill="1" applyBorder="1"/>
    <xf numFmtId="0" fontId="2" fillId="5" borderId="25" xfId="0" applyFont="1" applyFill="1" applyBorder="1"/>
    <xf numFmtId="0" fontId="14" fillId="2" borderId="0" xfId="0" applyFont="1" applyFill="1" applyAlignment="1">
      <alignment horizontal="center" vertical="center"/>
    </xf>
    <xf numFmtId="0" fontId="2" fillId="5" borderId="26" xfId="0" applyFont="1" applyFill="1" applyBorder="1"/>
    <xf numFmtId="0" fontId="1" fillId="6" borderId="0" xfId="0" applyFont="1" applyFill="1"/>
    <xf numFmtId="0" fontId="15" fillId="0" borderId="0" xfId="0" applyFont="1" applyAlignment="1">
      <alignment horizontal="right" wrapText="1"/>
    </xf>
    <xf numFmtId="1" fontId="2" fillId="5" borderId="0" xfId="0" applyNumberFormat="1" applyFont="1" applyFill="1"/>
    <xf numFmtId="1" fontId="1" fillId="6" borderId="0" xfId="0" applyNumberFormat="1" applyFont="1" applyFill="1"/>
    <xf numFmtId="1" fontId="2" fillId="0" borderId="27" xfId="0" applyNumberFormat="1" applyFont="1" applyBorder="1"/>
    <xf numFmtId="1" fontId="2" fillId="0" borderId="28" xfId="0" applyNumberFormat="1" applyFont="1" applyBorder="1"/>
    <xf numFmtId="1" fontId="2" fillId="0" borderId="29" xfId="0" applyNumberFormat="1" applyFont="1" applyBorder="1"/>
    <xf numFmtId="1" fontId="2" fillId="0" borderId="16" xfId="0" applyNumberFormat="1" applyFont="1" applyBorder="1"/>
    <xf numFmtId="1" fontId="2" fillId="0" borderId="11" xfId="0" applyNumberFormat="1" applyFont="1" applyBorder="1"/>
    <xf numFmtId="1" fontId="2" fillId="0" borderId="12" xfId="0" applyNumberFormat="1" applyFont="1" applyBorder="1"/>
    <xf numFmtId="1" fontId="2" fillId="0" borderId="30" xfId="0" applyNumberFormat="1" applyFont="1" applyBorder="1"/>
    <xf numFmtId="1" fontId="2" fillId="0" borderId="31" xfId="0" applyNumberFormat="1" applyFont="1" applyBorder="1"/>
    <xf numFmtId="1" fontId="2" fillId="0" borderId="32" xfId="0" applyNumberFormat="1" applyFont="1" applyBorder="1"/>
    <xf numFmtId="1" fontId="2" fillId="0" borderId="33" xfId="0" applyNumberFormat="1" applyFont="1" applyBorder="1"/>
    <xf numFmtId="0" fontId="1" fillId="0" borderId="16" xfId="0" applyFont="1" applyBorder="1"/>
    <xf numFmtId="1" fontId="4" fillId="0" borderId="0" xfId="0" applyNumberFormat="1" applyFont="1"/>
    <xf numFmtId="1" fontId="1" fillId="0" borderId="0" xfId="0" applyNumberFormat="1" applyFont="1"/>
    <xf numFmtId="0" fontId="1" fillId="0" borderId="12" xfId="0" applyFont="1" applyBorder="1"/>
    <xf numFmtId="1" fontId="1" fillId="4" borderId="34" xfId="0" applyNumberFormat="1" applyFont="1" applyFill="1" applyBorder="1"/>
    <xf numFmtId="1" fontId="2" fillId="0" borderId="24" xfId="0" applyNumberFormat="1" applyFont="1" applyBorder="1"/>
    <xf numFmtId="1" fontId="1" fillId="4" borderId="35" xfId="0" applyNumberFormat="1" applyFont="1" applyFill="1" applyBorder="1"/>
    <xf numFmtId="1" fontId="2" fillId="0" borderId="25" xfId="0" applyNumberFormat="1" applyFont="1" applyBorder="1"/>
    <xf numFmtId="1" fontId="1" fillId="4" borderId="36" xfId="0" applyNumberFormat="1" applyFont="1" applyFill="1" applyBorder="1"/>
    <xf numFmtId="1" fontId="2" fillId="0" borderId="26" xfId="0" applyNumberFormat="1" applyFont="1" applyBorder="1"/>
    <xf numFmtId="1" fontId="1" fillId="0" borderId="37" xfId="0" applyNumberFormat="1" applyFont="1" applyBorder="1"/>
    <xf numFmtId="1" fontId="1" fillId="0" borderId="7" xfId="0" applyNumberFormat="1" applyFont="1" applyBorder="1"/>
    <xf numFmtId="1" fontId="1" fillId="0" borderId="38" xfId="0" applyNumberFormat="1" applyFont="1" applyBorder="1"/>
    <xf numFmtId="1" fontId="1" fillId="0" borderId="8" xfId="0" applyNumberFormat="1" applyFont="1" applyBorder="1"/>
    <xf numFmtId="1" fontId="1" fillId="4" borderId="39" xfId="0" applyNumberFormat="1" applyFont="1" applyFill="1" applyBorder="1"/>
    <xf numFmtId="1" fontId="1" fillId="4" borderId="20" xfId="0" applyNumberFormat="1" applyFont="1" applyFill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2" fillId="0" borderId="27" xfId="0" applyNumberFormat="1" applyFont="1" applyBorder="1"/>
    <xf numFmtId="2" fontId="2" fillId="0" borderId="3" xfId="0" applyNumberFormat="1" applyFont="1" applyBorder="1"/>
    <xf numFmtId="2" fontId="2" fillId="0" borderId="28" xfId="0" applyNumberFormat="1" applyFont="1" applyBorder="1"/>
    <xf numFmtId="2" fontId="2" fillId="0" borderId="29" xfId="0" applyNumberFormat="1" applyFont="1" applyBorder="1"/>
    <xf numFmtId="2" fontId="2" fillId="0" borderId="16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30" xfId="0" applyNumberFormat="1" applyFont="1" applyBorder="1"/>
    <xf numFmtId="2" fontId="2" fillId="0" borderId="31" xfId="0" applyNumberFormat="1" applyFont="1" applyBorder="1"/>
    <xf numFmtId="2" fontId="2" fillId="0" borderId="32" xfId="0" applyNumberFormat="1" applyFont="1" applyBorder="1"/>
    <xf numFmtId="2" fontId="2" fillId="0" borderId="33" xfId="0" applyNumberFormat="1" applyFont="1" applyBorder="1"/>
    <xf numFmtId="2" fontId="8" fillId="0" borderId="6" xfId="0" applyNumberFormat="1" applyFont="1" applyBorder="1"/>
    <xf numFmtId="2" fontId="8" fillId="0" borderId="5" xfId="0" applyNumberFormat="1" applyFont="1" applyBorder="1"/>
    <xf numFmtId="2" fontId="9" fillId="0" borderId="3" xfId="0" applyNumberFormat="1" applyFont="1" applyBorder="1"/>
    <xf numFmtId="2" fontId="9" fillId="0" borderId="0" xfId="0" applyNumberFormat="1" applyFont="1"/>
    <xf numFmtId="2" fontId="11" fillId="0" borderId="0" xfId="0" applyNumberFormat="1" applyFont="1"/>
    <xf numFmtId="2" fontId="8" fillId="0" borderId="38" xfId="0" applyNumberFormat="1" applyFont="1" applyBorder="1"/>
    <xf numFmtId="2" fontId="8" fillId="0" borderId="8" xfId="0" applyNumberFormat="1" applyFont="1" applyBorder="1"/>
    <xf numFmtId="2" fontId="1" fillId="4" borderId="20" xfId="0" applyNumberFormat="1" applyFont="1" applyFill="1" applyBorder="1"/>
    <xf numFmtId="2" fontId="1" fillId="4" borderId="36" xfId="0" applyNumberFormat="1" applyFont="1" applyFill="1" applyBorder="1"/>
    <xf numFmtId="2" fontId="2" fillId="0" borderId="21" xfId="0" applyNumberFormat="1" applyFont="1" applyBorder="1"/>
    <xf numFmtId="2" fontId="2" fillId="0" borderId="4" xfId="0" applyNumberFormat="1" applyFont="1" applyBorder="1"/>
    <xf numFmtId="2" fontId="2" fillId="0" borderId="37" xfId="0" applyNumberFormat="1" applyFont="1" applyBorder="1"/>
    <xf numFmtId="2" fontId="2" fillId="0" borderId="22" xfId="0" applyNumberFormat="1" applyFont="1" applyBorder="1"/>
    <xf numFmtId="2" fontId="2" fillId="0" borderId="10" xfId="0" applyNumberFormat="1" applyFont="1" applyBorder="1"/>
    <xf numFmtId="2" fontId="2" fillId="0" borderId="40" xfId="0" applyNumberFormat="1" applyFont="1" applyBorder="1"/>
    <xf numFmtId="2" fontId="2" fillId="0" borderId="23" xfId="0" applyNumberFormat="1" applyFont="1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21" xfId="0" applyNumberFormat="1" applyFont="1" applyBorder="1"/>
    <xf numFmtId="165" fontId="2" fillId="0" borderId="1" xfId="0" applyNumberFormat="1" applyFont="1" applyBorder="1"/>
    <xf numFmtId="165" fontId="2" fillId="0" borderId="2" xfId="0" applyNumberFormat="1" applyFont="1" applyBorder="1"/>
    <xf numFmtId="165" fontId="2" fillId="0" borderId="21" xfId="0" applyNumberFormat="1" applyFont="1" applyBorder="1"/>
    <xf numFmtId="165" fontId="2" fillId="0" borderId="3" xfId="0" applyNumberFormat="1" applyFont="1" applyBorder="1"/>
    <xf numFmtId="165" fontId="2" fillId="0" borderId="4" xfId="0" applyNumberFormat="1" applyFont="1" applyBorder="1"/>
    <xf numFmtId="165" fontId="2" fillId="0" borderId="22" xfId="0" applyNumberFormat="1" applyFont="1" applyBorder="1"/>
    <xf numFmtId="165" fontId="2" fillId="0" borderId="10" xfId="0" applyNumberFormat="1" applyFont="1" applyBorder="1"/>
    <xf numFmtId="165" fontId="2" fillId="0" borderId="23" xfId="0" applyNumberFormat="1" applyFont="1" applyBorder="1"/>
    <xf numFmtId="1" fontId="2" fillId="0" borderId="41" xfId="0" applyNumberFormat="1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1" xfId="0" applyFont="1" applyBorder="1"/>
    <xf numFmtId="1" fontId="2" fillId="0" borderId="37" xfId="0" applyNumberFormat="1" applyFont="1" applyBorder="1"/>
    <xf numFmtId="1" fontId="2" fillId="0" borderId="40" xfId="0" applyNumberFormat="1" applyFont="1" applyBorder="1"/>
    <xf numFmtId="0" fontId="2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right" wrapText="1"/>
    </xf>
    <xf numFmtId="0" fontId="2" fillId="5" borderId="0" xfId="0" applyFont="1" applyFill="1" applyAlignment="1">
      <alignment horizontal="left" wrapText="1"/>
    </xf>
    <xf numFmtId="0" fontId="1" fillId="0" borderId="0" xfId="0" applyFont="1" applyAlignment="1">
      <alignment horizontal="right" vertical="center" textRotation="90"/>
    </xf>
    <xf numFmtId="164" fontId="2" fillId="4" borderId="21" xfId="0" applyNumberFormat="1" applyFont="1" applyFill="1" applyBorder="1"/>
    <xf numFmtId="1" fontId="2" fillId="0" borderId="0" xfId="0" applyNumberFormat="1" applyFont="1" applyBorder="1"/>
    <xf numFmtId="1" fontId="2" fillId="4" borderId="24" xfId="0" applyNumberFormat="1" applyFont="1" applyFill="1" applyBorder="1"/>
    <xf numFmtId="1" fontId="2" fillId="4" borderId="25" xfId="0" applyNumberFormat="1" applyFont="1" applyFill="1" applyBorder="1"/>
    <xf numFmtId="1" fontId="2" fillId="4" borderId="26" xfId="0" applyNumberFormat="1" applyFont="1" applyFill="1" applyBorder="1"/>
    <xf numFmtId="164" fontId="1" fillId="4" borderId="39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Propagation</a:t>
            </a:r>
            <a:r>
              <a:rPr lang="en-IE" baseline="0"/>
              <a:t> des échanges nécessaires à la production allemande 2019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'Exercice 1'!$A$131</c:f>
              <c:strCache>
                <c:ptCount val="1"/>
                <c:pt idx="0">
                  <c:v>Ag-&gt;MC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1'!$B$131:$G$131</c:f>
              <c:numCache>
                <c:formatCode>0</c:formatCode>
                <c:ptCount val="6"/>
                <c:pt idx="0">
                  <c:v>0</c:v>
                </c:pt>
                <c:pt idx="1">
                  <c:v>13.248071216617211</c:v>
                </c:pt>
                <c:pt idx="2">
                  <c:v>17.978153991860058</c:v>
                </c:pt>
                <c:pt idx="3">
                  <c:v>19.573614612543654</c:v>
                </c:pt>
                <c:pt idx="4">
                  <c:v>20.143113158448518</c:v>
                </c:pt>
                <c:pt idx="5">
                  <c:v>20.356568237978447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F-40DC-8AA8-E940C29545DB}"/>
            </c:ext>
          </c:extLst>
        </c:ser>
        <c:ser>
          <c:idx val="1"/>
          <c:order val="1"/>
          <c:tx>
            <c:strRef>
              <c:f>'Exercice 1'!$A$132</c:f>
              <c:strCache>
                <c:ptCount val="1"/>
                <c:pt idx="0">
                  <c:v>MC-&gt;MC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1'!$B$132:$G$132</c:f>
              <c:numCache>
                <c:formatCode>0</c:formatCode>
                <c:ptCount val="6"/>
                <c:pt idx="0">
                  <c:v>1063</c:v>
                </c:pt>
                <c:pt idx="1">
                  <c:v>1360.1353115727004</c:v>
                </c:pt>
                <c:pt idx="2">
                  <c:v>1457.2445021997407</c:v>
                </c:pt>
                <c:pt idx="3">
                  <c:v>1492.0587941939282</c:v>
                </c:pt>
                <c:pt idx="4">
                  <c:v>1505.1900790485809</c:v>
                </c:pt>
                <c:pt idx="5">
                  <c:v>1510.2736144778835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F-40DC-8AA8-E940C29545DB}"/>
            </c:ext>
          </c:extLst>
        </c:ser>
        <c:ser>
          <c:idx val="2"/>
          <c:order val="2"/>
          <c:tx>
            <c:strRef>
              <c:f>'Exercice 1'!$A$133</c:f>
              <c:strCache>
                <c:ptCount val="1"/>
                <c:pt idx="0">
                  <c:v>Se-&gt;MC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1'!$B$133:$G$133</c:f>
              <c:numCache>
                <c:formatCode>0</c:formatCode>
                <c:ptCount val="6"/>
                <c:pt idx="0">
                  <c:v>0</c:v>
                </c:pt>
                <c:pt idx="1">
                  <c:v>212.60000000000002</c:v>
                </c:pt>
                <c:pt idx="2">
                  <c:v>337.42148633518218</c:v>
                </c:pt>
                <c:pt idx="3">
                  <c:v>394.5118886272578</c:v>
                </c:pt>
                <c:pt idx="4">
                  <c:v>418.56822898147107</c:v>
                </c:pt>
                <c:pt idx="5">
                  <c:v>428.37274097073521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5F-40DC-8AA8-E940C29545DB}"/>
            </c:ext>
          </c:extLst>
        </c:ser>
        <c:ser>
          <c:idx val="3"/>
          <c:order val="3"/>
          <c:tx>
            <c:strRef>
              <c:f>'Exercice 1'!$A$134</c:f>
              <c:strCache>
                <c:ptCount val="1"/>
                <c:pt idx="0">
                  <c:v>Se-Se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1'!$B$134:$G$134</c:f>
              <c:numCache>
                <c:formatCode>0</c:formatCode>
                <c:ptCount val="6"/>
                <c:pt idx="0">
                  <c:v>1518</c:v>
                </c:pt>
                <c:pt idx="1">
                  <c:v>1962.4050056882822</c:v>
                </c:pt>
                <c:pt idx="2">
                  <c:v>2109.1084159889201</c:v>
                </c:pt>
                <c:pt idx="3">
                  <c:v>2161.7948549949651</c:v>
                </c:pt>
                <c:pt idx="4">
                  <c:v>2181.6714989395955</c:v>
                </c:pt>
                <c:pt idx="5">
                  <c:v>2189.3663213241925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5F-40DC-8AA8-E940C2954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398415"/>
        <c:axId val="1496004687"/>
      </c:lineChart>
      <c:catAx>
        <c:axId val="11373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96004687"/>
        <c:crosses val="autoZero"/>
        <c:auto val="1"/>
        <c:lblAlgn val="ctr"/>
        <c:lblOffset val="100"/>
        <c:noMultiLvlLbl val="0"/>
      </c:catAx>
      <c:valAx>
        <c:axId val="14960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Milliards d'euros</a:t>
                </a:r>
                <a:r>
                  <a:rPr lang="en-IE" baseline="0"/>
                  <a:t> 2019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3739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3'!$A$148:$B$148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3'!$C$148:$J$148</c:f>
              <c:numCache>
                <c:formatCode>0</c:formatCode>
                <c:ptCount val="8"/>
                <c:pt idx="0">
                  <c:v>31.756419670272301</c:v>
                </c:pt>
                <c:pt idx="1">
                  <c:v>0</c:v>
                </c:pt>
                <c:pt idx="2">
                  <c:v>0</c:v>
                </c:pt>
                <c:pt idx="3">
                  <c:v>10.585473223424103</c:v>
                </c:pt>
                <c:pt idx="4">
                  <c:v>3.5284910744747005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C-43D8-8C00-B790ACFE55A4}"/>
            </c:ext>
          </c:extLst>
        </c:ser>
        <c:ser>
          <c:idx val="1"/>
          <c:order val="1"/>
          <c:tx>
            <c:strRef>
              <c:f>'Exercice 3'!$A$149:$B$149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3'!$C$149:$J$149</c:f>
              <c:numCache>
                <c:formatCode>0</c:formatCode>
                <c:ptCount val="8"/>
                <c:pt idx="0">
                  <c:v>363.00277140595023</c:v>
                </c:pt>
                <c:pt idx="1">
                  <c:v>9.9647819601633394</c:v>
                </c:pt>
                <c:pt idx="2">
                  <c:v>353.03798944578693</c:v>
                </c:pt>
                <c:pt idx="3">
                  <c:v>-82.565336241353393</c:v>
                </c:pt>
                <c:pt idx="4">
                  <c:v>56.941611200933373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C-43D8-8C00-B790ACFE55A4}"/>
            </c:ext>
          </c:extLst>
        </c:ser>
        <c:ser>
          <c:idx val="2"/>
          <c:order val="2"/>
          <c:tx>
            <c:strRef>
              <c:f>'Exercice 3'!$A$150:$B$150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3'!$C$150:$J$150</c:f>
              <c:numCache>
                <c:formatCode>0</c:formatCode>
                <c:ptCount val="8"/>
                <c:pt idx="0">
                  <c:v>212.5814713207902</c:v>
                </c:pt>
                <c:pt idx="1">
                  <c:v>134.06038731941726</c:v>
                </c:pt>
                <c:pt idx="2">
                  <c:v>18.057113394043959</c:v>
                </c:pt>
                <c:pt idx="3">
                  <c:v>1.6415557630949051</c:v>
                </c:pt>
                <c:pt idx="4">
                  <c:v>2.7359262718248418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C-43D8-8C00-B790ACFE55A4}"/>
            </c:ext>
          </c:extLst>
        </c:ser>
        <c:ser>
          <c:idx val="3"/>
          <c:order val="3"/>
          <c:tx>
            <c:strRef>
              <c:f>'Exercice 3'!$A$151:$B$151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3'!$C$151:$J$151</c:f>
              <c:numCache>
                <c:formatCode>0</c:formatCode>
                <c:ptCount val="8"/>
                <c:pt idx="0">
                  <c:v>77.865156819826566</c:v>
                </c:pt>
                <c:pt idx="1">
                  <c:v>19.466289204956642</c:v>
                </c:pt>
                <c:pt idx="2">
                  <c:v>9.7331446024783208</c:v>
                </c:pt>
                <c:pt idx="3">
                  <c:v>97.331446024783205</c:v>
                </c:pt>
                <c:pt idx="4">
                  <c:v>1245.8425091172251</c:v>
                </c:pt>
                <c:pt idx="5">
                  <c:v>0</c:v>
                </c:pt>
                <c:pt idx="6">
                  <c:v>0</c:v>
                </c:pt>
                <c:pt idx="7">
                  <c:v>434.59622411065999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C-43D8-8C00-B790ACFE55A4}"/>
            </c:ext>
          </c:extLst>
        </c:ser>
        <c:ser>
          <c:idx val="4"/>
          <c:order val="4"/>
          <c:tx>
            <c:strRef>
              <c:f>'Exercice 3'!$A$152:$B$152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3'!$C$152:$J$152</c:f>
              <c:numCache>
                <c:formatCode>0</c:formatCode>
                <c:ptCount val="8"/>
                <c:pt idx="0">
                  <c:v>58.981137540495794</c:v>
                </c:pt>
                <c:pt idx="1">
                  <c:v>5.8981137540495796</c:v>
                </c:pt>
                <c:pt idx="2">
                  <c:v>147.45284385123949</c:v>
                </c:pt>
                <c:pt idx="3">
                  <c:v>58.981137540495794</c:v>
                </c:pt>
                <c:pt idx="4">
                  <c:v>18363.022763334593</c:v>
                </c:pt>
                <c:pt idx="5">
                  <c:v>552.0908804662688</c:v>
                </c:pt>
                <c:pt idx="6">
                  <c:v>8847.1706310743684</c:v>
                </c:pt>
                <c:pt idx="7">
                  <c:v>-5370.0268249079318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C-43D8-8C00-B790ACFE55A4}"/>
            </c:ext>
          </c:extLst>
        </c:ser>
        <c:ser>
          <c:idx val="5"/>
          <c:order val="5"/>
          <c:tx>
            <c:strRef>
              <c:f>'Exercice 3'!$A$153:$B$153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3'!$C$153:$J$153</c:f>
              <c:numCache>
                <c:formatCode>0</c:formatCode>
                <c:ptCount val="8"/>
                <c:pt idx="0">
                  <c:v>63.30925412285449</c:v>
                </c:pt>
                <c:pt idx="1">
                  <c:v>3.1654627061427245</c:v>
                </c:pt>
                <c:pt idx="2">
                  <c:v>6.330925412285449</c:v>
                </c:pt>
                <c:pt idx="3">
                  <c:v>0.63309254122854486</c:v>
                </c:pt>
                <c:pt idx="4">
                  <c:v>6063.1125442634202</c:v>
                </c:pt>
                <c:pt idx="5">
                  <c:v>6237.0463151165013</c:v>
                </c:pt>
                <c:pt idx="6">
                  <c:v>952.28896666656476</c:v>
                </c:pt>
                <c:pt idx="7">
                  <c:v>62.720330828688404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CC-43D8-8C00-B790ACFE55A4}"/>
            </c:ext>
          </c:extLst>
        </c:ser>
        <c:ser>
          <c:idx val="6"/>
          <c:order val="6"/>
          <c:tx>
            <c:strRef>
              <c:f>'Exercice 3'!$A$154:$B$154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3'!$C$154:$J$154</c:f>
              <c:numCache>
                <c:formatCode>General</c:formatCode>
                <c:ptCount val="8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CC-43D8-8C00-B790ACFE55A4}"/>
            </c:ext>
          </c:extLst>
        </c:ser>
        <c:ser>
          <c:idx val="7"/>
          <c:order val="7"/>
          <c:tx>
            <c:strRef>
              <c:f>'Exercice 3'!$A$155:$B$155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3'!$C$146:$J$147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3'!$C$155:$J$155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4523.6000000000004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CC-43D8-8C00-B790ACFE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3'!$A$148:$B$148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3'!$C$148:$F$148</c:f>
              <c:numCache>
                <c:formatCode>0</c:formatCode>
                <c:ptCount val="4"/>
                <c:pt idx="0">
                  <c:v>31.756419670272301</c:v>
                </c:pt>
                <c:pt idx="1">
                  <c:v>0</c:v>
                </c:pt>
                <c:pt idx="2">
                  <c:v>0</c:v>
                </c:pt>
                <c:pt idx="3">
                  <c:v>10.585473223424103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5-4237-AEE3-0D7DF4ECA3EB}"/>
            </c:ext>
          </c:extLst>
        </c:ser>
        <c:ser>
          <c:idx val="1"/>
          <c:order val="1"/>
          <c:tx>
            <c:strRef>
              <c:f>'Exercice 3'!$A$149:$B$149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3'!$C$149:$F$149</c:f>
              <c:numCache>
                <c:formatCode>0</c:formatCode>
                <c:ptCount val="4"/>
                <c:pt idx="0">
                  <c:v>363.00277140595023</c:v>
                </c:pt>
                <c:pt idx="1">
                  <c:v>9.9647819601633394</c:v>
                </c:pt>
                <c:pt idx="2">
                  <c:v>353.03798944578693</c:v>
                </c:pt>
                <c:pt idx="3">
                  <c:v>-82.565336241353393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5-4237-AEE3-0D7DF4ECA3EB}"/>
            </c:ext>
          </c:extLst>
        </c:ser>
        <c:ser>
          <c:idx val="2"/>
          <c:order val="2"/>
          <c:tx>
            <c:strRef>
              <c:f>'Exercice 3'!$A$150:$B$150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3'!$C$150:$F$150</c:f>
              <c:numCache>
                <c:formatCode>0</c:formatCode>
                <c:ptCount val="4"/>
                <c:pt idx="0">
                  <c:v>212.5814713207902</c:v>
                </c:pt>
                <c:pt idx="1">
                  <c:v>134.06038731941726</c:v>
                </c:pt>
                <c:pt idx="2">
                  <c:v>18.057113394043959</c:v>
                </c:pt>
                <c:pt idx="3">
                  <c:v>1.6415557630949051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5-4237-AEE3-0D7DF4ECA3EB}"/>
            </c:ext>
          </c:extLst>
        </c:ser>
        <c:ser>
          <c:idx val="3"/>
          <c:order val="3"/>
          <c:tx>
            <c:strRef>
              <c:f>'Exercice 3'!$A$151:$B$151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3'!$C$151:$F$151</c:f>
              <c:numCache>
                <c:formatCode>0</c:formatCode>
                <c:ptCount val="4"/>
                <c:pt idx="0">
                  <c:v>77.865156819826566</c:v>
                </c:pt>
                <c:pt idx="1">
                  <c:v>19.466289204956642</c:v>
                </c:pt>
                <c:pt idx="2">
                  <c:v>9.7331446024783208</c:v>
                </c:pt>
                <c:pt idx="3">
                  <c:v>97.331446024783205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5-4237-AEE3-0D7DF4ECA3EB}"/>
            </c:ext>
          </c:extLst>
        </c:ser>
        <c:ser>
          <c:idx val="4"/>
          <c:order val="4"/>
          <c:tx>
            <c:strRef>
              <c:f>'Exercice 3'!$A$152:$B$152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3'!$C$152:$F$152</c:f>
              <c:numCache>
                <c:formatCode>0</c:formatCode>
                <c:ptCount val="4"/>
                <c:pt idx="0">
                  <c:v>58.981137540495794</c:v>
                </c:pt>
                <c:pt idx="1">
                  <c:v>5.8981137540495796</c:v>
                </c:pt>
                <c:pt idx="2">
                  <c:v>147.45284385123949</c:v>
                </c:pt>
                <c:pt idx="3">
                  <c:v>58.981137540495794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B5-4237-AEE3-0D7DF4ECA3EB}"/>
            </c:ext>
          </c:extLst>
        </c:ser>
        <c:ser>
          <c:idx val="5"/>
          <c:order val="5"/>
          <c:tx>
            <c:strRef>
              <c:f>'Exercice 3'!$A$153:$B$153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3'!$C$153:$F$153</c:f>
              <c:numCache>
                <c:formatCode>0</c:formatCode>
                <c:ptCount val="4"/>
                <c:pt idx="0">
                  <c:v>63.30925412285449</c:v>
                </c:pt>
                <c:pt idx="1">
                  <c:v>3.1654627061427245</c:v>
                </c:pt>
                <c:pt idx="2">
                  <c:v>6.330925412285449</c:v>
                </c:pt>
                <c:pt idx="3">
                  <c:v>0.63309254122854486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B5-4237-AEE3-0D7DF4ECA3EB}"/>
            </c:ext>
          </c:extLst>
        </c:ser>
        <c:ser>
          <c:idx val="6"/>
          <c:order val="6"/>
          <c:tx>
            <c:strRef>
              <c:f>'Exercice 3'!$A$154:$B$154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3'!$C$154:$F$154</c:f>
              <c:numCache>
                <c:formatCode>General</c:formatCode>
                <c:ptCount val="4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B5-4237-AEE3-0D7DF4ECA3EB}"/>
            </c:ext>
          </c:extLst>
        </c:ser>
        <c:ser>
          <c:idx val="7"/>
          <c:order val="7"/>
          <c:tx>
            <c:strRef>
              <c:f>'Exercice 3'!$A$155:$B$155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3'!$C$146:$F$147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3'!$C$155:$F$155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B5-4237-AEE3-0D7DF4ECA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3'!$C$131:$C$132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3'!$C$134:$C$141</c:f>
              <c:numCache>
                <c:formatCode>0</c:formatCode>
                <c:ptCount val="8"/>
                <c:pt idx="0">
                  <c:v>30.650382897298876</c:v>
                </c:pt>
                <c:pt idx="1">
                  <c:v>1.4828759957431503</c:v>
                </c:pt>
                <c:pt idx="2">
                  <c:v>0.2629055247074325</c:v>
                </c:pt>
                <c:pt idx="3">
                  <c:v>9.9372089097333625</c:v>
                </c:pt>
                <c:pt idx="4">
                  <c:v>2.9641868428606384</c:v>
                </c:pt>
                <c:pt idx="5">
                  <c:v>0.57282379782764403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C-491E-9A46-BCA174E79B2E}"/>
            </c:ext>
          </c:extLst>
        </c:ser>
        <c:ser>
          <c:idx val="1"/>
          <c:order val="1"/>
          <c:tx>
            <c:strRef>
              <c:f>'Exercice 3'!$D$131:$D$132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3'!$D$134:$D$141</c:f>
              <c:numCache>
                <c:formatCode>0</c:formatCode>
                <c:ptCount val="8"/>
                <c:pt idx="0">
                  <c:v>21.337186016692179</c:v>
                </c:pt>
                <c:pt idx="1">
                  <c:v>254.97415007503275</c:v>
                </c:pt>
                <c:pt idx="2">
                  <c:v>9.2915431391617656</c:v>
                </c:pt>
                <c:pt idx="3">
                  <c:v>146.23351631137692</c:v>
                </c:pt>
                <c:pt idx="4">
                  <c:v>240.79576027014241</c:v>
                </c:pt>
                <c:pt idx="5">
                  <c:v>27.749661959074398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C-491E-9A46-BCA174E79B2E}"/>
            </c:ext>
          </c:extLst>
        </c:ser>
        <c:ser>
          <c:idx val="2"/>
          <c:order val="2"/>
          <c:tx>
            <c:strRef>
              <c:f>'Exercice 3'!$E$131:$E$132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3'!$E$134:$E$141</c:f>
              <c:numCache>
                <c:formatCode>0</c:formatCode>
                <c:ptCount val="8"/>
                <c:pt idx="0">
                  <c:v>6.3243160139491836</c:v>
                </c:pt>
                <c:pt idx="1">
                  <c:v>54.37162794768799</c:v>
                </c:pt>
                <c:pt idx="2">
                  <c:v>88.776072957090136</c:v>
                </c:pt>
                <c:pt idx="3">
                  <c:v>103.15813969304095</c:v>
                </c:pt>
                <c:pt idx="4">
                  <c:v>84.370482819791334</c:v>
                </c:pt>
                <c:pt idx="5">
                  <c:v>32.075814637611572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C-491E-9A46-BCA174E79B2E}"/>
            </c:ext>
          </c:extLst>
        </c:ser>
        <c:ser>
          <c:idx val="3"/>
          <c:order val="3"/>
          <c:tx>
            <c:strRef>
              <c:f>'Exercice 3'!$F$131:$F$132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3'!$F$134:$F$141</c:f>
              <c:numCache>
                <c:formatCode>0</c:formatCode>
                <c:ptCount val="8"/>
                <c:pt idx="0">
                  <c:v>1.8215458075163862</c:v>
                </c:pt>
                <c:pt idx="1">
                  <c:v>2.7718404473747738</c:v>
                </c:pt>
                <c:pt idx="2">
                  <c:v>0.29087778503364797</c:v>
                </c:pt>
                <c:pt idx="3">
                  <c:v>1706.021757453444</c:v>
                </c:pt>
                <c:pt idx="4">
                  <c:v>140.35235013507955</c:v>
                </c:pt>
                <c:pt idx="5">
                  <c:v>33.576398251481621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5C-491E-9A46-BCA174E79B2E}"/>
            </c:ext>
          </c:extLst>
        </c:ser>
        <c:ser>
          <c:idx val="4"/>
          <c:order val="4"/>
          <c:tx>
            <c:strRef>
              <c:f>'Exercice 3'!$G$131:$G$132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3'!$G$134:$G$141</c:f>
              <c:numCache>
                <c:formatCode>0</c:formatCode>
                <c:ptCount val="8"/>
                <c:pt idx="0">
                  <c:v>12.825914396303601</c:v>
                </c:pt>
                <c:pt idx="1">
                  <c:v>83.091146446098222</c:v>
                </c:pt>
                <c:pt idx="2">
                  <c:v>7.7866204967649733</c:v>
                </c:pt>
                <c:pt idx="3">
                  <c:v>4324.4928978642556</c:v>
                </c:pt>
                <c:pt idx="4">
                  <c:v>16847.290956636742</c:v>
                </c:pt>
                <c:pt idx="5">
                  <c:v>1388.0831468134147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5C-491E-9A46-BCA174E79B2E}"/>
            </c:ext>
          </c:extLst>
        </c:ser>
        <c:ser>
          <c:idx val="5"/>
          <c:order val="5"/>
          <c:tx>
            <c:strRef>
              <c:f>'Exercice 3'!$H$131:$H$132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3'!$H$134:$H$141</c:f>
              <c:numCache>
                <c:formatCode>0</c:formatCode>
                <c:ptCount val="8"/>
                <c:pt idx="0">
                  <c:v>19.524654868239779</c:v>
                </c:pt>
                <c:pt idx="1">
                  <c:v>213.3233590880632</c:v>
                </c:pt>
                <c:pt idx="2">
                  <c:v>13.535980097242035</c:v>
                </c:pt>
                <c:pt idx="3">
                  <c:v>1350.9824797681536</c:v>
                </c:pt>
                <c:pt idx="4">
                  <c:v>4102.7022632953949</c:v>
                </c:pt>
                <c:pt idx="5">
                  <c:v>7688.5381545405908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5C-491E-9A46-BCA174E79B2E}"/>
            </c:ext>
          </c:extLst>
        </c:ser>
        <c:ser>
          <c:idx val="6"/>
          <c:order val="6"/>
          <c:tx>
            <c:strRef>
              <c:f>'Exercice 3'!$I$131:$I$132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3'!$I$134:$I$141</c:f>
              <c:numCache>
                <c:formatCode>General</c:formatCode>
                <c:ptCount val="8"/>
                <c:pt idx="6">
                  <c:v>226.14599999999999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5C-491E-9A46-BCA174E79B2E}"/>
            </c:ext>
          </c:extLst>
        </c:ser>
        <c:ser>
          <c:idx val="7"/>
          <c:order val="7"/>
          <c:tx>
            <c:strRef>
              <c:f>'Exercice 3'!$J$131:$J$132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3'!$A$134:$B$141</c:f>
              <c:multiLvlStrCache>
                <c:ptCount val="8"/>
                <c:lvl>
                  <c:pt idx="0">
                    <c:v>Agriculture</c:v>
                  </c:pt>
                  <c:pt idx="1">
                    <c:v>Manufacturing &amp; construction</c:v>
                  </c:pt>
                  <c:pt idx="2">
                    <c:v>Services</c:v>
                  </c:pt>
                  <c:pt idx="3">
                    <c:v>Agriculture</c:v>
                  </c:pt>
                  <c:pt idx="4">
                    <c:v>Manufacturing &amp; construction</c:v>
                  </c:pt>
                  <c:pt idx="5">
                    <c:v>Services</c:v>
                  </c:pt>
                  <c:pt idx="6">
                    <c:v>Direct</c:v>
                  </c:pt>
                  <c:pt idx="7">
                    <c:v>Direct</c:v>
                  </c:pt>
                </c:lvl>
                <c:lvl>
                  <c:pt idx="0">
                    <c:v>DE</c:v>
                  </c:pt>
                  <c:pt idx="3">
                    <c:v>non-DE</c:v>
                  </c:pt>
                  <c:pt idx="6">
                    <c:v>DE</c:v>
                  </c:pt>
                  <c:pt idx="7">
                    <c:v>non-DE</c:v>
                  </c:pt>
                </c:lvl>
              </c:multiLvlStrCache>
            </c:multiLvlStrRef>
          </c:cat>
          <c:val>
            <c:numRef>
              <c:f>'Exercice 3'!$J$134:$J$141</c:f>
              <c:numCache>
                <c:formatCode>General</c:formatCode>
                <c:ptCount val="8"/>
                <c:pt idx="7">
                  <c:v>4523.6000000000004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5C-491E-9A46-BCA174E79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78281375"/>
        <c:axId val="755513247"/>
      </c:barChart>
      <c:catAx>
        <c:axId val="147828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513247"/>
        <c:crosses val="autoZero"/>
        <c:auto val="1"/>
        <c:lblAlgn val="ctr"/>
        <c:lblOffset val="100"/>
        <c:noMultiLvlLbl val="0"/>
      </c:catAx>
      <c:valAx>
        <c:axId val="75551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7828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83333333333337"/>
          <c:y val="0.14869722680013833"/>
          <c:w val="0.34027777777777779"/>
          <c:h val="0.824129890740401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139944</xdr:colOff>
      <xdr:row>6</xdr:row>
      <xdr:rowOff>131153</xdr:rowOff>
    </xdr:from>
    <xdr:to>
      <xdr:col>2</xdr:col>
      <xdr:colOff>454269</xdr:colOff>
      <xdr:row>8</xdr:row>
      <xdr:rowOff>131153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A735FD7-A441-4511-BA0E-6063FCD58988}"/>
            </a:ext>
          </a:extLst>
        </xdr:cNvPr>
        <xdr:cNvSpPr/>
      </xdr:nvSpPr>
      <xdr:spPr>
        <a:xfrm>
          <a:off x="2492619" y="988403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3</xdr:col>
      <xdr:colOff>28575</xdr:colOff>
      <xdr:row>12</xdr:row>
      <xdr:rowOff>47626</xdr:rowOff>
    </xdr:from>
    <xdr:to>
      <xdr:col>3</xdr:col>
      <xdr:colOff>342900</xdr:colOff>
      <xdr:row>14</xdr:row>
      <xdr:rowOff>47626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8D00B63-9A31-48DB-80AF-1C43AC7F4A88}"/>
            </a:ext>
          </a:extLst>
        </xdr:cNvPr>
        <xdr:cNvSpPr/>
      </xdr:nvSpPr>
      <xdr:spPr>
        <a:xfrm>
          <a:off x="3028950" y="1762126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3</xdr:col>
      <xdr:colOff>600808</xdr:colOff>
      <xdr:row>7</xdr:row>
      <xdr:rowOff>99647</xdr:rowOff>
    </xdr:from>
    <xdr:to>
      <xdr:col>4</xdr:col>
      <xdr:colOff>305533</xdr:colOff>
      <xdr:row>9</xdr:row>
      <xdr:rowOff>99647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13766B-4FDB-473A-B93D-8243F4B79C93}"/>
            </a:ext>
          </a:extLst>
        </xdr:cNvPr>
        <xdr:cNvSpPr/>
      </xdr:nvSpPr>
      <xdr:spPr>
        <a:xfrm>
          <a:off x="3601183" y="1099772"/>
          <a:ext cx="3524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2</xdr:col>
      <xdr:colOff>297106</xdr:colOff>
      <xdr:row>8</xdr:row>
      <xdr:rowOff>131153</xdr:rowOff>
    </xdr:from>
    <xdr:to>
      <xdr:col>3</xdr:col>
      <xdr:colOff>28574</xdr:colOff>
      <xdr:row>13</xdr:row>
      <xdr:rowOff>47626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0A5E5FB3-4670-405C-B9A1-407DF5D7C44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523941" y="1399993"/>
          <a:ext cx="630848" cy="37916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99647</xdr:rowOff>
    </xdr:from>
    <xdr:to>
      <xdr:col>4</xdr:col>
      <xdr:colOff>149103</xdr:colOff>
      <xdr:row>13</xdr:row>
      <xdr:rowOff>47626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EA8E268B-C7F7-45AB-ABD4-7C6BCE8DBBC1}"/>
            </a:ext>
          </a:extLst>
        </xdr:cNvPr>
        <xdr:cNvCxnSpPr>
          <a:stCxn id="3" idx="3"/>
          <a:endCxn id="4" idx="2"/>
        </xdr:cNvCxnSpPr>
      </xdr:nvCxnSpPr>
      <xdr:spPr>
        <a:xfrm flipV="1">
          <a:off x="3343275" y="1385522"/>
          <a:ext cx="453903" cy="519479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9</xdr:row>
      <xdr:rowOff>102577</xdr:rowOff>
    </xdr:from>
    <xdr:to>
      <xdr:col>3</xdr:col>
      <xdr:colOff>600808</xdr:colOff>
      <xdr:row>12</xdr:row>
      <xdr:rowOff>47626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A8E5095E-C521-4866-BA21-5BEFCD134E2D}"/>
            </a:ext>
          </a:extLst>
        </xdr:cNvPr>
        <xdr:cNvCxnSpPr>
          <a:endCxn id="3" idx="0"/>
        </xdr:cNvCxnSpPr>
      </xdr:nvCxnSpPr>
      <xdr:spPr>
        <a:xfrm rot="10800000" flipV="1">
          <a:off x="3186113" y="1388452"/>
          <a:ext cx="415070" cy="37367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454270</xdr:colOff>
      <xdr:row>7</xdr:row>
      <xdr:rowOff>131153</xdr:rowOff>
    </xdr:from>
    <xdr:to>
      <xdr:col>3</xdr:col>
      <xdr:colOff>65943</xdr:colOff>
      <xdr:row>12</xdr:row>
      <xdr:rowOff>29308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A4338BE2-E3A5-43F3-9FB2-D63744C3B132}"/>
            </a:ext>
          </a:extLst>
        </xdr:cNvPr>
        <xdr:cNvCxnSpPr>
          <a:endCxn id="2" idx="3"/>
        </xdr:cNvCxnSpPr>
      </xdr:nvCxnSpPr>
      <xdr:spPr>
        <a:xfrm rot="16200000" flipV="1">
          <a:off x="2630367" y="1307856"/>
          <a:ext cx="612530" cy="25937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297108</xdr:colOff>
      <xdr:row>6</xdr:row>
      <xdr:rowOff>131153</xdr:rowOff>
    </xdr:from>
    <xdr:to>
      <xdr:col>4</xdr:col>
      <xdr:colOff>149104</xdr:colOff>
      <xdr:row>7</xdr:row>
      <xdr:rowOff>99647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27472856-3A7E-4ED9-8D17-9DB74EE73486}"/>
            </a:ext>
          </a:extLst>
        </xdr:cNvPr>
        <xdr:cNvCxnSpPr>
          <a:stCxn id="4" idx="0"/>
          <a:endCxn id="2" idx="0"/>
        </xdr:cNvCxnSpPr>
      </xdr:nvCxnSpPr>
      <xdr:spPr>
        <a:xfrm rot="16200000" flipV="1">
          <a:off x="3167796" y="470390"/>
          <a:ext cx="111369" cy="1147396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7</xdr:row>
      <xdr:rowOff>29307</xdr:rowOff>
    </xdr:from>
    <xdr:to>
      <xdr:col>3</xdr:col>
      <xdr:colOff>600808</xdr:colOff>
      <xdr:row>8</xdr:row>
      <xdr:rowOff>99648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AF222505-A389-4BBA-9741-8F169A01B121}"/>
            </a:ext>
          </a:extLst>
        </xdr:cNvPr>
        <xdr:cNvCxnSpPr>
          <a:endCxn id="4" idx="1"/>
        </xdr:cNvCxnSpPr>
      </xdr:nvCxnSpPr>
      <xdr:spPr>
        <a:xfrm>
          <a:off x="2858233" y="1029432"/>
          <a:ext cx="742950" cy="21321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359020</xdr:colOff>
      <xdr:row>5</xdr:row>
      <xdr:rowOff>139211</xdr:rowOff>
    </xdr:from>
    <xdr:to>
      <xdr:col>2</xdr:col>
      <xdr:colOff>161193</xdr:colOff>
      <xdr:row>9</xdr:row>
      <xdr:rowOff>14653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69BD7D-0075-4ACC-ADD4-11422699F20C}"/>
            </a:ext>
          </a:extLst>
        </xdr:cNvPr>
        <xdr:cNvSpPr/>
      </xdr:nvSpPr>
      <xdr:spPr>
        <a:xfrm rot="8610196">
          <a:off x="2092570" y="853586"/>
          <a:ext cx="421298" cy="446942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560512</xdr:colOff>
      <xdr:row>14</xdr:row>
      <xdr:rowOff>40298</xdr:rowOff>
    </xdr:from>
    <xdr:to>
      <xdr:col>3</xdr:col>
      <xdr:colOff>413973</xdr:colOff>
      <xdr:row>17</xdr:row>
      <xdr:rowOff>10990</xdr:rowOff>
    </xdr:to>
    <xdr:sp macro="" textlink="">
      <xdr:nvSpPr>
        <xdr:cNvPr id="12" name="Arc 11">
          <a:extLst>
            <a:ext uri="{FF2B5EF4-FFF2-40B4-BE49-F238E27FC236}">
              <a16:creationId xmlns:a16="http://schemas.microsoft.com/office/drawing/2014/main" id="{81A9A76C-F407-4156-8A50-AC6697E5F557}"/>
            </a:ext>
          </a:extLst>
        </xdr:cNvPr>
        <xdr:cNvSpPr/>
      </xdr:nvSpPr>
      <xdr:spPr>
        <a:xfrm rot="3180970">
          <a:off x="2964109" y="1989626"/>
          <a:ext cx="399317" cy="501161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260107</xdr:colOff>
      <xdr:row>7</xdr:row>
      <xdr:rowOff>3664</xdr:rowOff>
    </xdr:from>
    <xdr:to>
      <xdr:col>5</xdr:col>
      <xdr:colOff>113569</xdr:colOff>
      <xdr:row>9</xdr:row>
      <xdr:rowOff>120894</xdr:rowOff>
    </xdr:to>
    <xdr:sp macro="" textlink="">
      <xdr:nvSpPr>
        <xdr:cNvPr id="13" name="Arc 12">
          <a:extLst>
            <a:ext uri="{FF2B5EF4-FFF2-40B4-BE49-F238E27FC236}">
              <a16:creationId xmlns:a16="http://schemas.microsoft.com/office/drawing/2014/main" id="{E3A26F43-30B6-4CD6-B50E-3CFD152F57D6}"/>
            </a:ext>
          </a:extLst>
        </xdr:cNvPr>
        <xdr:cNvSpPr/>
      </xdr:nvSpPr>
      <xdr:spPr>
        <a:xfrm rot="18742454">
          <a:off x="3938223" y="973748"/>
          <a:ext cx="402980" cy="463062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7</xdr:col>
      <xdr:colOff>197827</xdr:colOff>
      <xdr:row>102</xdr:row>
      <xdr:rowOff>102576</xdr:rowOff>
    </xdr:from>
    <xdr:to>
      <xdr:col>12</xdr:col>
      <xdr:colOff>346132</xdr:colOff>
      <xdr:row>108</xdr:row>
      <xdr:rowOff>45691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D780DBF-B47D-4268-AB61-7ADACF96F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1039" y="15379211"/>
          <a:ext cx="3512010" cy="822345"/>
        </a:xfrm>
        <a:prstGeom prst="rect">
          <a:avLst/>
        </a:prstGeom>
      </xdr:spPr>
    </xdr:pic>
    <xdr:clientData/>
  </xdr:twoCellAnchor>
  <xdr:twoCellAnchor>
    <xdr:from>
      <xdr:col>16</xdr:col>
      <xdr:colOff>139944</xdr:colOff>
      <xdr:row>97</xdr:row>
      <xdr:rowOff>131153</xdr:rowOff>
    </xdr:from>
    <xdr:to>
      <xdr:col>16</xdr:col>
      <xdr:colOff>454269</xdr:colOff>
      <xdr:row>99</xdr:row>
      <xdr:rowOff>131153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54F4A38-4B11-46DC-8D1D-A1CEFA567344}"/>
            </a:ext>
          </a:extLst>
        </xdr:cNvPr>
        <xdr:cNvSpPr/>
      </xdr:nvSpPr>
      <xdr:spPr>
        <a:xfrm>
          <a:off x="2499213" y="1010384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17</xdr:col>
      <xdr:colOff>28575</xdr:colOff>
      <xdr:row>103</xdr:row>
      <xdr:rowOff>47626</xdr:rowOff>
    </xdr:from>
    <xdr:to>
      <xdr:col>17</xdr:col>
      <xdr:colOff>342900</xdr:colOff>
      <xdr:row>105</xdr:row>
      <xdr:rowOff>47626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113373-B6E7-48C0-8A06-EAC8A83B531D}"/>
            </a:ext>
          </a:extLst>
        </xdr:cNvPr>
        <xdr:cNvSpPr/>
      </xdr:nvSpPr>
      <xdr:spPr>
        <a:xfrm>
          <a:off x="3032613" y="1806088"/>
          <a:ext cx="314325" cy="293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17</xdr:col>
      <xdr:colOff>600808</xdr:colOff>
      <xdr:row>98</xdr:row>
      <xdr:rowOff>99647</xdr:rowOff>
    </xdr:from>
    <xdr:to>
      <xdr:col>18</xdr:col>
      <xdr:colOff>305533</xdr:colOff>
      <xdr:row>100</xdr:row>
      <xdr:rowOff>99647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E2A5E3A-F267-4547-A6BD-73BF53BC5789}"/>
            </a:ext>
          </a:extLst>
        </xdr:cNvPr>
        <xdr:cNvSpPr/>
      </xdr:nvSpPr>
      <xdr:spPr>
        <a:xfrm>
          <a:off x="3604846" y="1125416"/>
          <a:ext cx="34949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16</xdr:col>
      <xdr:colOff>297106</xdr:colOff>
      <xdr:row>99</xdr:row>
      <xdr:rowOff>131153</xdr:rowOff>
    </xdr:from>
    <xdr:to>
      <xdr:col>17</xdr:col>
      <xdr:colOff>28574</xdr:colOff>
      <xdr:row>104</xdr:row>
      <xdr:rowOff>47626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43823AF9-6FDD-42E6-AED6-45E9E0D97D48}"/>
            </a:ext>
          </a:extLst>
        </xdr:cNvPr>
        <xdr:cNvCxnSpPr>
          <a:stCxn id="15" idx="2"/>
          <a:endCxn id="16" idx="1"/>
        </xdr:cNvCxnSpPr>
      </xdr:nvCxnSpPr>
      <xdr:spPr>
        <a:xfrm rot="16200000" flipH="1">
          <a:off x="2519911" y="1439925"/>
          <a:ext cx="649165" cy="3762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100</xdr:row>
      <xdr:rowOff>99647</xdr:rowOff>
    </xdr:from>
    <xdr:to>
      <xdr:col>18</xdr:col>
      <xdr:colOff>149103</xdr:colOff>
      <xdr:row>104</xdr:row>
      <xdr:rowOff>47626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DF2F27BE-B65E-4107-AA9B-1A77B33EFDF0}"/>
            </a:ext>
          </a:extLst>
        </xdr:cNvPr>
        <xdr:cNvCxnSpPr>
          <a:stCxn id="16" idx="3"/>
          <a:endCxn id="17" idx="2"/>
        </xdr:cNvCxnSpPr>
      </xdr:nvCxnSpPr>
      <xdr:spPr>
        <a:xfrm flipV="1">
          <a:off x="3346938" y="1418493"/>
          <a:ext cx="450973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100</xdr:row>
      <xdr:rowOff>102577</xdr:rowOff>
    </xdr:from>
    <xdr:to>
      <xdr:col>17</xdr:col>
      <xdr:colOff>600808</xdr:colOff>
      <xdr:row>103</xdr:row>
      <xdr:rowOff>47626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5E4774F7-E749-410C-9DCB-2396D6D1B500}"/>
            </a:ext>
          </a:extLst>
        </xdr:cNvPr>
        <xdr:cNvCxnSpPr>
          <a:endCxn id="16" idx="0"/>
        </xdr:cNvCxnSpPr>
      </xdr:nvCxnSpPr>
      <xdr:spPr>
        <a:xfrm rot="10800000" flipV="1">
          <a:off x="3189776" y="1421423"/>
          <a:ext cx="415070" cy="38466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454270</xdr:colOff>
      <xdr:row>98</xdr:row>
      <xdr:rowOff>131153</xdr:rowOff>
    </xdr:from>
    <xdr:to>
      <xdr:col>17</xdr:col>
      <xdr:colOff>65943</xdr:colOff>
      <xdr:row>103</xdr:row>
      <xdr:rowOff>29308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D2E75CFA-615C-40AE-97EC-9A1E1EB38683}"/>
            </a:ext>
          </a:extLst>
        </xdr:cNvPr>
        <xdr:cNvCxnSpPr>
          <a:endCxn id="15" idx="3"/>
        </xdr:cNvCxnSpPr>
      </xdr:nvCxnSpPr>
      <xdr:spPr>
        <a:xfrm rot="16200000" flipV="1">
          <a:off x="2626336" y="1344125"/>
          <a:ext cx="630848" cy="25644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297108</xdr:colOff>
      <xdr:row>97</xdr:row>
      <xdr:rowOff>131153</xdr:rowOff>
    </xdr:from>
    <xdr:to>
      <xdr:col>18</xdr:col>
      <xdr:colOff>149104</xdr:colOff>
      <xdr:row>98</xdr:row>
      <xdr:rowOff>99647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A822236C-FD9A-450C-AD95-1000483563D7}"/>
            </a:ext>
          </a:extLst>
        </xdr:cNvPr>
        <xdr:cNvCxnSpPr>
          <a:stCxn id="17" idx="0"/>
          <a:endCxn id="15" idx="0"/>
        </xdr:cNvCxnSpPr>
      </xdr:nvCxnSpPr>
      <xdr:spPr>
        <a:xfrm rot="16200000" flipV="1">
          <a:off x="3169629" y="497132"/>
          <a:ext cx="115032" cy="1141535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98</xdr:row>
      <xdr:rowOff>29307</xdr:rowOff>
    </xdr:from>
    <xdr:to>
      <xdr:col>17</xdr:col>
      <xdr:colOff>600808</xdr:colOff>
      <xdr:row>99</xdr:row>
      <xdr:rowOff>99648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1A805375-29EB-4D9B-A4B9-51C79533C16A}"/>
            </a:ext>
          </a:extLst>
        </xdr:cNvPr>
        <xdr:cNvCxnSpPr>
          <a:endCxn id="17" idx="1"/>
        </xdr:cNvCxnSpPr>
      </xdr:nvCxnSpPr>
      <xdr:spPr>
        <a:xfrm>
          <a:off x="2864827" y="1055076"/>
          <a:ext cx="740019" cy="216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359020</xdr:colOff>
      <xdr:row>96</xdr:row>
      <xdr:rowOff>139211</xdr:rowOff>
    </xdr:from>
    <xdr:to>
      <xdr:col>16</xdr:col>
      <xdr:colOff>161193</xdr:colOff>
      <xdr:row>100</xdr:row>
      <xdr:rowOff>14653</xdr:rowOff>
    </xdr:to>
    <xdr:sp macro="" textlink="">
      <xdr:nvSpPr>
        <xdr:cNvPr id="24" name="Arc 23">
          <a:extLst>
            <a:ext uri="{FF2B5EF4-FFF2-40B4-BE49-F238E27FC236}">
              <a16:creationId xmlns:a16="http://schemas.microsoft.com/office/drawing/2014/main" id="{2DBD9EA3-A678-4206-9AAE-47D3834A784F}"/>
            </a:ext>
          </a:extLst>
        </xdr:cNvPr>
        <xdr:cNvSpPr/>
      </xdr:nvSpPr>
      <xdr:spPr>
        <a:xfrm rot="8610196">
          <a:off x="2095501" y="871903"/>
          <a:ext cx="424961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560512</xdr:colOff>
      <xdr:row>105</xdr:row>
      <xdr:rowOff>40298</xdr:rowOff>
    </xdr:from>
    <xdr:to>
      <xdr:col>17</xdr:col>
      <xdr:colOff>413973</xdr:colOff>
      <xdr:row>108</xdr:row>
      <xdr:rowOff>10990</xdr:rowOff>
    </xdr:to>
    <xdr:sp macro="" textlink="">
      <xdr:nvSpPr>
        <xdr:cNvPr id="25" name="Arc 24">
          <a:extLst>
            <a:ext uri="{FF2B5EF4-FFF2-40B4-BE49-F238E27FC236}">
              <a16:creationId xmlns:a16="http://schemas.microsoft.com/office/drawing/2014/main" id="{60F21A78-E257-4A8F-B04E-F3838DA26E0A}"/>
            </a:ext>
          </a:extLst>
        </xdr:cNvPr>
        <xdr:cNvSpPr/>
      </xdr:nvSpPr>
      <xdr:spPr>
        <a:xfrm rot="3180970">
          <a:off x="2963742" y="2047875"/>
          <a:ext cx="410308" cy="498230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18</xdr:col>
      <xdr:colOff>260107</xdr:colOff>
      <xdr:row>98</xdr:row>
      <xdr:rowOff>3664</xdr:rowOff>
    </xdr:from>
    <xdr:to>
      <xdr:col>19</xdr:col>
      <xdr:colOff>113569</xdr:colOff>
      <xdr:row>100</xdr:row>
      <xdr:rowOff>120894</xdr:rowOff>
    </xdr:to>
    <xdr:sp macro="" textlink="">
      <xdr:nvSpPr>
        <xdr:cNvPr id="26" name="Arc 25">
          <a:extLst>
            <a:ext uri="{FF2B5EF4-FFF2-40B4-BE49-F238E27FC236}">
              <a16:creationId xmlns:a16="http://schemas.microsoft.com/office/drawing/2014/main" id="{3EAC675E-299D-4A61-A1EA-DEFE797F34AB}"/>
            </a:ext>
          </a:extLst>
        </xdr:cNvPr>
        <xdr:cNvSpPr/>
      </xdr:nvSpPr>
      <xdr:spPr>
        <a:xfrm rot="18742454">
          <a:off x="3934559" y="1003789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8</xdr:col>
      <xdr:colOff>0</xdr:colOff>
      <xdr:row>128</xdr:row>
      <xdr:rowOff>140803</xdr:rowOff>
    </xdr:from>
    <xdr:to>
      <xdr:col>16</xdr:col>
      <xdr:colOff>281609</xdr:colOff>
      <xdr:row>152</xdr:row>
      <xdr:rowOff>140804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6AE0729-AB01-1123-AA5D-BCB0C4803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8919</xdr:rowOff>
    </xdr:from>
    <xdr:to>
      <xdr:col>26</xdr:col>
      <xdr:colOff>39041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6F3FC-8183-4132-8B96-9F3ECD8A7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9425" y="1275744"/>
          <a:ext cx="6744641" cy="4344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</xdr:colOff>
      <xdr:row>142</xdr:row>
      <xdr:rowOff>180974</xdr:rowOff>
    </xdr:from>
    <xdr:to>
      <xdr:col>25</xdr:col>
      <xdr:colOff>1</xdr:colOff>
      <xdr:row>162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8BD4C7-9A70-4C82-93B9-96086C338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143</xdr:row>
      <xdr:rowOff>1</xdr:rowOff>
    </xdr:from>
    <xdr:to>
      <xdr:col>16</xdr:col>
      <xdr:colOff>0</xdr:colOff>
      <xdr:row>163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F4F9D0-CF6E-4453-907B-728BAD61C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126</xdr:row>
      <xdr:rowOff>0</xdr:rowOff>
    </xdr:from>
    <xdr:to>
      <xdr:col>25</xdr:col>
      <xdr:colOff>0</xdr:colOff>
      <xdr:row>142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B1DEA-CECF-EF96-157E-14A4C3F9D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Nextcloud\io-footprinting\luxstrat\excel\Exercice_1_&#233;nonc&#233;.xlsx" TargetMode="External"/><Relationship Id="rId1" Type="http://schemas.openxmlformats.org/officeDocument/2006/relationships/externalLinkPath" Target="Exercice_1_&#233;nonc&#2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rcice 1"/>
      <sheetName val="Exercice 2"/>
      <sheetName val="Exercice 3"/>
      <sheetName val="bridge 3-to-7"/>
    </sheetNames>
    <sheetDataSet>
      <sheetData sheetId="0"/>
      <sheetData sheetId="1">
        <row r="6">
          <cell r="M6">
            <v>1</v>
          </cell>
        </row>
        <row r="7">
          <cell r="M7">
            <v>34</v>
          </cell>
        </row>
        <row r="8">
          <cell r="M8">
            <v>298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7983-A6E6-46B6-942A-CD7FEAB0454F}">
  <dimension ref="A1:AD134"/>
  <sheetViews>
    <sheetView topLeftCell="A18" zoomScale="98" zoomScaleNormal="115" workbookViewId="0">
      <selection activeCell="E25" sqref="E25:I27"/>
    </sheetView>
  </sheetViews>
  <sheetFormatPr defaultRowHeight="11.25" x14ac:dyDescent="0.2"/>
  <cols>
    <col min="1" max="1" width="26" style="3" bestFit="1" customWidth="1"/>
    <col min="2" max="2" width="9.28515625" style="3" bestFit="1" customWidth="1"/>
    <col min="3" max="4" width="9.7109375" style="3" bestFit="1" customWidth="1"/>
    <col min="5" max="5" width="10" style="3" bestFit="1" customWidth="1"/>
    <col min="6" max="8" width="9.140625" style="3"/>
    <col min="9" max="9" width="10.5703125" style="3" bestFit="1" customWidth="1"/>
    <col min="10" max="11" width="10.85546875" style="3" bestFit="1" customWidth="1"/>
    <col min="12" max="16384" width="9.140625" style="3"/>
  </cols>
  <sheetData>
    <row r="1" spans="1:9" x14ac:dyDescent="0.2">
      <c r="A1" s="1" t="s">
        <v>27</v>
      </c>
    </row>
    <row r="2" spans="1:9" x14ac:dyDescent="0.2">
      <c r="A2" s="28" t="s">
        <v>28</v>
      </c>
    </row>
    <row r="3" spans="1:9" x14ac:dyDescent="0.2">
      <c r="A3" s="28"/>
    </row>
    <row r="4" spans="1:9" x14ac:dyDescent="0.2">
      <c r="A4" s="1" t="s">
        <v>26</v>
      </c>
    </row>
    <row r="5" spans="1:9" x14ac:dyDescent="0.2">
      <c r="A5" s="3" t="s">
        <v>29</v>
      </c>
      <c r="D5" s="27">
        <v>8</v>
      </c>
      <c r="H5" s="3" t="s">
        <v>30</v>
      </c>
    </row>
    <row r="6" spans="1:9" x14ac:dyDescent="0.2">
      <c r="H6" s="29" t="s">
        <v>31</v>
      </c>
      <c r="I6" s="3" t="s">
        <v>4</v>
      </c>
    </row>
    <row r="7" spans="1:9" x14ac:dyDescent="0.2">
      <c r="H7" s="29" t="s">
        <v>32</v>
      </c>
      <c r="I7" s="3" t="s">
        <v>21</v>
      </c>
    </row>
    <row r="8" spans="1:9" x14ac:dyDescent="0.2">
      <c r="B8" s="2">
        <v>3</v>
      </c>
      <c r="D8" s="27">
        <v>21</v>
      </c>
      <c r="H8" s="29" t="s">
        <v>33</v>
      </c>
      <c r="I8" s="3" t="s">
        <v>22</v>
      </c>
    </row>
    <row r="9" spans="1:9" x14ac:dyDescent="0.2">
      <c r="F9" s="27">
        <v>471</v>
      </c>
    </row>
    <row r="10" spans="1:9" x14ac:dyDescent="0.2">
      <c r="C10" s="3">
        <v>10</v>
      </c>
      <c r="D10" s="27">
        <v>143</v>
      </c>
    </row>
    <row r="12" spans="1:9" x14ac:dyDescent="0.2">
      <c r="C12" s="27">
        <v>1</v>
      </c>
      <c r="E12" s="27">
        <v>337</v>
      </c>
    </row>
    <row r="18" spans="1:10" x14ac:dyDescent="0.2">
      <c r="D18" s="20">
        <v>772</v>
      </c>
    </row>
    <row r="19" spans="1:10" x14ac:dyDescent="0.2">
      <c r="D19" s="20"/>
    </row>
    <row r="20" spans="1:10" x14ac:dyDescent="0.2">
      <c r="A20" s="30" t="s">
        <v>34</v>
      </c>
      <c r="B20" s="31"/>
      <c r="C20" s="31"/>
      <c r="D20" s="32"/>
    </row>
    <row r="21" spans="1:10" x14ac:dyDescent="0.2">
      <c r="D21" s="20"/>
    </row>
    <row r="22" spans="1:10" ht="11.25" customHeight="1" x14ac:dyDescent="0.2">
      <c r="A22" s="1" t="s">
        <v>23</v>
      </c>
      <c r="B22" s="198" t="s">
        <v>0</v>
      </c>
      <c r="C22" s="198"/>
      <c r="D22" s="198"/>
      <c r="E22" s="198" t="s">
        <v>1</v>
      </c>
      <c r="F22" s="198"/>
      <c r="G22" s="198"/>
      <c r="H22" s="198"/>
      <c r="I22" s="198"/>
    </row>
    <row r="23" spans="1:10" ht="15" customHeight="1" x14ac:dyDescent="0.2">
      <c r="A23" s="18" t="s">
        <v>3</v>
      </c>
      <c r="B23" s="189" t="s">
        <v>4</v>
      </c>
      <c r="C23" s="191" t="s">
        <v>21</v>
      </c>
      <c r="D23" s="189" t="s">
        <v>22</v>
      </c>
      <c r="E23" s="189" t="s">
        <v>5</v>
      </c>
      <c r="F23" s="189"/>
      <c r="G23" s="189" t="s">
        <v>6</v>
      </c>
      <c r="H23" s="189" t="s">
        <v>7</v>
      </c>
      <c r="I23" s="189" t="s">
        <v>8</v>
      </c>
      <c r="J23" s="189" t="s">
        <v>2</v>
      </c>
    </row>
    <row r="24" spans="1:10" ht="24.75" customHeight="1" thickBot="1" x14ac:dyDescent="0.25">
      <c r="B24" s="190"/>
      <c r="C24" s="192"/>
      <c r="D24" s="190"/>
      <c r="E24" s="19" t="s">
        <v>9</v>
      </c>
      <c r="F24" s="19" t="s">
        <v>10</v>
      </c>
      <c r="G24" s="189"/>
      <c r="H24" s="189"/>
      <c r="I24" s="189"/>
      <c r="J24" s="193"/>
    </row>
    <row r="25" spans="1:10" x14ac:dyDescent="0.2">
      <c r="A25" s="3" t="s">
        <v>4</v>
      </c>
      <c r="B25" s="33">
        <v>3</v>
      </c>
      <c r="C25" s="34">
        <v>21</v>
      </c>
      <c r="D25" s="34">
        <v>1</v>
      </c>
      <c r="E25" s="6">
        <v>9</v>
      </c>
      <c r="F25" s="6">
        <v>0</v>
      </c>
      <c r="G25" s="6">
        <v>0</v>
      </c>
      <c r="H25" s="6">
        <v>3</v>
      </c>
      <c r="I25" s="6">
        <v>5</v>
      </c>
      <c r="J25" s="35">
        <f>SUM(B25:I25)</f>
        <v>42</v>
      </c>
    </row>
    <row r="26" spans="1:10" x14ac:dyDescent="0.2">
      <c r="A26" s="3" t="s">
        <v>21</v>
      </c>
      <c r="B26" s="36">
        <v>8</v>
      </c>
      <c r="C26" s="37">
        <v>471</v>
      </c>
      <c r="D26" s="37">
        <v>143</v>
      </c>
      <c r="E26" s="3">
        <v>255</v>
      </c>
      <c r="F26" s="3">
        <v>7</v>
      </c>
      <c r="G26" s="3">
        <v>247</v>
      </c>
      <c r="H26" s="3">
        <v>-58</v>
      </c>
      <c r="I26" s="3">
        <v>612</v>
      </c>
      <c r="J26" s="38">
        <f t="shared" ref="J26:J27" si="0">SUM(B26:I26)</f>
        <v>1685</v>
      </c>
    </row>
    <row r="27" spans="1:10" ht="12" thickBot="1" x14ac:dyDescent="0.25">
      <c r="A27" s="3" t="s">
        <v>22</v>
      </c>
      <c r="B27" s="36">
        <v>10</v>
      </c>
      <c r="C27" s="37">
        <v>337</v>
      </c>
      <c r="D27" s="37">
        <v>772</v>
      </c>
      <c r="E27" s="3">
        <v>777</v>
      </c>
      <c r="F27" s="3">
        <v>490</v>
      </c>
      <c r="G27" s="3">
        <v>66</v>
      </c>
      <c r="H27" s="3">
        <v>6</v>
      </c>
      <c r="I27" s="3">
        <v>179</v>
      </c>
      <c r="J27" s="39">
        <f t="shared" si="0"/>
        <v>2637</v>
      </c>
    </row>
    <row r="28" spans="1:10" x14ac:dyDescent="0.2">
      <c r="A28" s="10" t="s">
        <v>11</v>
      </c>
      <c r="B28" s="40">
        <f t="shared" ref="B28:I28" si="1">SUM(B25:B27)</f>
        <v>21</v>
      </c>
      <c r="C28" s="41">
        <f t="shared" si="1"/>
        <v>829</v>
      </c>
      <c r="D28" s="41">
        <f t="shared" si="1"/>
        <v>916</v>
      </c>
      <c r="E28" s="42">
        <f t="shared" si="1"/>
        <v>1041</v>
      </c>
      <c r="F28" s="42">
        <f t="shared" si="1"/>
        <v>497</v>
      </c>
      <c r="G28" s="42">
        <f t="shared" si="1"/>
        <v>313</v>
      </c>
      <c r="H28" s="42">
        <f t="shared" si="1"/>
        <v>-49</v>
      </c>
      <c r="I28" s="43">
        <f t="shared" si="1"/>
        <v>796</v>
      </c>
      <c r="J28" s="44">
        <f>SUM(B28:I28)</f>
        <v>4364</v>
      </c>
    </row>
    <row r="29" spans="1:10" x14ac:dyDescent="0.2">
      <c r="A29" s="14" t="s">
        <v>12</v>
      </c>
      <c r="B29" s="45">
        <v>5</v>
      </c>
      <c r="C29" s="46">
        <v>300</v>
      </c>
      <c r="D29" s="46">
        <v>110</v>
      </c>
      <c r="E29" s="46">
        <v>128</v>
      </c>
      <c r="F29" s="46">
        <v>9</v>
      </c>
      <c r="G29" s="46">
        <v>61</v>
      </c>
      <c r="H29" s="46">
        <v>31</v>
      </c>
      <c r="I29" s="47">
        <v>189</v>
      </c>
      <c r="J29" s="48">
        <f>SUM(B29:I29)</f>
        <v>833</v>
      </c>
    </row>
    <row r="30" spans="1:10" x14ac:dyDescent="0.2">
      <c r="A30" s="3" t="s">
        <v>13</v>
      </c>
      <c r="B30" s="45">
        <v>2</v>
      </c>
      <c r="C30" s="46">
        <v>12</v>
      </c>
      <c r="D30" s="46">
        <v>53</v>
      </c>
      <c r="E30" s="49">
        <v>151</v>
      </c>
      <c r="F30" s="49">
        <v>6</v>
      </c>
      <c r="G30" s="49">
        <v>34</v>
      </c>
      <c r="H30" s="49"/>
      <c r="I30" s="50"/>
      <c r="J30" s="51">
        <f>SUM(B30:I30)</f>
        <v>258</v>
      </c>
    </row>
    <row r="31" spans="1:10" x14ac:dyDescent="0.2">
      <c r="A31" s="10" t="s">
        <v>14</v>
      </c>
      <c r="B31" s="40">
        <f>SUM(B28:B30)</f>
        <v>28</v>
      </c>
      <c r="C31" s="41">
        <f>SUM(C28:C30)</f>
        <v>1141</v>
      </c>
      <c r="D31" s="41">
        <f t="shared" ref="D31:I31" si="2">SUM(D28:D30)</f>
        <v>1079</v>
      </c>
      <c r="E31" s="42">
        <f t="shared" si="2"/>
        <v>1320</v>
      </c>
      <c r="F31" s="42">
        <f t="shared" si="2"/>
        <v>512</v>
      </c>
      <c r="G31" s="42">
        <f t="shared" si="2"/>
        <v>408</v>
      </c>
      <c r="H31" s="42">
        <f t="shared" si="2"/>
        <v>-18</v>
      </c>
      <c r="I31" s="43">
        <f t="shared" si="2"/>
        <v>985</v>
      </c>
      <c r="J31" s="41">
        <f>SUM(J28:J30)</f>
        <v>5455</v>
      </c>
    </row>
    <row r="32" spans="1:10" x14ac:dyDescent="0.2">
      <c r="A32" s="3" t="s">
        <v>15</v>
      </c>
      <c r="B32" s="52">
        <v>5</v>
      </c>
      <c r="C32" s="53">
        <v>377</v>
      </c>
      <c r="D32" s="53">
        <v>848</v>
      </c>
      <c r="E32" s="49"/>
      <c r="F32" s="49"/>
      <c r="G32" s="49"/>
      <c r="H32" s="49"/>
      <c r="I32" s="50"/>
      <c r="J32" s="41">
        <f>SUM(B32:I32)</f>
        <v>1230</v>
      </c>
    </row>
    <row r="33" spans="1:10" x14ac:dyDescent="0.2">
      <c r="A33" s="3" t="s">
        <v>16</v>
      </c>
      <c r="B33" s="52">
        <v>-6</v>
      </c>
      <c r="C33" s="53">
        <v>-2</v>
      </c>
      <c r="D33" s="53">
        <v>-3</v>
      </c>
      <c r="E33" s="49"/>
      <c r="F33" s="49"/>
      <c r="G33" s="49"/>
      <c r="H33" s="49"/>
      <c r="I33" s="50"/>
      <c r="J33" s="42">
        <f>SUM(B33:I33)</f>
        <v>-11</v>
      </c>
    </row>
    <row r="34" spans="1:10" x14ac:dyDescent="0.2">
      <c r="A34" s="3" t="s">
        <v>17</v>
      </c>
      <c r="B34" s="52">
        <v>8</v>
      </c>
      <c r="C34" s="53">
        <v>84</v>
      </c>
      <c r="D34" s="53">
        <v>283</v>
      </c>
      <c r="E34" s="49"/>
      <c r="F34" s="49"/>
      <c r="G34" s="49"/>
      <c r="H34" s="49"/>
      <c r="I34" s="50"/>
      <c r="J34" s="42">
        <f>SUM(B34:I34)</f>
        <v>375</v>
      </c>
    </row>
    <row r="35" spans="1:10" x14ac:dyDescent="0.2">
      <c r="A35" s="3" t="s">
        <v>18</v>
      </c>
      <c r="B35" s="52">
        <v>7</v>
      </c>
      <c r="C35" s="53">
        <v>85</v>
      </c>
      <c r="D35" s="53">
        <v>430</v>
      </c>
      <c r="E35" s="49"/>
      <c r="F35" s="49"/>
      <c r="G35" s="49"/>
      <c r="H35" s="49"/>
      <c r="I35" s="50"/>
      <c r="J35" s="42">
        <f>SUM(B35:I35)</f>
        <v>522</v>
      </c>
    </row>
    <row r="36" spans="1:10" ht="12" thickBot="1" x14ac:dyDescent="0.25">
      <c r="A36" s="10" t="s">
        <v>19</v>
      </c>
      <c r="B36" s="54">
        <f>SUM(B32:B35)</f>
        <v>14</v>
      </c>
      <c r="C36" s="55">
        <f t="shared" ref="C36:D36" si="3">SUM(C32:C35)</f>
        <v>544</v>
      </c>
      <c r="D36" s="55">
        <f t="shared" si="3"/>
        <v>1558</v>
      </c>
      <c r="E36" s="56"/>
      <c r="F36" s="56"/>
      <c r="G36" s="56"/>
      <c r="H36" s="56"/>
      <c r="I36" s="57"/>
      <c r="J36" s="41">
        <f>SUM(B36:I36)</f>
        <v>2116</v>
      </c>
    </row>
    <row r="37" spans="1:10" ht="12" thickBot="1" x14ac:dyDescent="0.25">
      <c r="A37" s="3" t="s">
        <v>20</v>
      </c>
      <c r="B37" s="58">
        <f>B31+B36</f>
        <v>42</v>
      </c>
      <c r="C37" s="59">
        <f>C31+C36</f>
        <v>1685</v>
      </c>
      <c r="D37" s="60">
        <f t="shared" ref="D37" si="4">D31+D36</f>
        <v>2637</v>
      </c>
      <c r="E37" s="51">
        <f t="shared" ref="E37:I37" si="5">SUM(E31+E36)</f>
        <v>1320</v>
      </c>
      <c r="F37" s="51">
        <f t="shared" si="5"/>
        <v>512</v>
      </c>
      <c r="G37" s="51">
        <f t="shared" si="5"/>
        <v>408</v>
      </c>
      <c r="H37" s="51">
        <f t="shared" si="5"/>
        <v>-18</v>
      </c>
      <c r="I37" s="51">
        <f t="shared" si="5"/>
        <v>985</v>
      </c>
    </row>
    <row r="38" spans="1:10" x14ac:dyDescent="0.2">
      <c r="B38" s="1"/>
    </row>
    <row r="39" spans="1:10" x14ac:dyDescent="0.2">
      <c r="A39" s="30" t="s">
        <v>35</v>
      </c>
      <c r="B39" s="31"/>
      <c r="C39" s="31"/>
      <c r="D39" s="20"/>
    </row>
    <row r="40" spans="1:10" x14ac:dyDescent="0.2">
      <c r="B40" s="1"/>
    </row>
    <row r="41" spans="1:10" x14ac:dyDescent="0.2">
      <c r="A41" s="1" t="s">
        <v>36</v>
      </c>
      <c r="B41" s="1"/>
    </row>
    <row r="42" spans="1:10" x14ac:dyDescent="0.2">
      <c r="A42" s="3" t="s">
        <v>37</v>
      </c>
      <c r="B42" s="1"/>
    </row>
    <row r="43" spans="1:10" x14ac:dyDescent="0.2">
      <c r="A43" s="3" t="s">
        <v>38</v>
      </c>
      <c r="B43" s="1"/>
    </row>
    <row r="45" spans="1:10" x14ac:dyDescent="0.2">
      <c r="A45" s="1" t="s">
        <v>23</v>
      </c>
    </row>
    <row r="46" spans="1:10" x14ac:dyDescent="0.2">
      <c r="A46" s="1" t="s">
        <v>25</v>
      </c>
    </row>
    <row r="47" spans="1:10" ht="15" customHeight="1" x14ac:dyDescent="0.2">
      <c r="A47" s="18" t="s">
        <v>24</v>
      </c>
      <c r="B47" s="194" t="s">
        <v>4</v>
      </c>
      <c r="C47" s="196" t="s">
        <v>21</v>
      </c>
      <c r="D47" s="194" t="s">
        <v>22</v>
      </c>
    </row>
    <row r="48" spans="1:10" x14ac:dyDescent="0.2">
      <c r="B48" s="195"/>
      <c r="C48" s="197"/>
      <c r="D48" s="195"/>
    </row>
    <row r="49" spans="1:7" x14ac:dyDescent="0.2">
      <c r="A49" s="3" t="s">
        <v>4</v>
      </c>
      <c r="B49" s="80">
        <f t="array" ref="B49:D51">B25:D27/B37:D37</f>
        <v>7.1428571428571425E-2</v>
      </c>
      <c r="C49" s="81">
        <v>1.2462908011869436E-2</v>
      </c>
      <c r="D49" s="82">
        <v>3.7921880925293893E-4</v>
      </c>
    </row>
    <row r="50" spans="1:7" x14ac:dyDescent="0.2">
      <c r="A50" s="3" t="s">
        <v>21</v>
      </c>
      <c r="B50" s="83">
        <v>0.19047619047619047</v>
      </c>
      <c r="C50" s="84">
        <v>0.2795252225519288</v>
      </c>
      <c r="D50" s="85">
        <v>5.4228289723170273E-2</v>
      </c>
    </row>
    <row r="51" spans="1:7" x14ac:dyDescent="0.2">
      <c r="A51" s="3" t="s">
        <v>22</v>
      </c>
      <c r="B51" s="86">
        <v>0.23809523809523808</v>
      </c>
      <c r="C51" s="87">
        <v>0.2</v>
      </c>
      <c r="D51" s="88">
        <v>0.29275692074326887</v>
      </c>
    </row>
    <row r="52" spans="1:7" x14ac:dyDescent="0.2">
      <c r="A52" s="14" t="s">
        <v>12</v>
      </c>
      <c r="B52" s="90">
        <f t="array" ref="B52:D53">B29:D30/TRANSPOSE(J25:J27)</f>
        <v>0.11904761904761904</v>
      </c>
      <c r="C52" s="90">
        <v>0.17804154302670624</v>
      </c>
      <c r="D52" s="90">
        <v>4.1714069017823284E-2</v>
      </c>
    </row>
    <row r="53" spans="1:7" x14ac:dyDescent="0.2">
      <c r="A53" s="3" t="s">
        <v>13</v>
      </c>
      <c r="B53" s="90">
        <v>4.7619047619047616E-2</v>
      </c>
      <c r="C53" s="90">
        <v>7.121661721068249E-3</v>
      </c>
      <c r="D53" s="90">
        <v>2.0098596890405763E-2</v>
      </c>
    </row>
    <row r="54" spans="1:7" x14ac:dyDescent="0.2">
      <c r="A54" s="3" t="s">
        <v>15</v>
      </c>
      <c r="B54" s="90">
        <f t="array" ref="B54:D57">B32:D35/TRANSPOSE(J25:J27)</f>
        <v>0.11904761904761904</v>
      </c>
      <c r="C54" s="90">
        <v>0.22373887240356083</v>
      </c>
      <c r="D54" s="90">
        <v>0.32157755024649221</v>
      </c>
    </row>
    <row r="55" spans="1:7" x14ac:dyDescent="0.2">
      <c r="A55" s="3" t="s">
        <v>16</v>
      </c>
      <c r="B55" s="90">
        <v>-0.14285714285714285</v>
      </c>
      <c r="C55" s="90">
        <v>-1.1869436201780415E-3</v>
      </c>
      <c r="D55" s="90">
        <v>-1.1376564277588168E-3</v>
      </c>
    </row>
    <row r="56" spans="1:7" x14ac:dyDescent="0.2">
      <c r="A56" s="3" t="s">
        <v>17</v>
      </c>
      <c r="B56" s="90">
        <v>0.19047619047619047</v>
      </c>
      <c r="C56" s="90">
        <v>4.9851632047477744E-2</v>
      </c>
      <c r="D56" s="90">
        <v>0.10731892301858172</v>
      </c>
    </row>
    <row r="57" spans="1:7" x14ac:dyDescent="0.2">
      <c r="A57" s="3" t="s">
        <v>18</v>
      </c>
      <c r="B57" s="90">
        <v>0.16666666666666666</v>
      </c>
      <c r="C57" s="90">
        <v>5.0445103857566766E-2</v>
      </c>
      <c r="D57" s="90">
        <v>0.16306408797876373</v>
      </c>
    </row>
    <row r="58" spans="1:7" x14ac:dyDescent="0.2">
      <c r="B58" s="89">
        <f>SUM(B49:B57)</f>
        <v>0.99999999999999989</v>
      </c>
      <c r="C58" s="89">
        <f t="shared" ref="C58:D58" si="6">SUM(C49:C57)</f>
        <v>1</v>
      </c>
      <c r="D58" s="89">
        <f t="shared" si="6"/>
        <v>0.99999999999999978</v>
      </c>
    </row>
    <row r="59" spans="1:7" x14ac:dyDescent="0.2">
      <c r="C59" s="61"/>
      <c r="D59" s="61"/>
      <c r="E59" s="61"/>
      <c r="F59" s="61"/>
      <c r="G59" s="61"/>
    </row>
    <row r="60" spans="1:7" x14ac:dyDescent="0.2">
      <c r="A60" s="30" t="s">
        <v>39</v>
      </c>
      <c r="B60" s="31"/>
      <c r="C60" s="31"/>
    </row>
    <row r="63" spans="1:7" x14ac:dyDescent="0.2">
      <c r="A63" s="1" t="s">
        <v>40</v>
      </c>
    </row>
    <row r="64" spans="1:7" x14ac:dyDescent="0.2">
      <c r="A64" s="3" t="s">
        <v>41</v>
      </c>
    </row>
    <row r="65" spans="1:9" x14ac:dyDescent="0.2">
      <c r="A65" s="3" t="s">
        <v>42</v>
      </c>
    </row>
    <row r="66" spans="1:9" x14ac:dyDescent="0.2">
      <c r="A66" s="3" t="s">
        <v>43</v>
      </c>
    </row>
    <row r="69" spans="1:9" ht="14.25" customHeight="1" x14ac:dyDescent="0.2">
      <c r="A69" s="18" t="s">
        <v>44</v>
      </c>
      <c r="B69" s="189" t="s">
        <v>4</v>
      </c>
      <c r="C69" s="191" t="s">
        <v>21</v>
      </c>
      <c r="D69" s="189" t="s">
        <v>22</v>
      </c>
    </row>
    <row r="70" spans="1:9" x14ac:dyDescent="0.2">
      <c r="B70" s="190"/>
      <c r="C70" s="192"/>
      <c r="D70" s="190"/>
      <c r="G70" s="3" t="s">
        <v>45</v>
      </c>
    </row>
    <row r="71" spans="1:9" x14ac:dyDescent="0.2">
      <c r="A71" s="3" t="s">
        <v>4</v>
      </c>
      <c r="B71" s="80" cm="1">
        <f t="array" ref="B71:D73">G71:I73-B49:D51</f>
        <v>0.9285714285714286</v>
      </c>
      <c r="C71" s="81">
        <v>-1.2462908011869436E-2</v>
      </c>
      <c r="D71" s="82">
        <v>-3.7921880925293893E-4</v>
      </c>
      <c r="G71" s="65">
        <v>1</v>
      </c>
      <c r="H71" s="6">
        <v>0</v>
      </c>
      <c r="I71" s="66">
        <v>0</v>
      </c>
    </row>
    <row r="72" spans="1:9" x14ac:dyDescent="0.2">
      <c r="A72" s="3" t="s">
        <v>21</v>
      </c>
      <c r="B72" s="83">
        <v>-0.19047619047619047</v>
      </c>
      <c r="C72" s="84">
        <v>0.7204747774480712</v>
      </c>
      <c r="D72" s="85">
        <v>-5.4228289723170273E-2</v>
      </c>
      <c r="G72" s="70">
        <v>0</v>
      </c>
      <c r="H72" s="3">
        <v>1</v>
      </c>
      <c r="I72" s="9">
        <v>0</v>
      </c>
    </row>
    <row r="73" spans="1:9" x14ac:dyDescent="0.2">
      <c r="A73" s="3" t="s">
        <v>22</v>
      </c>
      <c r="B73" s="86">
        <v>-0.23809523809523808</v>
      </c>
      <c r="C73" s="87">
        <v>-0.2</v>
      </c>
      <c r="D73" s="88">
        <v>0.70724307925673113</v>
      </c>
      <c r="G73" s="74">
        <v>0</v>
      </c>
      <c r="H73" s="75">
        <v>0</v>
      </c>
      <c r="I73" s="76">
        <v>1</v>
      </c>
    </row>
    <row r="77" spans="1:9" x14ac:dyDescent="0.2">
      <c r="A77" s="1" t="s">
        <v>46</v>
      </c>
    </row>
    <row r="78" spans="1:9" x14ac:dyDescent="0.2">
      <c r="A78" s="3" t="s">
        <v>47</v>
      </c>
    </row>
    <row r="79" spans="1:9" x14ac:dyDescent="0.2">
      <c r="A79" s="3" t="s">
        <v>48</v>
      </c>
    </row>
    <row r="80" spans="1:9" x14ac:dyDescent="0.2">
      <c r="A80" s="3" t="s">
        <v>43</v>
      </c>
    </row>
    <row r="82" spans="1:18" ht="12" customHeight="1" x14ac:dyDescent="0.2">
      <c r="I82" s="3" t="s">
        <v>49</v>
      </c>
    </row>
    <row r="83" spans="1:18" ht="12" x14ac:dyDescent="0.2">
      <c r="A83" s="18" t="s">
        <v>50</v>
      </c>
      <c r="B83" s="189" t="s">
        <v>4</v>
      </c>
      <c r="C83" s="191" t="s">
        <v>21</v>
      </c>
      <c r="D83" s="189" t="s">
        <v>22</v>
      </c>
    </row>
    <row r="84" spans="1:18" x14ac:dyDescent="0.2">
      <c r="B84" s="190"/>
      <c r="C84" s="192"/>
      <c r="D84" s="190"/>
    </row>
    <row r="85" spans="1:18" x14ac:dyDescent="0.2">
      <c r="A85" s="3" t="s">
        <v>4</v>
      </c>
      <c r="B85" s="80">
        <f t="array" ref="B85:D87">MINVERSE(B71:D73)</f>
        <v>1.0814051460531866</v>
      </c>
      <c r="C85" s="81">
        <v>1.9277629768684218E-2</v>
      </c>
      <c r="D85" s="203">
        <v>2.0579657924799091E-3</v>
      </c>
    </row>
    <row r="86" spans="1:18" x14ac:dyDescent="0.2">
      <c r="A86" s="3" t="s">
        <v>21</v>
      </c>
      <c r="B86" s="83">
        <v>0.32011271323200519</v>
      </c>
      <c r="C86" s="84">
        <v>1.4238652642078031</v>
      </c>
      <c r="D86" s="85">
        <v>0.10934737023857795</v>
      </c>
    </row>
    <row r="87" spans="1:18" x14ac:dyDescent="0.2">
      <c r="A87" s="3" t="s">
        <v>22</v>
      </c>
      <c r="B87" s="86">
        <v>0.4545819786758844</v>
      </c>
      <c r="C87" s="87">
        <v>0.4091421650889111</v>
      </c>
      <c r="D87" s="88">
        <v>1.4455559847648205</v>
      </c>
    </row>
    <row r="90" spans="1:18" x14ac:dyDescent="0.2">
      <c r="A90" s="30" t="s">
        <v>51</v>
      </c>
      <c r="B90" s="31"/>
    </row>
    <row r="91" spans="1:18" x14ac:dyDescent="0.2">
      <c r="A91" s="3" t="s">
        <v>52</v>
      </c>
    </row>
    <row r="93" spans="1:18" x14ac:dyDescent="0.2">
      <c r="I93" s="189" t="s">
        <v>4</v>
      </c>
      <c r="J93" s="191" t="s">
        <v>21</v>
      </c>
      <c r="K93" s="189" t="s">
        <v>22</v>
      </c>
    </row>
    <row r="94" spans="1:18" x14ac:dyDescent="0.2">
      <c r="A94" s="18" t="s">
        <v>53</v>
      </c>
      <c r="B94" s="3" t="s">
        <v>1</v>
      </c>
      <c r="D94" s="18" t="s">
        <v>54</v>
      </c>
      <c r="E94" s="3" t="s">
        <v>55</v>
      </c>
      <c r="G94" s="3" t="s">
        <v>56</v>
      </c>
      <c r="I94" s="190"/>
      <c r="J94" s="192"/>
      <c r="K94" s="190"/>
    </row>
    <row r="95" spans="1:18" x14ac:dyDescent="0.2">
      <c r="A95" s="3" t="s">
        <v>4</v>
      </c>
      <c r="B95" s="78">
        <f t="shared" ref="B95:B97" si="7">SUM(E25:I25)</f>
        <v>17</v>
      </c>
      <c r="E95" s="205">
        <f t="array" ref="E95:E97">MMULT(B85:D87,B95:B97)</f>
        <v>41.999999999999993</v>
      </c>
      <c r="G95" s="77">
        <f t="array" ref="G95:G97">J25:J27</f>
        <v>42</v>
      </c>
      <c r="I95" s="4">
        <f t="array" ref="I95:K97">B85:D87*TRANSPOSE(B95:B97)</f>
        <v>18.383887482904171</v>
      </c>
      <c r="J95" s="5">
        <v>20.492120444111325</v>
      </c>
      <c r="K95" s="98">
        <v>3.1239920729845019</v>
      </c>
      <c r="O95" s="1" t="s">
        <v>26</v>
      </c>
    </row>
    <row r="96" spans="1:18" x14ac:dyDescent="0.2">
      <c r="A96" s="3" t="s">
        <v>21</v>
      </c>
      <c r="B96" s="78">
        <f t="shared" si="7"/>
        <v>1063</v>
      </c>
      <c r="E96" s="206">
        <v>1685.0000000000002</v>
      </c>
      <c r="G96" s="78">
        <v>1685</v>
      </c>
      <c r="I96" s="7">
        <v>5.4419161249440879</v>
      </c>
      <c r="J96" s="204">
        <v>1513.5687758528948</v>
      </c>
      <c r="K96" s="99">
        <v>165.98930802216134</v>
      </c>
      <c r="O96" s="3" t="s">
        <v>29</v>
      </c>
      <c r="R96" s="27">
        <v>8</v>
      </c>
    </row>
    <row r="97" spans="1:27" x14ac:dyDescent="0.2">
      <c r="A97" s="3" t="s">
        <v>22</v>
      </c>
      <c r="B97" s="79">
        <f t="shared" si="7"/>
        <v>1518</v>
      </c>
      <c r="E97" s="207">
        <v>2637</v>
      </c>
      <c r="G97" s="79">
        <v>2637</v>
      </c>
      <c r="I97" s="100">
        <v>7.7278936374900349</v>
      </c>
      <c r="J97" s="101">
        <v>434.91812148951249</v>
      </c>
      <c r="K97" s="102">
        <v>2194.3539848729974</v>
      </c>
    </row>
    <row r="98" spans="1:27" x14ac:dyDescent="0.2">
      <c r="K98" s="8"/>
    </row>
    <row r="99" spans="1:27" x14ac:dyDescent="0.2">
      <c r="A99" s="3" t="s">
        <v>57</v>
      </c>
      <c r="P99" s="2">
        <v>3</v>
      </c>
      <c r="R99" s="27">
        <v>21</v>
      </c>
    </row>
    <row r="100" spans="1:27" x14ac:dyDescent="0.2">
      <c r="A100" s="3" t="s">
        <v>58</v>
      </c>
      <c r="T100" s="27">
        <v>471</v>
      </c>
    </row>
    <row r="101" spans="1:27" x14ac:dyDescent="0.2">
      <c r="Q101" s="3">
        <v>10</v>
      </c>
      <c r="R101" s="27">
        <v>143</v>
      </c>
    </row>
    <row r="103" spans="1:27" x14ac:dyDescent="0.2">
      <c r="Q103" s="27">
        <v>1</v>
      </c>
      <c r="S103" s="27">
        <v>337</v>
      </c>
    </row>
    <row r="104" spans="1:27" x14ac:dyDescent="0.2">
      <c r="A104" s="30" t="s">
        <v>59</v>
      </c>
      <c r="B104" s="31"/>
      <c r="C104" s="31"/>
      <c r="D104" s="31"/>
      <c r="E104" s="31"/>
    </row>
    <row r="109" spans="1:27" x14ac:dyDescent="0.2">
      <c r="R109" s="20">
        <v>772</v>
      </c>
    </row>
    <row r="111" spans="1:27" x14ac:dyDescent="0.2">
      <c r="A111" s="3" t="s">
        <v>70</v>
      </c>
    </row>
    <row r="112" spans="1:27" ht="12" x14ac:dyDescent="0.2">
      <c r="B112" s="3" t="s">
        <v>60</v>
      </c>
      <c r="G112" s="3" t="s">
        <v>24</v>
      </c>
      <c r="L112" s="3" t="s">
        <v>61</v>
      </c>
      <c r="Q112" s="3" t="s">
        <v>65</v>
      </c>
      <c r="V112" s="3" t="s">
        <v>66</v>
      </c>
      <c r="AA112" s="3" t="s">
        <v>67</v>
      </c>
    </row>
    <row r="113" spans="1:30" x14ac:dyDescent="0.2">
      <c r="B113" s="96" t="s">
        <v>31</v>
      </c>
      <c r="C113" s="62">
        <f t="array" ref="C113:E115">G71:I73</f>
        <v>1</v>
      </c>
      <c r="D113" s="63">
        <v>0</v>
      </c>
      <c r="E113" s="64">
        <v>0</v>
      </c>
      <c r="G113" s="96" t="s">
        <v>31</v>
      </c>
      <c r="H113" s="80">
        <f t="array" ref="H113:J115">B49:D51</f>
        <v>7.1428571428571425E-2</v>
      </c>
      <c r="I113" s="81">
        <v>1.2462908011869436E-2</v>
      </c>
      <c r="J113" s="82">
        <v>3.7921880925293893E-4</v>
      </c>
      <c r="L113" s="96" t="s">
        <v>31</v>
      </c>
      <c r="M113" s="80">
        <f t="array" ref="M113:O115">MMULT($H$113:$J$115,H113:J115)</f>
        <v>7.566218249361884E-3</v>
      </c>
      <c r="N113" s="81">
        <v>4.4497486126461394E-3</v>
      </c>
      <c r="O113" s="82">
        <v>8.1394817514947662E-4</v>
      </c>
      <c r="Q113" s="96" t="s">
        <v>31</v>
      </c>
      <c r="R113" s="80">
        <f t="array" ref="R113:T115">MMULT($H$113:$J$115,M113:O115)</f>
        <v>1.5818125095416555E-3</v>
      </c>
      <c r="S113" s="81">
        <v>1.5009036883194687E-3</v>
      </c>
      <c r="T113" s="82">
        <v>4.8246047063828435E-4</v>
      </c>
      <c r="V113" s="96" t="s">
        <v>31</v>
      </c>
      <c r="W113" s="80">
        <f t="array" ref="W113:Y115">MMULT($H$113:$J$115,R113:T115)</f>
        <v>5.1374456527532287E-4</v>
      </c>
      <c r="X113" s="81">
        <v>5.3574651543260928E-4</v>
      </c>
      <c r="Y113" s="82">
        <v>2.2323493487750516E-4</v>
      </c>
      <c r="AA113" s="96" t="s">
        <v>31</v>
      </c>
      <c r="AB113" s="80">
        <f t="array" ref="AB113:AD115">MMULT($H$113:$J$115,W113:Y115)</f>
        <v>1.9189417066814031E-4</v>
      </c>
      <c r="AC113" s="81">
        <v>2.008044021918457E-4</v>
      </c>
      <c r="AD113" s="82">
        <v>9.4601010996424892E-5</v>
      </c>
    </row>
    <row r="114" spans="1:30" x14ac:dyDescent="0.2">
      <c r="B114" s="96" t="s">
        <v>32</v>
      </c>
      <c r="C114" s="67">
        <v>0</v>
      </c>
      <c r="D114" s="68">
        <v>1</v>
      </c>
      <c r="E114" s="69">
        <v>0</v>
      </c>
      <c r="G114" s="96" t="s">
        <v>32</v>
      </c>
      <c r="H114" s="83">
        <v>0.19047619047619047</v>
      </c>
      <c r="I114" s="84">
        <v>0.2795252225519288</v>
      </c>
      <c r="J114" s="85">
        <v>5.4228289723170273E-2</v>
      </c>
      <c r="L114" s="96" t="s">
        <v>32</v>
      </c>
      <c r="M114" s="83">
        <v>7.975983926370725E-2</v>
      </c>
      <c r="N114" s="84">
        <v>9.1353895227695478E-2</v>
      </c>
      <c r="O114" s="85">
        <v>3.110611402415224E-2</v>
      </c>
      <c r="Q114" s="96" t="s">
        <v>32</v>
      </c>
      <c r="R114" s="83">
        <v>3.0504090948909709E-2</v>
      </c>
      <c r="S114" s="84">
        <v>3.2750980239122693E-2</v>
      </c>
      <c r="T114" s="85">
        <v>1.4090742087019222E-2</v>
      </c>
      <c r="V114" s="96" t="s">
        <v>32</v>
      </c>
      <c r="W114" s="83">
        <v>1.1772084181664352E-2</v>
      </c>
      <c r="X114" s="84">
        <v>1.2353043137020398E-2</v>
      </c>
      <c r="Y114" s="85">
        <v>5.9127596345552877E-3</v>
      </c>
      <c r="AA114" s="96" t="s">
        <v>32</v>
      </c>
      <c r="AB114" s="83">
        <v>4.6016236663502163E-3</v>
      </c>
      <c r="AC114" s="84">
        <v>4.7822534612443277E-3</v>
      </c>
      <c r="AD114" s="85">
        <v>2.4053499016504598E-3</v>
      </c>
    </row>
    <row r="115" spans="1:30" x14ac:dyDescent="0.2">
      <c r="B115" s="96" t="s">
        <v>33</v>
      </c>
      <c r="C115" s="71">
        <v>0</v>
      </c>
      <c r="D115" s="72">
        <v>0</v>
      </c>
      <c r="E115" s="73">
        <v>1</v>
      </c>
      <c r="G115" s="96" t="s">
        <v>33</v>
      </c>
      <c r="H115" s="86">
        <v>0.23809523809523808</v>
      </c>
      <c r="I115" s="87">
        <v>0.2</v>
      </c>
      <c r="J115" s="88">
        <v>0.29275692074326887</v>
      </c>
      <c r="L115" s="96" t="s">
        <v>33</v>
      </c>
      <c r="M115" s="86">
        <v>0.12480606956472387</v>
      </c>
      <c r="N115" s="87">
        <v>0.11742378770948464</v>
      </c>
      <c r="O115" s="88">
        <v>9.6642562780393931E-2</v>
      </c>
      <c r="Q115" s="96" t="s">
        <v>33</v>
      </c>
      <c r="R115" s="86">
        <v>5.4291289004142568E-2</v>
      </c>
      <c r="S115" s="87">
        <v>5.3706869512771059E-2</v>
      </c>
      <c r="T115" s="88">
        <v>3.470779908171602E-2</v>
      </c>
      <c r="V115" s="96" t="s">
        <v>33</v>
      </c>
      <c r="W115" s="86">
        <v>2.237159080789896E-2</v>
      </c>
      <c r="X115" s="87">
        <v>2.2630611810172382E-2</v>
      </c>
      <c r="Y115" s="88">
        <v>1.3093968342971243E-2</v>
      </c>
      <c r="AA115" s="96" t="s">
        <v>33</v>
      </c>
      <c r="AB115" s="86">
        <v>9.0261750079711524E-3</v>
      </c>
      <c r="AC115" s="87">
        <v>9.223435549637022E-3</v>
      </c>
      <c r="AD115" s="88">
        <v>5.0690529542799963E-3</v>
      </c>
    </row>
    <row r="117" spans="1:30" x14ac:dyDescent="0.2">
      <c r="A117" s="3" t="s">
        <v>71</v>
      </c>
    </row>
    <row r="118" spans="1:30" ht="12" x14ac:dyDescent="0.2">
      <c r="B118" s="3" t="s">
        <v>60</v>
      </c>
      <c r="G118" s="3" t="s">
        <v>62</v>
      </c>
      <c r="L118" s="3" t="s">
        <v>63</v>
      </c>
      <c r="Q118" s="3" t="s">
        <v>64</v>
      </c>
      <c r="V118" s="3" t="s">
        <v>68</v>
      </c>
      <c r="AA118" s="3" t="s">
        <v>69</v>
      </c>
    </row>
    <row r="119" spans="1:30" x14ac:dyDescent="0.2">
      <c r="B119" s="96" t="s">
        <v>31</v>
      </c>
      <c r="C119" s="62">
        <f t="array" ref="C119:E121">C113:E115</f>
        <v>1</v>
      </c>
      <c r="D119" s="63">
        <v>0</v>
      </c>
      <c r="E119" s="64">
        <v>0</v>
      </c>
      <c r="G119" s="96" t="s">
        <v>31</v>
      </c>
      <c r="H119" s="80">
        <f t="array" ref="H119:J121">C119:E121+H113:J115</f>
        <v>1.0714285714285714</v>
      </c>
      <c r="I119" s="81">
        <v>1.2462908011869436E-2</v>
      </c>
      <c r="J119" s="82">
        <v>3.7921880925293893E-4</v>
      </c>
      <c r="L119" s="96" t="s">
        <v>31</v>
      </c>
      <c r="M119" s="80">
        <f t="array" ref="M119:O121">H119:J121+M113:O115</f>
        <v>1.0789947896779333</v>
      </c>
      <c r="N119" s="81">
        <v>1.6912656624515576E-2</v>
      </c>
      <c r="O119" s="82">
        <v>1.1931669844024155E-3</v>
      </c>
      <c r="Q119" s="96" t="s">
        <v>31</v>
      </c>
      <c r="R119" s="80">
        <f t="array" ref="R119:T121">M119:O121+R113:T115</f>
        <v>1.080576602187475</v>
      </c>
      <c r="S119" s="81">
        <v>1.8413560312835045E-2</v>
      </c>
      <c r="T119" s="82">
        <v>1.6756274550406998E-3</v>
      </c>
      <c r="V119" s="96" t="s">
        <v>31</v>
      </c>
      <c r="W119" s="80">
        <f t="array" ref="W119:Y121">R119:T121+W113:Y115</f>
        <v>1.0810903467527504</v>
      </c>
      <c r="X119" s="81">
        <v>1.8949306828267655E-2</v>
      </c>
      <c r="Y119" s="82">
        <v>1.898862389918205E-3</v>
      </c>
      <c r="AA119" s="96" t="s">
        <v>31</v>
      </c>
      <c r="AB119" s="80">
        <f t="array" ref="AB119:AD121">W119:Y121+AB113:AD115</f>
        <v>1.0812822409234186</v>
      </c>
      <c r="AC119" s="81">
        <v>1.91501112304595E-2</v>
      </c>
      <c r="AD119" s="82">
        <v>1.9934634009146301E-3</v>
      </c>
    </row>
    <row r="120" spans="1:30" x14ac:dyDescent="0.2">
      <c r="B120" s="96" t="s">
        <v>32</v>
      </c>
      <c r="C120" s="67">
        <v>0</v>
      </c>
      <c r="D120" s="68">
        <v>1</v>
      </c>
      <c r="E120" s="69">
        <v>0</v>
      </c>
      <c r="G120" s="96" t="s">
        <v>32</v>
      </c>
      <c r="H120" s="83">
        <v>0.19047619047619047</v>
      </c>
      <c r="I120" s="84">
        <v>1.2795252225519289</v>
      </c>
      <c r="J120" s="85">
        <v>5.4228289723170273E-2</v>
      </c>
      <c r="L120" s="96" t="s">
        <v>32</v>
      </c>
      <c r="M120" s="83">
        <v>0.27023602973989769</v>
      </c>
      <c r="N120" s="84">
        <v>1.3708791177796245</v>
      </c>
      <c r="O120" s="85">
        <v>8.5334403747322513E-2</v>
      </c>
      <c r="Q120" s="96" t="s">
        <v>32</v>
      </c>
      <c r="R120" s="83">
        <v>0.3007401206888074</v>
      </c>
      <c r="S120" s="84">
        <v>1.4036300980187471</v>
      </c>
      <c r="T120" s="85">
        <v>9.9425145834341727E-2</v>
      </c>
      <c r="V120" s="96" t="s">
        <v>32</v>
      </c>
      <c r="W120" s="83">
        <v>0.31251220487047177</v>
      </c>
      <c r="X120" s="84">
        <v>1.4159831411557675</v>
      </c>
      <c r="Y120" s="85">
        <v>0.10533790546889701</v>
      </c>
      <c r="AA120" s="96" t="s">
        <v>32</v>
      </c>
      <c r="AB120" s="83">
        <v>0.31711382853682196</v>
      </c>
      <c r="AC120" s="84">
        <v>1.4207653946170118</v>
      </c>
      <c r="AD120" s="85">
        <v>0.10774325537054748</v>
      </c>
    </row>
    <row r="121" spans="1:30" x14ac:dyDescent="0.2">
      <c r="B121" s="96" t="s">
        <v>33</v>
      </c>
      <c r="C121" s="71">
        <v>0</v>
      </c>
      <c r="D121" s="72">
        <v>0</v>
      </c>
      <c r="E121" s="73">
        <v>1</v>
      </c>
      <c r="G121" s="96" t="s">
        <v>33</v>
      </c>
      <c r="H121" s="86">
        <v>0.23809523809523808</v>
      </c>
      <c r="I121" s="87">
        <v>0.2</v>
      </c>
      <c r="J121" s="88">
        <v>1.292756920743269</v>
      </c>
      <c r="L121" s="96" t="s">
        <v>33</v>
      </c>
      <c r="M121" s="86">
        <v>0.36290130765996198</v>
      </c>
      <c r="N121" s="87">
        <v>0.31742378770948465</v>
      </c>
      <c r="O121" s="88">
        <v>1.3893994835236629</v>
      </c>
      <c r="Q121" s="96" t="s">
        <v>33</v>
      </c>
      <c r="R121" s="86">
        <v>0.41719259666410458</v>
      </c>
      <c r="S121" s="87">
        <v>0.37113065722225569</v>
      </c>
      <c r="T121" s="88">
        <v>1.4241072826053789</v>
      </c>
      <c r="V121" s="96" t="s">
        <v>33</v>
      </c>
      <c r="W121" s="86">
        <v>0.43956418747200354</v>
      </c>
      <c r="X121" s="87">
        <v>0.39376126903242809</v>
      </c>
      <c r="Y121" s="88">
        <v>1.4372012509483501</v>
      </c>
      <c r="AA121" s="96" t="s">
        <v>33</v>
      </c>
      <c r="AB121" s="86">
        <v>0.44859036247997469</v>
      </c>
      <c r="AC121" s="87">
        <v>0.40298470458206509</v>
      </c>
      <c r="AD121" s="88">
        <v>1.4422703039026301</v>
      </c>
    </row>
    <row r="123" spans="1:30" x14ac:dyDescent="0.2">
      <c r="A123" s="3" t="s">
        <v>72</v>
      </c>
    </row>
    <row r="124" spans="1:30" x14ac:dyDescent="0.2">
      <c r="B124" s="3" t="str">
        <f>B118&amp;"*y"</f>
        <v>I*y</v>
      </c>
      <c r="C124" s="3" t="s">
        <v>31</v>
      </c>
      <c r="D124" s="3" t="s">
        <v>32</v>
      </c>
      <c r="E124" s="3" t="s">
        <v>33</v>
      </c>
      <c r="G124" s="3" t="str">
        <f>"("&amp;G118&amp;")*y"</f>
        <v>(I+A)*y</v>
      </c>
      <c r="L124" s="3" t="str">
        <f>"("&amp;L118&amp;")*y"</f>
        <v>(I+A+A2)*y</v>
      </c>
      <c r="Q124" s="3" t="str">
        <f>"("&amp;Q118&amp;")*y"</f>
        <v>(I+A+A2+A3)*y</v>
      </c>
      <c r="V124" s="3" t="str">
        <f>"("&amp;V118&amp;")*y"</f>
        <v>(I+A+A2+A3+A4)*y</v>
      </c>
      <c r="AA124" s="3" t="str">
        <f>"("&amp;AA118&amp;")*y"</f>
        <v>(I+A+A2+A3+A4+A5)*y</v>
      </c>
    </row>
    <row r="125" spans="1:30" x14ac:dyDescent="0.2">
      <c r="B125" s="96" t="s">
        <v>31</v>
      </c>
      <c r="C125" s="62">
        <f t="array" ref="C125:E127">C119:E121*TRANSPOSE($B$95:$B$97)</f>
        <v>17</v>
      </c>
      <c r="D125" s="63">
        <v>0</v>
      </c>
      <c r="E125" s="64">
        <v>0</v>
      </c>
      <c r="H125" s="33">
        <f t="array" ref="H125:J127">H119:J121*TRANSPOSE($B$95:$B$97)</f>
        <v>18.214285714285715</v>
      </c>
      <c r="I125" s="34">
        <v>13.248071216617211</v>
      </c>
      <c r="J125" s="91">
        <v>0.5756541524459613</v>
      </c>
      <c r="M125" s="33">
        <f t="array" ref="M125:O127">M119:O121*TRANSPOSE($B$95:$B$97)</f>
        <v>18.342911424524864</v>
      </c>
      <c r="N125" s="34">
        <v>17.978153991860058</v>
      </c>
      <c r="O125" s="91">
        <v>1.8112274823228669</v>
      </c>
      <c r="R125" s="33">
        <f t="array" ref="R125:T127">R119:T121*TRANSPOSE($B$95:$B$97)</f>
        <v>18.369802237187074</v>
      </c>
      <c r="S125" s="34">
        <v>19.573614612543654</v>
      </c>
      <c r="T125" s="91">
        <v>2.5436024767517824</v>
      </c>
      <c r="W125" s="33">
        <f t="array" ref="W125:Y127">W119:Y121*TRANSPOSE($B$95:$B$97)</f>
        <v>18.378535894796755</v>
      </c>
      <c r="X125" s="34">
        <v>20.143113158448518</v>
      </c>
      <c r="Y125" s="91">
        <v>2.882473107895835</v>
      </c>
      <c r="AB125" s="33">
        <f t="array" ref="AB125:AD127">AB119:AD121*TRANSPOSE($B$95:$B$97)</f>
        <v>18.381798095698116</v>
      </c>
      <c r="AC125" s="34">
        <v>20.356568237978447</v>
      </c>
      <c r="AD125" s="91">
        <v>3.0260774425884085</v>
      </c>
    </row>
    <row r="126" spans="1:30" x14ac:dyDescent="0.2">
      <c r="B126" s="96" t="s">
        <v>32</v>
      </c>
      <c r="C126" s="67">
        <v>0</v>
      </c>
      <c r="D126" s="68">
        <v>1063</v>
      </c>
      <c r="E126" s="69">
        <v>0</v>
      </c>
      <c r="H126" s="36">
        <v>3.2380952380952381</v>
      </c>
      <c r="I126" s="37">
        <v>1360.1353115727004</v>
      </c>
      <c r="J126" s="92">
        <v>82.31854379977247</v>
      </c>
      <c r="M126" s="36">
        <v>4.5940125055782604</v>
      </c>
      <c r="N126" s="37">
        <v>1457.2445021997407</v>
      </c>
      <c r="O126" s="92">
        <v>129.53762488843557</v>
      </c>
      <c r="R126" s="36">
        <v>5.112582051709726</v>
      </c>
      <c r="S126" s="37">
        <v>1492.0587941939282</v>
      </c>
      <c r="T126" s="92">
        <v>150.92737137653074</v>
      </c>
      <c r="W126" s="36">
        <v>5.3127074827980199</v>
      </c>
      <c r="X126" s="37">
        <v>1505.1900790485809</v>
      </c>
      <c r="Y126" s="92">
        <v>159.90294050178568</v>
      </c>
      <c r="AB126" s="36">
        <v>5.3909350851259736</v>
      </c>
      <c r="AC126" s="37">
        <v>1510.2736144778835</v>
      </c>
      <c r="AD126" s="92">
        <v>163.55426165249108</v>
      </c>
    </row>
    <row r="127" spans="1:30" x14ac:dyDescent="0.2">
      <c r="B127" s="96" t="s">
        <v>33</v>
      </c>
      <c r="C127" s="71">
        <v>0</v>
      </c>
      <c r="D127" s="72">
        <v>0</v>
      </c>
      <c r="E127" s="73">
        <v>1518</v>
      </c>
      <c r="H127" s="93">
        <v>4.0476190476190474</v>
      </c>
      <c r="I127" s="94">
        <v>212.60000000000002</v>
      </c>
      <c r="J127" s="95">
        <v>1962.4050056882822</v>
      </c>
      <c r="M127" s="93">
        <v>6.169322230219354</v>
      </c>
      <c r="N127" s="94">
        <v>337.42148633518218</v>
      </c>
      <c r="O127" s="95">
        <v>2109.1084159889201</v>
      </c>
      <c r="R127" s="93">
        <v>7.092274143289778</v>
      </c>
      <c r="S127" s="94">
        <v>394.5118886272578</v>
      </c>
      <c r="T127" s="95">
        <v>2161.7948549949651</v>
      </c>
      <c r="W127" s="93">
        <v>7.4725911870240598</v>
      </c>
      <c r="X127" s="94">
        <v>418.56822898147107</v>
      </c>
      <c r="Y127" s="95">
        <v>2181.6714989395955</v>
      </c>
      <c r="AB127" s="93">
        <v>7.6260361621595694</v>
      </c>
      <c r="AC127" s="94">
        <v>428.37274097073521</v>
      </c>
      <c r="AD127" s="95">
        <v>2189.3663213241925</v>
      </c>
    </row>
    <row r="130" spans="1:7" x14ac:dyDescent="0.2">
      <c r="A130" s="3" t="s">
        <v>77</v>
      </c>
      <c r="B130" s="3" t="str">
        <f>B124</f>
        <v>I*y</v>
      </c>
      <c r="C130" s="3" t="str">
        <f>G124</f>
        <v>(I+A)*y</v>
      </c>
      <c r="D130" s="3" t="str">
        <f>L124</f>
        <v>(I+A+A2)*y</v>
      </c>
      <c r="E130" s="3" t="str">
        <f>Q124</f>
        <v>(I+A+A2+A3)*y</v>
      </c>
      <c r="F130" s="3" t="str">
        <f>V124</f>
        <v>(I+A+A2+A3+A4)*y</v>
      </c>
      <c r="G130" s="3" t="str">
        <f>AA124</f>
        <v>(I+A+A2+A3+A4+A5)*y</v>
      </c>
    </row>
    <row r="131" spans="1:7" x14ac:dyDescent="0.2">
      <c r="A131" s="3" t="s">
        <v>73</v>
      </c>
      <c r="B131" s="4" cm="1">
        <f t="array" ref="B131">INDEX($C$125:$AD$127,1,MATCH(B$130,$B$124:$AD$124,0)+1)</f>
        <v>0</v>
      </c>
      <c r="C131" s="5" cm="1">
        <f t="array" ref="C131">INDEX($C$125:$AD$127,1,MATCH(C$130,$B$124:$AD$124,0)+1)</f>
        <v>13.248071216617211</v>
      </c>
      <c r="D131" s="5" cm="1">
        <f t="array" ref="D131">INDEX($C$125:$AD$127,1,MATCH(D$130,$B$124:$AD$124,0)+1)</f>
        <v>17.978153991860058</v>
      </c>
      <c r="E131" s="5" cm="1">
        <f t="array" ref="E131">INDEX($C$125:$AD$127,1,MATCH(E$130,$B$124:$AD$124,0)+1)</f>
        <v>19.573614612543654</v>
      </c>
      <c r="F131" s="5" cm="1">
        <f t="array" ref="F131">INDEX($C$125:$AD$127,1,MATCH(F$130,$B$124:$AD$124,0)+1)</f>
        <v>20.143113158448518</v>
      </c>
      <c r="G131" s="98" cm="1">
        <f t="array" ref="G131">INDEX($C$125:$AD$127,1,MATCH(G$130,$B$124:$AD$124,0)+1)</f>
        <v>20.356568237978447</v>
      </c>
    </row>
    <row r="132" spans="1:7" x14ac:dyDescent="0.2">
      <c r="A132" s="3" t="s">
        <v>74</v>
      </c>
      <c r="B132" s="7" cm="1">
        <f t="array" ref="B132">INDEX($C$125:$AD$127,2,MATCH(B$130,$B$124:$AD$124,0)+1)</f>
        <v>1063</v>
      </c>
      <c r="C132" s="8" cm="1">
        <f t="array" ref="C132">INDEX($C$125:$AD$127,2,MATCH(C$130,$B$124:$AD$124,0)+1)</f>
        <v>1360.1353115727004</v>
      </c>
      <c r="D132" s="8" cm="1">
        <f t="array" ref="D132">INDEX($C$125:$AD$127,2,MATCH(D$130,$B$124:$AD$124,0)+1)</f>
        <v>1457.2445021997407</v>
      </c>
      <c r="E132" s="8" cm="1">
        <f t="array" ref="E132">INDEX($C$125:$AD$127,2,MATCH(E$130,$B$124:$AD$124,0)+1)</f>
        <v>1492.0587941939282</v>
      </c>
      <c r="F132" s="8" cm="1">
        <f t="array" ref="F132">INDEX($C$125:$AD$127,2,MATCH(F$130,$B$124:$AD$124,0)+1)</f>
        <v>1505.1900790485809</v>
      </c>
      <c r="G132" s="99" cm="1">
        <f t="array" ref="G132">INDEX($C$125:$AD$127,2,MATCH(G$130,$B$124:$AD$124,0)+1)</f>
        <v>1510.2736144778835</v>
      </c>
    </row>
    <row r="133" spans="1:7" x14ac:dyDescent="0.2">
      <c r="A133" s="3" t="s">
        <v>75</v>
      </c>
      <c r="B133" s="7" cm="1">
        <f t="array" ref="B133">INDEX($C$125:$AD$127,3,MATCH(B$130,$B$124:$AD$124,0)+1)</f>
        <v>0</v>
      </c>
      <c r="C133" s="8" cm="1">
        <f t="array" ref="C133">INDEX($C$125:$AD$127,3,MATCH(C$130,$B$124:$AD$124,0)+1)</f>
        <v>212.60000000000002</v>
      </c>
      <c r="D133" s="8" cm="1">
        <f t="array" ref="D133">INDEX($C$125:$AD$127,3,MATCH(D$130,$B$124:$AD$124,0)+1)</f>
        <v>337.42148633518218</v>
      </c>
      <c r="E133" s="8" cm="1">
        <f t="array" ref="E133">INDEX($C$125:$AD$127,3,MATCH(E$130,$B$124:$AD$124,0)+1)</f>
        <v>394.5118886272578</v>
      </c>
      <c r="F133" s="8" cm="1">
        <f t="array" ref="F133">INDEX($C$125:$AD$127,3,MATCH(F$130,$B$124:$AD$124,0)+1)</f>
        <v>418.56822898147107</v>
      </c>
      <c r="G133" s="99" cm="1">
        <f t="array" ref="G133">INDEX($C$125:$AD$127,3,MATCH(G$130,$B$124:$AD$124,0)+1)</f>
        <v>428.37274097073521</v>
      </c>
    </row>
    <row r="134" spans="1:7" x14ac:dyDescent="0.2">
      <c r="A134" s="3" t="s">
        <v>76</v>
      </c>
      <c r="B134" s="100" cm="1">
        <f t="array" ref="B134">INDEX($C$125:$AD$127,3,MATCH(B$130,$B$124:$AD$124,0)+2)</f>
        <v>1518</v>
      </c>
      <c r="C134" s="101" cm="1">
        <f t="array" ref="C134">INDEX($C$125:$AD$127,3,MATCH(C$130,$B$124:$AD$124,0)+2)</f>
        <v>1962.4050056882822</v>
      </c>
      <c r="D134" s="101" cm="1">
        <f t="array" ref="D134">INDEX($C$125:$AD$127,3,MATCH(D$130,$B$124:$AD$124,0)+2)</f>
        <v>2109.1084159889201</v>
      </c>
      <c r="E134" s="101" cm="1">
        <f t="array" ref="E134">INDEX($C$125:$AD$127,3,MATCH(E$130,$B$124:$AD$124,0)+2)</f>
        <v>2161.7948549949651</v>
      </c>
      <c r="F134" s="101" cm="1">
        <f t="array" ref="F134">INDEX($C$125:$AD$127,3,MATCH(F$130,$B$124:$AD$124,0)+2)</f>
        <v>2181.6714989395955</v>
      </c>
      <c r="G134" s="102" cm="1">
        <f t="array" ref="G134">INDEX($C$125:$AD$127,3,MATCH(G$130,$B$124:$AD$124,0)+2)</f>
        <v>2189.3663213241925</v>
      </c>
    </row>
  </sheetData>
  <mergeCells count="22">
    <mergeCell ref="I93:I94"/>
    <mergeCell ref="J93:J94"/>
    <mergeCell ref="K93:K94"/>
    <mergeCell ref="B22:D22"/>
    <mergeCell ref="E22:I22"/>
    <mergeCell ref="B23:B24"/>
    <mergeCell ref="C23:C24"/>
    <mergeCell ref="D23:D24"/>
    <mergeCell ref="E23:F23"/>
    <mergeCell ref="G23:G24"/>
    <mergeCell ref="H23:H24"/>
    <mergeCell ref="I23:I24"/>
    <mergeCell ref="B83:B84"/>
    <mergeCell ref="C83:C84"/>
    <mergeCell ref="D83:D84"/>
    <mergeCell ref="J23:J24"/>
    <mergeCell ref="B47:B48"/>
    <mergeCell ref="C47:C48"/>
    <mergeCell ref="D47:D48"/>
    <mergeCell ref="B69:B70"/>
    <mergeCell ref="C69:C70"/>
    <mergeCell ref="D69:D70"/>
  </mergeCells>
  <hyperlinks>
    <hyperlink ref="A2" r:id="rId1" xr:uid="{1E8E06CB-2AA3-4CDE-9D38-DC6D7E4F221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744B-528E-4AF3-9597-0B20D8BAB05D}">
  <dimension ref="A1:O63"/>
  <sheetViews>
    <sheetView topLeftCell="A27" zoomScale="68" zoomScaleNormal="85" workbookViewId="0">
      <selection activeCell="J58" sqref="J58"/>
    </sheetView>
  </sheetViews>
  <sheetFormatPr defaultRowHeight="14.25" x14ac:dyDescent="0.2"/>
  <cols>
    <col min="1" max="1" width="31.5703125" style="104" customWidth="1"/>
    <col min="2" max="2" width="9.85546875" style="104" bestFit="1" customWidth="1"/>
    <col min="3" max="3" width="9.28515625" style="104" bestFit="1" customWidth="1"/>
    <col min="4" max="4" width="9.85546875" style="104" bestFit="1" customWidth="1"/>
    <col min="5" max="5" width="9.42578125" style="104" bestFit="1" customWidth="1"/>
    <col min="6" max="6" width="9.85546875" style="104" bestFit="1" customWidth="1"/>
    <col min="7" max="16384" width="9.140625" style="104"/>
  </cols>
  <sheetData>
    <row r="1" spans="1:15" x14ac:dyDescent="0.2">
      <c r="A1" s="103" t="s">
        <v>78</v>
      </c>
    </row>
    <row r="3" spans="1:15" x14ac:dyDescent="0.2">
      <c r="A3" s="105" t="s">
        <v>79</v>
      </c>
      <c r="B3" s="106"/>
      <c r="C3" s="106"/>
      <c r="D3" s="106"/>
      <c r="E3" s="106"/>
      <c r="F3" s="106"/>
      <c r="L3" s="201" t="s">
        <v>80</v>
      </c>
      <c r="M3" s="201"/>
      <c r="N3" s="201"/>
    </row>
    <row r="4" spans="1:15" x14ac:dyDescent="0.2">
      <c r="L4" s="201"/>
      <c r="M4" s="201"/>
      <c r="N4" s="201"/>
    </row>
    <row r="5" spans="1:15" x14ac:dyDescent="0.2">
      <c r="A5" s="104" t="s">
        <v>81</v>
      </c>
      <c r="L5" s="107" t="s">
        <v>82</v>
      </c>
      <c r="M5" s="108" t="s">
        <v>83</v>
      </c>
      <c r="N5" s="108"/>
    </row>
    <row r="6" spans="1:15" x14ac:dyDescent="0.2">
      <c r="L6" s="108" t="s">
        <v>84</v>
      </c>
      <c r="M6" s="109">
        <v>1</v>
      </c>
      <c r="N6" s="108" t="s">
        <v>85</v>
      </c>
    </row>
    <row r="7" spans="1:15" x14ac:dyDescent="0.2">
      <c r="A7" s="1" t="s">
        <v>86</v>
      </c>
      <c r="B7" s="198" t="s">
        <v>0</v>
      </c>
      <c r="C7" s="198"/>
      <c r="D7" s="198"/>
      <c r="E7" s="198" t="s">
        <v>1</v>
      </c>
      <c r="F7" s="198"/>
      <c r="G7" s="198"/>
      <c r="H7" s="198"/>
      <c r="I7" s="198"/>
      <c r="J7" s="189" t="s">
        <v>2</v>
      </c>
      <c r="L7" s="108" t="s">
        <v>87</v>
      </c>
      <c r="M7" s="110">
        <v>34</v>
      </c>
      <c r="N7" s="108" t="s">
        <v>85</v>
      </c>
    </row>
    <row r="8" spans="1:15" ht="15" customHeight="1" x14ac:dyDescent="0.2">
      <c r="A8" s="111" t="s">
        <v>117</v>
      </c>
      <c r="B8" s="189" t="s">
        <v>4</v>
      </c>
      <c r="C8" s="191" t="s">
        <v>21</v>
      </c>
      <c r="D8" s="189" t="s">
        <v>22</v>
      </c>
      <c r="E8" s="199" t="s">
        <v>5</v>
      </c>
      <c r="F8" s="199"/>
      <c r="G8" s="189" t="s">
        <v>6</v>
      </c>
      <c r="H8" s="189" t="s">
        <v>7</v>
      </c>
      <c r="I8" s="189" t="s">
        <v>8</v>
      </c>
      <c r="J8" s="189"/>
      <c r="L8" s="108" t="s">
        <v>89</v>
      </c>
      <c r="M8" s="112">
        <v>298</v>
      </c>
      <c r="N8" s="108" t="s">
        <v>85</v>
      </c>
    </row>
    <row r="9" spans="1:15" x14ac:dyDescent="0.2">
      <c r="A9" s="3"/>
      <c r="B9" s="190"/>
      <c r="C9" s="192"/>
      <c r="D9" s="190"/>
      <c r="E9" s="3" t="s">
        <v>9</v>
      </c>
      <c r="F9" s="3" t="s">
        <v>10</v>
      </c>
      <c r="G9" s="189"/>
      <c r="H9" s="189"/>
      <c r="I9" s="189"/>
      <c r="J9" s="189"/>
    </row>
    <row r="10" spans="1:15" x14ac:dyDescent="0.2">
      <c r="A10" s="3" t="s">
        <v>84</v>
      </c>
      <c r="B10" s="65">
        <v>9260</v>
      </c>
      <c r="C10" s="6">
        <v>560055</v>
      </c>
      <c r="D10" s="6">
        <v>117240</v>
      </c>
      <c r="E10" s="6">
        <v>222268</v>
      </c>
      <c r="F10" s="6"/>
      <c r="G10" s="6"/>
      <c r="H10" s="6"/>
      <c r="I10" s="66"/>
      <c r="J10" s="113">
        <f>SUM(B10:I10)</f>
        <v>908823</v>
      </c>
      <c r="K10" s="3" t="s">
        <v>90</v>
      </c>
      <c r="L10" s="200" t="s">
        <v>91</v>
      </c>
      <c r="M10" s="200"/>
      <c r="N10" s="200"/>
      <c r="O10" s="200"/>
    </row>
    <row r="11" spans="1:15" x14ac:dyDescent="0.2">
      <c r="A11" s="3" t="s">
        <v>87</v>
      </c>
      <c r="B11" s="70">
        <v>1247</v>
      </c>
      <c r="C11" s="3">
        <v>926</v>
      </c>
      <c r="D11" s="3">
        <v>62</v>
      </c>
      <c r="E11" s="3">
        <v>79</v>
      </c>
      <c r="F11" s="3"/>
      <c r="G11" s="3"/>
      <c r="H11" s="3"/>
      <c r="I11" s="9"/>
      <c r="J11" s="113">
        <f>SUM(B11:I11)</f>
        <v>2314</v>
      </c>
      <c r="K11" s="3" t="s">
        <v>90</v>
      </c>
      <c r="L11" s="200"/>
      <c r="M11" s="200"/>
      <c r="N11" s="200"/>
      <c r="O11" s="200"/>
    </row>
    <row r="12" spans="1:15" x14ac:dyDescent="0.2">
      <c r="A12" s="3" t="s">
        <v>89</v>
      </c>
      <c r="B12" s="74">
        <v>137</v>
      </c>
      <c r="C12" s="75">
        <v>62</v>
      </c>
      <c r="D12" s="75">
        <v>2</v>
      </c>
      <c r="E12" s="75">
        <v>4</v>
      </c>
      <c r="F12" s="75"/>
      <c r="G12" s="75"/>
      <c r="H12" s="75"/>
      <c r="I12" s="76"/>
      <c r="J12" s="113">
        <f t="shared" ref="J12" si="0">SUM(B12:I12)</f>
        <v>205</v>
      </c>
      <c r="K12" s="3" t="s">
        <v>90</v>
      </c>
      <c r="L12" s="200"/>
      <c r="M12" s="200"/>
      <c r="N12" s="200"/>
      <c r="O12" s="200"/>
    </row>
    <row r="13" spans="1:15" x14ac:dyDescent="0.2">
      <c r="A13" s="3" t="s">
        <v>92</v>
      </c>
      <c r="B13" s="108">
        <f t="array" ref="B13:E13">MMULT(TRANSPOSE(M6:M8),B10:E12)</f>
        <v>92484</v>
      </c>
      <c r="C13" s="108">
        <v>610015</v>
      </c>
      <c r="D13" s="108">
        <v>119944</v>
      </c>
      <c r="E13" s="108">
        <v>226146</v>
      </c>
      <c r="F13" s="3"/>
      <c r="G13" s="3"/>
      <c r="H13" s="3"/>
      <c r="I13" s="3"/>
      <c r="J13" s="107">
        <f t="array" ref="J13">MMULT(TRANSPOSE(GHG),J10:J12)</f>
        <v>1048589</v>
      </c>
      <c r="K13" s="3" t="s">
        <v>90</v>
      </c>
      <c r="L13" s="114"/>
      <c r="M13" s="114"/>
      <c r="N13" s="114"/>
      <c r="O13" s="114"/>
    </row>
    <row r="15" spans="1:15" x14ac:dyDescent="0.2">
      <c r="A15" s="105" t="s">
        <v>93</v>
      </c>
      <c r="B15" s="106"/>
      <c r="C15" s="106"/>
      <c r="D15" s="106"/>
      <c r="E15" s="106"/>
      <c r="F15" s="106"/>
    </row>
    <row r="17" spans="1:11" x14ac:dyDescent="0.2">
      <c r="A17" s="3" t="s">
        <v>94</v>
      </c>
    </row>
    <row r="18" spans="1:11" x14ac:dyDescent="0.2">
      <c r="A18" s="3" t="s">
        <v>95</v>
      </c>
    </row>
    <row r="20" spans="1:11" x14ac:dyDescent="0.2">
      <c r="A20" s="1" t="s">
        <v>96</v>
      </c>
      <c r="B20" s="198" t="s">
        <v>0</v>
      </c>
      <c r="C20" s="198"/>
      <c r="D20" s="198"/>
      <c r="E20" s="198" t="s">
        <v>1</v>
      </c>
      <c r="F20" s="198"/>
      <c r="G20" s="198"/>
      <c r="H20" s="198"/>
      <c r="I20" s="198"/>
      <c r="J20" s="189" t="s">
        <v>2</v>
      </c>
    </row>
    <row r="21" spans="1:11" x14ac:dyDescent="0.2">
      <c r="A21" s="111" t="s">
        <v>97</v>
      </c>
      <c r="B21" s="189" t="s">
        <v>4</v>
      </c>
      <c r="C21" s="191" t="s">
        <v>21</v>
      </c>
      <c r="D21" s="189" t="s">
        <v>22</v>
      </c>
      <c r="E21" s="199" t="s">
        <v>5</v>
      </c>
      <c r="F21" s="199"/>
      <c r="G21" s="189" t="s">
        <v>6</v>
      </c>
      <c r="H21" s="189" t="s">
        <v>7</v>
      </c>
      <c r="I21" s="189" t="s">
        <v>8</v>
      </c>
      <c r="J21" s="189"/>
    </row>
    <row r="22" spans="1:11" x14ac:dyDescent="0.2">
      <c r="A22" s="3"/>
      <c r="B22" s="190"/>
      <c r="C22" s="192"/>
      <c r="D22" s="190"/>
      <c r="E22" s="3" t="s">
        <v>9</v>
      </c>
      <c r="F22" s="3" t="s">
        <v>10</v>
      </c>
      <c r="G22" s="189"/>
      <c r="H22" s="189"/>
      <c r="I22" s="189"/>
      <c r="J22" s="189"/>
    </row>
    <row r="23" spans="1:11" x14ac:dyDescent="0.2">
      <c r="A23" s="3" t="s">
        <v>84</v>
      </c>
      <c r="B23" s="33">
        <f t="array" ref="B23:D25">B10:D12/'Exercice 1'!B37:D37</f>
        <v>220.47619047619048</v>
      </c>
      <c r="C23" s="34">
        <v>332.37685459940656</v>
      </c>
      <c r="D23" s="34">
        <v>44.459613196814558</v>
      </c>
      <c r="E23" s="6"/>
      <c r="F23" s="6"/>
      <c r="G23" s="6"/>
      <c r="H23" s="6"/>
      <c r="I23" s="66"/>
      <c r="J23" s="116">
        <f>SUM(B23:I23)</f>
        <v>597.31265827241157</v>
      </c>
      <c r="K23" s="3" t="s">
        <v>98</v>
      </c>
    </row>
    <row r="24" spans="1:11" x14ac:dyDescent="0.2">
      <c r="A24" s="3" t="s">
        <v>87</v>
      </c>
      <c r="B24" s="36">
        <v>29.69047619047619</v>
      </c>
      <c r="C24" s="37">
        <v>0.54955489614243325</v>
      </c>
      <c r="D24" s="37">
        <v>2.3511566173682216E-2</v>
      </c>
      <c r="E24" s="3"/>
      <c r="F24" s="3"/>
      <c r="G24" s="3"/>
      <c r="H24" s="3"/>
      <c r="I24" s="9"/>
      <c r="J24" s="116">
        <f>SUM(B24:I24)</f>
        <v>30.263542652792303</v>
      </c>
      <c r="K24" s="3" t="s">
        <v>98</v>
      </c>
    </row>
    <row r="25" spans="1:11" x14ac:dyDescent="0.2">
      <c r="A25" s="3" t="s">
        <v>89</v>
      </c>
      <c r="B25" s="93">
        <v>3.2619047619047619</v>
      </c>
      <c r="C25" s="94">
        <v>3.6795252225519291E-2</v>
      </c>
      <c r="D25" s="94">
        <v>7.5843761850587785E-4</v>
      </c>
      <c r="E25" s="75"/>
      <c r="F25" s="75"/>
      <c r="G25" s="75"/>
      <c r="H25" s="75"/>
      <c r="I25" s="76"/>
      <c r="J25" s="116">
        <f t="shared" ref="J25" si="1">SUM(B25:I25)</f>
        <v>3.2994584517487868</v>
      </c>
      <c r="K25" s="3" t="s">
        <v>98</v>
      </c>
    </row>
    <row r="26" spans="1:11" x14ac:dyDescent="0.2">
      <c r="B26" s="115">
        <f t="array" ref="B26:D26">MMULT(TRANSPOSE(M6:M8),B23:D25)</f>
        <v>2202</v>
      </c>
      <c r="C26" s="115">
        <v>362.02670623145406</v>
      </c>
      <c r="D26" s="115">
        <v>45.485020857034506</v>
      </c>
      <c r="E26" s="3"/>
      <c r="F26" s="3"/>
      <c r="G26" s="3"/>
      <c r="H26" s="3"/>
      <c r="I26" s="3"/>
      <c r="J26" s="107"/>
    </row>
    <row r="28" spans="1:11" x14ac:dyDescent="0.2">
      <c r="A28" s="105" t="s">
        <v>99</v>
      </c>
      <c r="B28" s="106"/>
      <c r="C28" s="106"/>
      <c r="D28" s="106"/>
      <c r="E28" s="106"/>
      <c r="F28" s="106"/>
      <c r="G28" s="106"/>
    </row>
    <row r="30" spans="1:11" x14ac:dyDescent="0.2">
      <c r="A30" s="3" t="s">
        <v>100</v>
      </c>
    </row>
    <row r="31" spans="1:11" x14ac:dyDescent="0.2">
      <c r="A31" s="3"/>
    </row>
    <row r="32" spans="1:11" x14ac:dyDescent="0.2">
      <c r="A32" s="1" t="s">
        <v>96</v>
      </c>
      <c r="B32" s="198" t="s">
        <v>0</v>
      </c>
      <c r="C32" s="198"/>
      <c r="D32" s="198"/>
      <c r="E32" s="198" t="s">
        <v>1</v>
      </c>
      <c r="F32" s="198"/>
      <c r="G32" s="198"/>
      <c r="H32" s="198"/>
      <c r="I32" s="198"/>
      <c r="J32" s="189" t="s">
        <v>2</v>
      </c>
    </row>
    <row r="33" spans="1:11" x14ac:dyDescent="0.2">
      <c r="A33" s="111" t="s">
        <v>101</v>
      </c>
      <c r="B33" s="189" t="s">
        <v>4</v>
      </c>
      <c r="C33" s="191" t="s">
        <v>21</v>
      </c>
      <c r="D33" s="189" t="s">
        <v>22</v>
      </c>
      <c r="E33" s="199" t="s">
        <v>5</v>
      </c>
      <c r="F33" s="199"/>
      <c r="G33" s="189" t="s">
        <v>6</v>
      </c>
      <c r="H33" s="189" t="s">
        <v>7</v>
      </c>
      <c r="I33" s="189" t="s">
        <v>8</v>
      </c>
      <c r="J33" s="189"/>
    </row>
    <row r="34" spans="1:11" x14ac:dyDescent="0.2">
      <c r="A34" s="3"/>
      <c r="B34" s="190"/>
      <c r="C34" s="192"/>
      <c r="D34" s="190"/>
      <c r="E34" s="3" t="s">
        <v>9</v>
      </c>
      <c r="F34" s="3" t="s">
        <v>10</v>
      </c>
      <c r="G34" s="189"/>
      <c r="H34" s="189"/>
      <c r="I34" s="189"/>
      <c r="J34" s="189"/>
    </row>
    <row r="35" spans="1:11" x14ac:dyDescent="0.2">
      <c r="A35" s="3" t="s">
        <v>84</v>
      </c>
      <c r="B35" s="33">
        <f t="array" ref="B35:D37">MMULT(B23:D25,'Exercice 1'!B85:D87)</f>
        <v>365.03268264266308</v>
      </c>
      <c r="C35" s="34">
        <v>495.70041866591271</v>
      </c>
      <c r="D35" s="34">
        <v>101.06712737365586</v>
      </c>
      <c r="E35" s="6"/>
      <c r="F35" s="6"/>
      <c r="G35" s="6"/>
      <c r="H35" s="6"/>
      <c r="I35" s="66"/>
      <c r="J35" s="116">
        <f>SUM(B35:I35)</f>
        <v>961.80022868223159</v>
      </c>
      <c r="K35" s="3" t="s">
        <v>98</v>
      </c>
    </row>
    <row r="36" spans="1:11" x14ac:dyDescent="0.2">
      <c r="A36" s="3" t="s">
        <v>87</v>
      </c>
      <c r="B36" s="36">
        <v>32.294041184297654</v>
      </c>
      <c r="C36" s="37">
        <v>1.3644737081374028</v>
      </c>
      <c r="D36" s="37">
        <v>0.15518165225090952</v>
      </c>
      <c r="E36" s="3"/>
      <c r="F36" s="3"/>
      <c r="G36" s="3"/>
      <c r="H36" s="3"/>
      <c r="I36" s="9"/>
      <c r="J36" s="116">
        <f>SUM(B36:I36)</f>
        <v>33.813696544685968</v>
      </c>
      <c r="K36" s="3" t="s">
        <v>98</v>
      </c>
    </row>
    <row r="37" spans="1:11" x14ac:dyDescent="0.2">
      <c r="A37" s="3" t="s">
        <v>89</v>
      </c>
      <c r="B37" s="93">
        <v>3.5395639955564939</v>
      </c>
      <c r="C37" s="94">
        <v>0.11558358268171018</v>
      </c>
      <c r="D37" s="94">
        <v>1.1832716524954988E-2</v>
      </c>
      <c r="E37" s="75"/>
      <c r="F37" s="75"/>
      <c r="G37" s="75"/>
      <c r="H37" s="75"/>
      <c r="I37" s="76"/>
      <c r="J37" s="116">
        <f t="shared" ref="J37" si="2">SUM(B37:I37)</f>
        <v>3.6669802947631589</v>
      </c>
      <c r="K37" s="3" t="s">
        <v>98</v>
      </c>
    </row>
    <row r="38" spans="1:11" x14ac:dyDescent="0.2">
      <c r="B38" s="115">
        <f t="array" ref="B38:D38">MMULT(TRANSPOSE(GHG),B35:D37)</f>
        <v>2517.8201535846183</v>
      </c>
      <c r="C38" s="115">
        <v>576.53643238173402</v>
      </c>
      <c r="D38" s="115">
        <v>109.86945307462338</v>
      </c>
      <c r="E38" s="3"/>
      <c r="F38" s="3"/>
      <c r="G38" s="3"/>
      <c r="H38" s="3"/>
      <c r="I38" s="3"/>
      <c r="J38" s="107"/>
      <c r="K38" s="3"/>
    </row>
    <row r="40" spans="1:11" x14ac:dyDescent="0.2">
      <c r="A40" s="105" t="s">
        <v>102</v>
      </c>
      <c r="B40" s="106"/>
      <c r="C40" s="106"/>
      <c r="D40" s="106"/>
      <c r="E40" s="106"/>
      <c r="F40" s="106"/>
      <c r="G40" s="106"/>
    </row>
    <row r="42" spans="1:11" x14ac:dyDescent="0.2">
      <c r="A42" s="3" t="s">
        <v>103</v>
      </c>
    </row>
    <row r="44" spans="1:11" x14ac:dyDescent="0.2">
      <c r="A44" s="1" t="s">
        <v>104</v>
      </c>
      <c r="B44" s="198" t="s">
        <v>0</v>
      </c>
      <c r="C44" s="198"/>
      <c r="D44" s="198"/>
      <c r="E44" s="198" t="s">
        <v>1</v>
      </c>
      <c r="F44" s="198"/>
      <c r="G44" s="198"/>
      <c r="H44" s="198"/>
      <c r="I44" s="198"/>
      <c r="J44" s="189" t="s">
        <v>2</v>
      </c>
    </row>
    <row r="45" spans="1:11" x14ac:dyDescent="0.2">
      <c r="A45" s="111" t="s">
        <v>118</v>
      </c>
      <c r="B45" s="189" t="s">
        <v>4</v>
      </c>
      <c r="C45" s="191" t="s">
        <v>21</v>
      </c>
      <c r="D45" s="189" t="s">
        <v>22</v>
      </c>
      <c r="E45" s="199" t="s">
        <v>5</v>
      </c>
      <c r="F45" s="199"/>
      <c r="G45" s="189" t="s">
        <v>6</v>
      </c>
      <c r="H45" s="189" t="s">
        <v>7</v>
      </c>
      <c r="I45" s="189" t="s">
        <v>8</v>
      </c>
      <c r="J45" s="189"/>
    </row>
    <row r="46" spans="1:11" x14ac:dyDescent="0.2">
      <c r="A46" s="3"/>
      <c r="B46" s="190"/>
      <c r="C46" s="192"/>
      <c r="D46" s="190"/>
      <c r="E46" s="3" t="s">
        <v>9</v>
      </c>
      <c r="F46" s="3" t="s">
        <v>10</v>
      </c>
      <c r="G46" s="189"/>
      <c r="H46" s="189"/>
      <c r="I46" s="189"/>
      <c r="J46" s="189"/>
    </row>
    <row r="47" spans="1:11" x14ac:dyDescent="0.2">
      <c r="A47" s="3" t="s">
        <v>84</v>
      </c>
      <c r="B47" s="33">
        <f t="array" ref="B47:D49">B35:D37*TRANSPOSE('Exercice 1'!B95:B97)</f>
        <v>6205.5556049252718</v>
      </c>
      <c r="C47" s="34">
        <v>526929.5450418652</v>
      </c>
      <c r="D47" s="34">
        <v>153419.89935320959</v>
      </c>
      <c r="E47" s="63">
        <f t="array" ref="E47:E49">E10:E12</f>
        <v>222268</v>
      </c>
      <c r="F47" s="6"/>
      <c r="G47" s="6"/>
      <c r="H47" s="6"/>
      <c r="I47" s="66"/>
      <c r="J47" s="113">
        <f>SUM(B47:I47)</f>
        <v>908823</v>
      </c>
      <c r="K47" s="3" t="s">
        <v>90</v>
      </c>
    </row>
    <row r="48" spans="1:11" x14ac:dyDescent="0.2">
      <c r="A48" s="3" t="s">
        <v>87</v>
      </c>
      <c r="B48" s="36">
        <v>548.99870013306008</v>
      </c>
      <c r="C48" s="37">
        <v>1450.4355517500592</v>
      </c>
      <c r="D48" s="37">
        <v>235.56574811688066</v>
      </c>
      <c r="E48" s="68">
        <v>79</v>
      </c>
      <c r="F48" s="3"/>
      <c r="G48" s="3"/>
      <c r="H48" s="3"/>
      <c r="I48" s="9"/>
      <c r="J48" s="113">
        <f>SUM(B48:I48)</f>
        <v>2314</v>
      </c>
      <c r="K48" s="3" t="s">
        <v>90</v>
      </c>
    </row>
    <row r="49" spans="1:11" x14ac:dyDescent="0.2">
      <c r="A49" s="3" t="s">
        <v>89</v>
      </c>
      <c r="B49" s="93">
        <v>60.172587924460395</v>
      </c>
      <c r="C49" s="94">
        <v>122.86534839065791</v>
      </c>
      <c r="D49" s="94">
        <v>17.96206368488167</v>
      </c>
      <c r="E49" s="72">
        <v>4</v>
      </c>
      <c r="F49" s="75"/>
      <c r="G49" s="75"/>
      <c r="H49" s="75"/>
      <c r="I49" s="76"/>
      <c r="J49" s="113">
        <f t="shared" ref="J49" si="3">SUM(B49:I49)</f>
        <v>205</v>
      </c>
      <c r="K49" s="3" t="s">
        <v>90</v>
      </c>
    </row>
    <row r="50" spans="1:11" x14ac:dyDescent="0.2">
      <c r="B50" s="115">
        <f t="array" ref="B50:E50">MMULT(TRANSPOSE(M6:M8),B47:E49)</f>
        <v>42802.942610938509</v>
      </c>
      <c r="C50" s="115">
        <v>612858.22762178327</v>
      </c>
      <c r="D50" s="115">
        <v>166781.82976727828</v>
      </c>
      <c r="E50" s="115">
        <v>226146</v>
      </c>
      <c r="F50" s="3"/>
      <c r="G50" s="3"/>
      <c r="H50" s="3"/>
      <c r="I50" s="3"/>
      <c r="J50" s="107">
        <f t="array" ref="J50">MMULT(TRANSPOSE(GHG),J47:J49)</f>
        <v>1048589</v>
      </c>
      <c r="K50" s="3"/>
    </row>
    <row r="54" spans="1:11" x14ac:dyDescent="0.2">
      <c r="A54" s="105" t="s">
        <v>106</v>
      </c>
      <c r="B54" s="106"/>
      <c r="C54" s="106"/>
      <c r="D54" s="106"/>
      <c r="E54" s="106"/>
      <c r="F54" s="106"/>
      <c r="G54" s="106"/>
    </row>
    <row r="56" spans="1:11" x14ac:dyDescent="0.2">
      <c r="A56" s="3" t="s">
        <v>107</v>
      </c>
    </row>
    <row r="57" spans="1:11" x14ac:dyDescent="0.2">
      <c r="B57" s="199" t="s">
        <v>5</v>
      </c>
      <c r="C57" s="199"/>
      <c r="D57" s="189" t="s">
        <v>6</v>
      </c>
      <c r="E57" s="189" t="s">
        <v>7</v>
      </c>
      <c r="F57" s="189" t="s">
        <v>8</v>
      </c>
    </row>
    <row r="58" spans="1:11" ht="14.25" customHeight="1" x14ac:dyDescent="0.2">
      <c r="B58" s="3" t="s">
        <v>9</v>
      </c>
      <c r="C58" s="3" t="s">
        <v>10</v>
      </c>
      <c r="D58" s="189"/>
      <c r="E58" s="189"/>
      <c r="F58" s="189"/>
    </row>
    <row r="59" spans="1:11" x14ac:dyDescent="0.2">
      <c r="A59" s="3" t="s">
        <v>4</v>
      </c>
      <c r="B59" s="33">
        <f t="array" ref="B59:F61">TRANSPOSE(B38:D38)*'Exercice 1'!E25:I27</f>
        <v>22660.381382261563</v>
      </c>
      <c r="C59" s="34">
        <v>0</v>
      </c>
      <c r="D59" s="34">
        <v>0</v>
      </c>
      <c r="E59" s="34">
        <v>7553.4604607538549</v>
      </c>
      <c r="F59" s="91">
        <v>12589.100767923092</v>
      </c>
      <c r="G59" s="3" t="s">
        <v>108</v>
      </c>
    </row>
    <row r="60" spans="1:11" x14ac:dyDescent="0.2">
      <c r="A60" s="3" t="s">
        <v>21</v>
      </c>
      <c r="B60" s="36">
        <v>147016.79025734216</v>
      </c>
      <c r="C60" s="37">
        <v>4035.7550266721382</v>
      </c>
      <c r="D60" s="37">
        <v>142404.49879828829</v>
      </c>
      <c r="E60" s="37">
        <v>-33439.113078140574</v>
      </c>
      <c r="F60" s="92">
        <v>352840.29661762121</v>
      </c>
      <c r="G60" s="3" t="s">
        <v>108</v>
      </c>
    </row>
    <row r="61" spans="1:11" x14ac:dyDescent="0.2">
      <c r="A61" s="3" t="s">
        <v>22</v>
      </c>
      <c r="B61" s="93">
        <v>85368.565038982371</v>
      </c>
      <c r="C61" s="94">
        <v>53836.032006565452</v>
      </c>
      <c r="D61" s="94">
        <v>7251.383902925143</v>
      </c>
      <c r="E61" s="94">
        <v>659.21671844774028</v>
      </c>
      <c r="F61" s="95">
        <v>19666.632100357587</v>
      </c>
      <c r="G61" s="3" t="s">
        <v>108</v>
      </c>
    </row>
    <row r="62" spans="1:11" x14ac:dyDescent="0.2">
      <c r="A62" s="3" t="s">
        <v>109</v>
      </c>
      <c r="B62" s="3">
        <f>'Exercice 2'!E13</f>
        <v>226146</v>
      </c>
      <c r="C62" s="3"/>
      <c r="D62" s="3"/>
      <c r="E62" s="3"/>
      <c r="F62" s="3"/>
      <c r="G62" s="3" t="s">
        <v>108</v>
      </c>
    </row>
    <row r="63" spans="1:11" x14ac:dyDescent="0.2">
      <c r="A63" s="3" t="s">
        <v>12</v>
      </c>
      <c r="B63" s="3"/>
      <c r="C63" s="3"/>
      <c r="D63" s="3"/>
      <c r="E63" s="3"/>
      <c r="F63" s="3"/>
      <c r="G63" s="3" t="s">
        <v>108</v>
      </c>
    </row>
  </sheetData>
  <mergeCells count="46">
    <mergeCell ref="L3:N4"/>
    <mergeCell ref="B7:D7"/>
    <mergeCell ref="E7:I7"/>
    <mergeCell ref="J7:J9"/>
    <mergeCell ref="B8:B9"/>
    <mergeCell ref="C8:C9"/>
    <mergeCell ref="D8:D9"/>
    <mergeCell ref="E8:F8"/>
    <mergeCell ref="G8:G9"/>
    <mergeCell ref="H8:H9"/>
    <mergeCell ref="I8:I9"/>
    <mergeCell ref="L10:O12"/>
    <mergeCell ref="B20:D20"/>
    <mergeCell ref="E20:I20"/>
    <mergeCell ref="J20:J22"/>
    <mergeCell ref="B21:B22"/>
    <mergeCell ref="C21:C22"/>
    <mergeCell ref="D21:D22"/>
    <mergeCell ref="E21:F21"/>
    <mergeCell ref="G21:G22"/>
    <mergeCell ref="H21:H22"/>
    <mergeCell ref="I21:I22"/>
    <mergeCell ref="B32:D32"/>
    <mergeCell ref="E32:I32"/>
    <mergeCell ref="J32:J34"/>
    <mergeCell ref="B33:B34"/>
    <mergeCell ref="C33:C34"/>
    <mergeCell ref="D33:D34"/>
    <mergeCell ref="E33:F33"/>
    <mergeCell ref="G33:G34"/>
    <mergeCell ref="H33:H34"/>
    <mergeCell ref="I33:I34"/>
    <mergeCell ref="J44:J46"/>
    <mergeCell ref="B45:B46"/>
    <mergeCell ref="C45:C46"/>
    <mergeCell ref="D45:D46"/>
    <mergeCell ref="E45:F45"/>
    <mergeCell ref="G45:G46"/>
    <mergeCell ref="H45:H46"/>
    <mergeCell ref="I45:I46"/>
    <mergeCell ref="B57:C57"/>
    <mergeCell ref="D57:D58"/>
    <mergeCell ref="E57:E58"/>
    <mergeCell ref="F57:F58"/>
    <mergeCell ref="B44:D44"/>
    <mergeCell ref="E44:I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9FDE-A901-4146-B66D-68E52CAE50AC}">
  <dimension ref="A1:W155"/>
  <sheetViews>
    <sheetView tabSelected="1" topLeftCell="A124" zoomScale="75" workbookViewId="0">
      <selection activeCell="O127" sqref="O127"/>
    </sheetView>
  </sheetViews>
  <sheetFormatPr defaultRowHeight="11.25" x14ac:dyDescent="0.2"/>
  <cols>
    <col min="1" max="1" width="9" style="3" customWidth="1"/>
    <col min="2" max="2" width="26.140625" style="3" customWidth="1"/>
    <col min="3" max="6" width="9.5703125" style="3" bestFit="1" customWidth="1"/>
    <col min="7" max="8" width="11.28515625" style="3" bestFit="1" customWidth="1"/>
    <col min="9" max="9" width="10.85546875" style="3" bestFit="1" customWidth="1"/>
    <col min="10" max="10" width="10.5703125" style="3" bestFit="1" customWidth="1"/>
    <col min="11" max="16384" width="9.140625" style="3"/>
  </cols>
  <sheetData>
    <row r="1" spans="1:17" x14ac:dyDescent="0.2">
      <c r="A1" s="1" t="s">
        <v>110</v>
      </c>
    </row>
    <row r="3" spans="1:17" x14ac:dyDescent="0.2">
      <c r="A3" s="1" t="s">
        <v>111</v>
      </c>
    </row>
    <row r="4" spans="1:17" hidden="1" x14ac:dyDescent="0.2">
      <c r="C4" s="198" t="s">
        <v>112</v>
      </c>
      <c r="D4" s="198"/>
      <c r="E4" s="198"/>
      <c r="F4" s="198" t="s">
        <v>113</v>
      </c>
      <c r="G4" s="198"/>
      <c r="H4" s="198"/>
      <c r="I4" s="198" t="s">
        <v>112</v>
      </c>
      <c r="J4" s="198"/>
      <c r="K4" s="198"/>
      <c r="L4" s="198"/>
      <c r="M4" s="198" t="s">
        <v>113</v>
      </c>
      <c r="N4" s="198"/>
      <c r="O4" s="198"/>
      <c r="P4" s="198"/>
    </row>
    <row r="5" spans="1:17" hidden="1" x14ac:dyDescent="0.2">
      <c r="B5" s="18" t="s">
        <v>3</v>
      </c>
      <c r="C5" s="189" t="s">
        <v>4</v>
      </c>
      <c r="D5" s="191" t="s">
        <v>21</v>
      </c>
      <c r="E5" s="189" t="s">
        <v>22</v>
      </c>
      <c r="F5" s="189" t="s">
        <v>4</v>
      </c>
      <c r="G5" s="191" t="s">
        <v>21</v>
      </c>
      <c r="H5" s="189" t="s">
        <v>22</v>
      </c>
      <c r="I5" s="189" t="s">
        <v>5</v>
      </c>
      <c r="J5" s="189"/>
      <c r="K5" s="189" t="s">
        <v>6</v>
      </c>
      <c r="L5" s="189" t="s">
        <v>7</v>
      </c>
      <c r="M5" s="189" t="s">
        <v>5</v>
      </c>
      <c r="N5" s="189"/>
      <c r="O5" s="189" t="s">
        <v>6</v>
      </c>
      <c r="P5" s="189" t="s">
        <v>7</v>
      </c>
      <c r="Q5" s="189" t="s">
        <v>2</v>
      </c>
    </row>
    <row r="6" spans="1:17" ht="23.25" hidden="1" thickBot="1" x14ac:dyDescent="0.25">
      <c r="C6" s="190"/>
      <c r="D6" s="192"/>
      <c r="E6" s="190"/>
      <c r="F6" s="190"/>
      <c r="G6" s="192"/>
      <c r="H6" s="190"/>
      <c r="I6" s="19" t="s">
        <v>9</v>
      </c>
      <c r="J6" s="19" t="s">
        <v>10</v>
      </c>
      <c r="K6" s="189"/>
      <c r="L6" s="189"/>
      <c r="M6" s="19" t="s">
        <v>9</v>
      </c>
      <c r="N6" s="19" t="s">
        <v>10</v>
      </c>
      <c r="O6" s="189"/>
      <c r="P6" s="189"/>
      <c r="Q6" s="193"/>
    </row>
    <row r="7" spans="1:17" hidden="1" x14ac:dyDescent="0.2">
      <c r="A7" s="202" t="s">
        <v>112</v>
      </c>
      <c r="B7" s="3" t="s">
        <v>4</v>
      </c>
      <c r="C7" s="4">
        <v>2.9936087176502038</v>
      </c>
      <c r="D7" s="5">
        <v>21.398341992560255</v>
      </c>
      <c r="E7" s="5">
        <v>1.0034424974772413</v>
      </c>
      <c r="F7" s="117">
        <v>3</v>
      </c>
      <c r="G7" s="5">
        <v>1</v>
      </c>
      <c r="H7" s="5">
        <v>0</v>
      </c>
      <c r="I7" s="6">
        <v>9</v>
      </c>
      <c r="J7" s="6">
        <v>0</v>
      </c>
      <c r="K7" s="6">
        <v>0</v>
      </c>
      <c r="L7" s="6">
        <v>3</v>
      </c>
      <c r="M7" s="3">
        <v>1</v>
      </c>
      <c r="N7" s="3">
        <v>0</v>
      </c>
      <c r="O7" s="3">
        <v>0</v>
      </c>
      <c r="P7" s="3">
        <v>0</v>
      </c>
      <c r="Q7" s="35">
        <f t="shared" ref="Q7:Q12" si="0">SUM(C7:P7)</f>
        <v>42.395393207687704</v>
      </c>
    </row>
    <row r="8" spans="1:17" hidden="1" x14ac:dyDescent="0.2">
      <c r="A8" s="202"/>
      <c r="B8" s="3" t="s">
        <v>21</v>
      </c>
      <c r="C8" s="7">
        <v>7.7887571121374384</v>
      </c>
      <c r="D8" s="8">
        <v>470.97668875051545</v>
      </c>
      <c r="E8" s="8">
        <v>142.59715243017723</v>
      </c>
      <c r="F8" s="118">
        <v>12</v>
      </c>
      <c r="G8" s="8">
        <v>100</v>
      </c>
      <c r="H8" s="8">
        <v>460</v>
      </c>
      <c r="I8" s="3">
        <v>255</v>
      </c>
      <c r="J8" s="3">
        <v>7</v>
      </c>
      <c r="K8" s="3">
        <v>248</v>
      </c>
      <c r="L8" s="3">
        <v>-58</v>
      </c>
      <c r="M8" s="3">
        <v>40</v>
      </c>
      <c r="N8" s="3">
        <v>0</v>
      </c>
      <c r="O8" s="3">
        <v>0</v>
      </c>
      <c r="P8" s="3">
        <v>0</v>
      </c>
      <c r="Q8" s="38">
        <f t="shared" si="0"/>
        <v>1685.3625982928302</v>
      </c>
    </row>
    <row r="9" spans="1:17" hidden="1" x14ac:dyDescent="0.2">
      <c r="A9" s="202"/>
      <c r="B9" s="3" t="s">
        <v>22</v>
      </c>
      <c r="C9" s="7">
        <v>9.7796940396138368</v>
      </c>
      <c r="D9" s="8">
        <v>337.32090080328163</v>
      </c>
      <c r="E9" s="8">
        <v>771.96817360757632</v>
      </c>
      <c r="F9" s="119">
        <v>9</v>
      </c>
      <c r="G9" s="120">
        <v>70</v>
      </c>
      <c r="H9" s="120">
        <v>90</v>
      </c>
      <c r="I9" s="3">
        <v>777</v>
      </c>
      <c r="J9" s="3">
        <v>490</v>
      </c>
      <c r="K9" s="3">
        <v>66</v>
      </c>
      <c r="L9" s="3">
        <v>6</v>
      </c>
      <c r="M9" s="3">
        <v>10</v>
      </c>
      <c r="N9" s="3">
        <v>0</v>
      </c>
      <c r="O9" s="3">
        <v>0</v>
      </c>
      <c r="P9" s="3">
        <v>0</v>
      </c>
      <c r="Q9" s="38">
        <f t="shared" si="0"/>
        <v>2637.0687684504719</v>
      </c>
    </row>
    <row r="10" spans="1:17" hidden="1" x14ac:dyDescent="0.2">
      <c r="A10" s="202" t="s">
        <v>113</v>
      </c>
      <c r="B10" s="3" t="s">
        <v>4</v>
      </c>
      <c r="C10" s="121">
        <v>3</v>
      </c>
      <c r="D10" s="122">
        <v>20</v>
      </c>
      <c r="E10" s="123">
        <v>10</v>
      </c>
      <c r="F10" s="8">
        <f ca="1">RANDBETWEEN(50,150)/100/0.043*C7</f>
        <v>91.200637677250413</v>
      </c>
      <c r="G10" s="8">
        <f t="shared" ref="G10:H12" ca="1" si="1">RANDBETWEEN(50,150)/100/0.043*D7</f>
        <v>293.60515757233838</v>
      </c>
      <c r="H10" s="8">
        <f t="shared" ca="1" si="1"/>
        <v>33.370297009126865</v>
      </c>
      <c r="I10" s="3">
        <v>8</v>
      </c>
      <c r="J10" s="3">
        <v>2</v>
      </c>
      <c r="K10" s="3">
        <v>1</v>
      </c>
      <c r="L10" s="3">
        <v>10</v>
      </c>
      <c r="M10" s="8">
        <f t="shared" ref="M10:P12" ca="1" si="2">RANDBETWEEN(50,150)/100/0.043*I7</f>
        <v>121.39534883720931</v>
      </c>
      <c r="N10" s="8">
        <f t="shared" ca="1" si="2"/>
        <v>0</v>
      </c>
      <c r="O10" s="8">
        <f t="shared" ca="1" si="2"/>
        <v>0</v>
      </c>
      <c r="P10" s="8">
        <f t="shared" ca="1" si="2"/>
        <v>63.488372093023258</v>
      </c>
      <c r="Q10" s="38">
        <f t="shared" ca="1" si="0"/>
        <v>657.05981318894828</v>
      </c>
    </row>
    <row r="11" spans="1:17" hidden="1" x14ac:dyDescent="0.2">
      <c r="A11" s="202"/>
      <c r="B11" s="3" t="s">
        <v>21</v>
      </c>
      <c r="C11" s="7">
        <v>1</v>
      </c>
      <c r="D11" s="8">
        <v>250</v>
      </c>
      <c r="E11" s="124">
        <v>10</v>
      </c>
      <c r="F11" s="8">
        <f t="shared" ref="F11:F12" ca="1" si="3">RANDBETWEEN(50,150)/100/0.043*C8</f>
        <v>186.56790291864098</v>
      </c>
      <c r="G11" s="8">
        <f t="shared" ca="1" si="1"/>
        <v>6133.6499000067133</v>
      </c>
      <c r="H11" s="8">
        <f t="shared" ca="1" si="1"/>
        <v>3581.5098749904982</v>
      </c>
      <c r="I11" s="3">
        <v>20</v>
      </c>
      <c r="J11" s="3">
        <v>2</v>
      </c>
      <c r="K11" s="3">
        <v>50</v>
      </c>
      <c r="L11" s="3">
        <v>20</v>
      </c>
      <c r="M11" s="8">
        <f t="shared" ca="1" si="2"/>
        <v>4210.4651162790697</v>
      </c>
      <c r="N11" s="8">
        <f t="shared" ca="1" si="2"/>
        <v>218.13953488372096</v>
      </c>
      <c r="O11" s="8">
        <f t="shared" ca="1" si="2"/>
        <v>6055.813953488373</v>
      </c>
      <c r="P11" s="8">
        <f t="shared" ca="1" si="2"/>
        <v>-1874.8837209302324</v>
      </c>
      <c r="Q11" s="38">
        <f t="shared" ca="1" si="0"/>
        <v>18864.262561636784</v>
      </c>
    </row>
    <row r="12" spans="1:17" ht="12" hidden="1" thickBot="1" x14ac:dyDescent="0.25">
      <c r="A12" s="202"/>
      <c r="B12" s="3" t="s">
        <v>22</v>
      </c>
      <c r="C12" s="125">
        <v>1</v>
      </c>
      <c r="D12" s="120">
        <v>30</v>
      </c>
      <c r="E12" s="126">
        <v>90</v>
      </c>
      <c r="F12" s="8">
        <f t="shared" ca="1" si="3"/>
        <v>325.23168550343689</v>
      </c>
      <c r="G12" s="8">
        <f t="shared" ca="1" si="1"/>
        <v>5099.0368726077459</v>
      </c>
      <c r="H12" s="8">
        <f t="shared" ca="1" si="1"/>
        <v>9694.484040653284</v>
      </c>
      <c r="I12" s="3">
        <v>100</v>
      </c>
      <c r="J12" s="3">
        <v>5</v>
      </c>
      <c r="K12" s="3">
        <v>10</v>
      </c>
      <c r="L12" s="3">
        <v>1</v>
      </c>
      <c r="M12" s="8">
        <f t="shared" ca="1" si="2"/>
        <v>11022.558139534884</v>
      </c>
      <c r="N12" s="8">
        <f t="shared" ca="1" si="2"/>
        <v>6039.5348837209312</v>
      </c>
      <c r="O12" s="8">
        <f t="shared" ca="1" si="2"/>
        <v>1780.4651162790699</v>
      </c>
      <c r="P12" s="8">
        <f t="shared" ca="1" si="2"/>
        <v>207.90697674418607</v>
      </c>
      <c r="Q12" s="39">
        <f t="shared" ca="1" si="0"/>
        <v>34406.217715043531</v>
      </c>
    </row>
    <row r="13" spans="1:17" hidden="1" x14ac:dyDescent="0.2">
      <c r="B13" s="10" t="s">
        <v>11</v>
      </c>
      <c r="C13" s="11">
        <f>SUM(C7:C12)</f>
        <v>25.56205986940148</v>
      </c>
      <c r="D13" s="12">
        <f t="shared" ref="D13:L13" si="4">SUM(D7:D12)</f>
        <v>1129.6959315463573</v>
      </c>
      <c r="E13" s="12">
        <f t="shared" si="4"/>
        <v>1025.5687685352309</v>
      </c>
      <c r="F13" s="12">
        <f t="shared" ca="1" si="4"/>
        <v>627.0002260993283</v>
      </c>
      <c r="G13" s="12">
        <f t="shared" ca="1" si="4"/>
        <v>11697.291930186799</v>
      </c>
      <c r="H13" s="12">
        <f t="shared" ca="1" si="4"/>
        <v>13859.364212652908</v>
      </c>
      <c r="I13" s="13">
        <f t="shared" si="4"/>
        <v>1169</v>
      </c>
      <c r="J13" s="13">
        <f t="shared" si="4"/>
        <v>506</v>
      </c>
      <c r="K13" s="13">
        <f t="shared" si="4"/>
        <v>375</v>
      </c>
      <c r="L13" s="13">
        <f t="shared" si="4"/>
        <v>-18</v>
      </c>
      <c r="M13" s="127"/>
      <c r="N13" s="127"/>
      <c r="O13" s="127"/>
      <c r="P13" s="127"/>
      <c r="Q13" s="25">
        <f ca="1">SUM(C13:L13)</f>
        <v>30396.483128890024</v>
      </c>
    </row>
    <row r="14" spans="1:17" hidden="1" x14ac:dyDescent="0.2">
      <c r="B14" s="14" t="s">
        <v>12</v>
      </c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28">
        <f>SUM(C14:L14)</f>
        <v>0</v>
      </c>
    </row>
    <row r="15" spans="1:17" hidden="1" x14ac:dyDescent="0.2">
      <c r="B15" s="3" t="s">
        <v>13</v>
      </c>
      <c r="C15" s="15">
        <v>2</v>
      </c>
      <c r="D15" s="14">
        <v>12</v>
      </c>
      <c r="E15" s="14">
        <v>53</v>
      </c>
      <c r="F15" s="8">
        <f ca="1">RANDBETWEEN(50,150)/100/0.043*C15</f>
        <v>31.162790697674424</v>
      </c>
      <c r="G15" s="22">
        <f t="shared" ref="G15:H15" ca="1" si="5">RANDBETWEEN(50,150)/100/0.043*D15</f>
        <v>175.81395348837211</v>
      </c>
      <c r="H15" s="22">
        <f t="shared" ca="1" si="5"/>
        <v>1676.2790697674423</v>
      </c>
      <c r="I15" s="3">
        <v>151</v>
      </c>
      <c r="J15" s="3">
        <v>6</v>
      </c>
      <c r="K15" s="3">
        <v>34</v>
      </c>
      <c r="Q15" s="129">
        <f ca="1">SUM(C15:L15)</f>
        <v>2141.2558139534885</v>
      </c>
    </row>
    <row r="16" spans="1:17" hidden="1" x14ac:dyDescent="0.2">
      <c r="B16" s="10" t="s">
        <v>14</v>
      </c>
      <c r="C16" s="11">
        <f>SUM(C13:C15)</f>
        <v>27.56205986940148</v>
      </c>
      <c r="D16" s="12">
        <f t="shared" ref="D16:L16" si="6">SUM(D13:D15)</f>
        <v>1141.6959315463573</v>
      </c>
      <c r="E16" s="12">
        <f t="shared" si="6"/>
        <v>1078.5687685352309</v>
      </c>
      <c r="F16" s="12">
        <f t="shared" ca="1" si="6"/>
        <v>658.16301679700268</v>
      </c>
      <c r="G16" s="12">
        <f t="shared" ca="1" si="6"/>
        <v>11873.105883675171</v>
      </c>
      <c r="H16" s="12">
        <f t="shared" ca="1" si="6"/>
        <v>15535.643282420351</v>
      </c>
      <c r="I16" s="13">
        <f t="shared" si="6"/>
        <v>1320</v>
      </c>
      <c r="J16" s="13">
        <f t="shared" si="6"/>
        <v>512</v>
      </c>
      <c r="K16" s="13">
        <f t="shared" si="6"/>
        <v>409</v>
      </c>
      <c r="L16" s="13">
        <f t="shared" si="6"/>
        <v>-18</v>
      </c>
      <c r="M16" s="13"/>
      <c r="N16" s="13"/>
      <c r="O16" s="13"/>
      <c r="P16" s="13"/>
      <c r="Q16" s="12">
        <f ca="1">SUM(Q13:Q15)</f>
        <v>32537.738942843513</v>
      </c>
    </row>
    <row r="17" spans="1:19" hidden="1" x14ac:dyDescent="0.2">
      <c r="B17" s="3" t="s">
        <v>15</v>
      </c>
      <c r="C17" s="21">
        <v>5.5646762247301069</v>
      </c>
      <c r="D17" s="22">
        <v>376.72396921233207</v>
      </c>
      <c r="E17" s="22">
        <v>848.74271001209377</v>
      </c>
      <c r="F17" s="22">
        <f ca="1">RANDBETWEEN(50,100)/100/0.043*C17</f>
        <v>122.94052124403724</v>
      </c>
      <c r="G17" s="22">
        <f t="shared" ref="G17:H20" ca="1" si="7">RANDBETWEEN(50,100)/100/0.043*D17</f>
        <v>4555.731720707272</v>
      </c>
      <c r="H17" s="22">
        <f t="shared" ca="1" si="7"/>
        <v>19738.202558420788</v>
      </c>
      <c r="Q17" s="12">
        <f ca="1">SUM(C17:L17)</f>
        <v>25647.906155821252</v>
      </c>
    </row>
    <row r="18" spans="1:19" hidden="1" x14ac:dyDescent="0.2">
      <c r="B18" s="3" t="s">
        <v>16</v>
      </c>
      <c r="C18" s="21">
        <v>-6</v>
      </c>
      <c r="D18" s="22">
        <v>-2</v>
      </c>
      <c r="E18" s="22">
        <v>-3</v>
      </c>
      <c r="F18" s="22">
        <f t="shared" ref="F18:F20" ca="1" si="8">RANDBETWEEN(50,100)/100/0.043*C18</f>
        <v>-115.81395348837211</v>
      </c>
      <c r="G18" s="22">
        <f t="shared" ca="1" si="7"/>
        <v>-44.186046511627907</v>
      </c>
      <c r="H18" s="22">
        <f t="shared" ca="1" si="7"/>
        <v>-40.465116279069768</v>
      </c>
      <c r="Q18" s="12">
        <f ca="1">SUM(C18:L18)</f>
        <v>-211.46511627906978</v>
      </c>
    </row>
    <row r="19" spans="1:19" hidden="1" x14ac:dyDescent="0.2">
      <c r="B19" s="3" t="s">
        <v>17</v>
      </c>
      <c r="C19" s="21">
        <v>8</v>
      </c>
      <c r="D19" s="22">
        <v>84</v>
      </c>
      <c r="E19" s="22">
        <v>283</v>
      </c>
      <c r="F19" s="22">
        <f t="shared" ca="1" si="8"/>
        <v>124.6511627906977</v>
      </c>
      <c r="G19" s="22">
        <f t="shared" ca="1" si="7"/>
        <v>1367.4418604651164</v>
      </c>
      <c r="H19" s="22">
        <f t="shared" ca="1" si="7"/>
        <v>3685.5813953488378</v>
      </c>
      <c r="Q19" s="12">
        <f ca="1">SUM(C19:L19)</f>
        <v>5552.6744186046517</v>
      </c>
    </row>
    <row r="20" spans="1:19" hidden="1" x14ac:dyDescent="0.2">
      <c r="B20" s="3" t="s">
        <v>18</v>
      </c>
      <c r="C20" s="21">
        <v>7</v>
      </c>
      <c r="D20" s="22">
        <v>85</v>
      </c>
      <c r="E20" s="22">
        <v>430</v>
      </c>
      <c r="F20" s="22">
        <f t="shared" ca="1" si="8"/>
        <v>146.51162790697674</v>
      </c>
      <c r="G20" s="22">
        <f t="shared" ca="1" si="7"/>
        <v>1620.9302325581398</v>
      </c>
      <c r="H20" s="22">
        <f t="shared" ca="1" si="7"/>
        <v>7600.0000000000009</v>
      </c>
      <c r="Q20" s="12">
        <f ca="1">SUM(C20:L20)</f>
        <v>9889.4418604651182</v>
      </c>
    </row>
    <row r="21" spans="1:19" hidden="1" x14ac:dyDescent="0.2">
      <c r="B21" s="10" t="s">
        <v>19</v>
      </c>
      <c r="C21" s="23">
        <f>SUM(C17:C20)</f>
        <v>14.564676224730107</v>
      </c>
      <c r="D21" s="24">
        <f t="shared" ref="D21:H21" si="9">SUM(D17:D20)</f>
        <v>543.72396921233212</v>
      </c>
      <c r="E21" s="24">
        <f t="shared" si="9"/>
        <v>1558.7427100120938</v>
      </c>
      <c r="F21" s="24">
        <f t="shared" ca="1" si="9"/>
        <v>278.28935845333956</v>
      </c>
      <c r="G21" s="24">
        <f t="shared" ca="1" si="9"/>
        <v>7499.9177672188998</v>
      </c>
      <c r="H21" s="24">
        <f t="shared" ca="1" si="9"/>
        <v>30983.318837490559</v>
      </c>
      <c r="I21" s="16"/>
      <c r="J21" s="16"/>
      <c r="K21" s="16"/>
      <c r="L21" s="16"/>
      <c r="M21" s="130"/>
      <c r="N21" s="130"/>
      <c r="O21" s="130"/>
      <c r="P21" s="130"/>
      <c r="Q21" s="12">
        <f ca="1">SUM(C21:L21)</f>
        <v>40878.557318611958</v>
      </c>
    </row>
    <row r="22" spans="1:19" ht="12" hidden="1" thickBot="1" x14ac:dyDescent="0.25">
      <c r="B22" s="3" t="s">
        <v>20</v>
      </c>
      <c r="C22" s="58">
        <f>C16+C21</f>
        <v>42.126736094131587</v>
      </c>
      <c r="D22" s="59">
        <f t="shared" ref="D22:H22" si="10">D16+D21</f>
        <v>1685.4199007586894</v>
      </c>
      <c r="E22" s="59">
        <f t="shared" si="10"/>
        <v>2637.3114785473244</v>
      </c>
      <c r="F22" s="59">
        <f t="shared" ca="1" si="10"/>
        <v>936.45237525034224</v>
      </c>
      <c r="G22" s="59">
        <f t="shared" ca="1" si="10"/>
        <v>19373.023650894072</v>
      </c>
      <c r="H22" s="60">
        <f t="shared" ca="1" si="10"/>
        <v>46518.96211991091</v>
      </c>
      <c r="I22" s="1">
        <f t="shared" ref="I22:L22" si="11">SUM(I16+I21)</f>
        <v>1320</v>
      </c>
      <c r="J22" s="1">
        <f t="shared" si="11"/>
        <v>512</v>
      </c>
      <c r="K22" s="1">
        <f t="shared" si="11"/>
        <v>409</v>
      </c>
      <c r="L22" s="1">
        <f t="shared" si="11"/>
        <v>-18</v>
      </c>
      <c r="M22" s="1"/>
      <c r="N22" s="1"/>
      <c r="O22" s="1"/>
      <c r="P22" s="1"/>
    </row>
    <row r="23" spans="1:19" hidden="1" x14ac:dyDescent="0.2">
      <c r="B23" s="1"/>
    </row>
    <row r="24" spans="1:19" hidden="1" x14ac:dyDescent="0.2"/>
    <row r="25" spans="1:19" x14ac:dyDescent="0.2">
      <c r="C25" s="198" t="s">
        <v>112</v>
      </c>
      <c r="D25" s="198"/>
      <c r="E25" s="198"/>
      <c r="F25" s="198" t="s">
        <v>113</v>
      </c>
      <c r="G25" s="198"/>
      <c r="H25" s="198"/>
      <c r="I25" s="198" t="s">
        <v>112</v>
      </c>
      <c r="J25" s="198"/>
      <c r="K25" s="198"/>
      <c r="L25" s="198"/>
      <c r="M25" s="198" t="s">
        <v>113</v>
      </c>
      <c r="N25" s="198"/>
      <c r="O25" s="198"/>
      <c r="P25" s="198"/>
    </row>
    <row r="26" spans="1:19" x14ac:dyDescent="0.2">
      <c r="B26" s="18" t="s">
        <v>3</v>
      </c>
      <c r="C26" s="189" t="s">
        <v>4</v>
      </c>
      <c r="D26" s="191" t="s">
        <v>21</v>
      </c>
      <c r="E26" s="189" t="s">
        <v>22</v>
      </c>
      <c r="F26" s="189" t="s">
        <v>4</v>
      </c>
      <c r="G26" s="191" t="s">
        <v>21</v>
      </c>
      <c r="H26" s="189" t="s">
        <v>22</v>
      </c>
      <c r="I26" s="189" t="s">
        <v>5</v>
      </c>
      <c r="J26" s="189"/>
      <c r="K26" s="189" t="s">
        <v>6</v>
      </c>
      <c r="L26" s="189" t="s">
        <v>7</v>
      </c>
      <c r="M26" s="189" t="s">
        <v>5</v>
      </c>
      <c r="N26" s="189"/>
      <c r="O26" s="189" t="s">
        <v>6</v>
      </c>
      <c r="P26" s="189" t="s">
        <v>7</v>
      </c>
      <c r="Q26" s="189" t="s">
        <v>2</v>
      </c>
      <c r="S26" s="189" t="s">
        <v>114</v>
      </c>
    </row>
    <row r="27" spans="1:19" ht="23.25" thickBot="1" x14ac:dyDescent="0.25">
      <c r="C27" s="189"/>
      <c r="D27" s="191"/>
      <c r="E27" s="189"/>
      <c r="F27" s="189"/>
      <c r="G27" s="191"/>
      <c r="H27" s="189"/>
      <c r="I27" s="19" t="s">
        <v>9</v>
      </c>
      <c r="J27" s="19" t="s">
        <v>10</v>
      </c>
      <c r="K27" s="189"/>
      <c r="L27" s="189"/>
      <c r="M27" s="19" t="s">
        <v>9</v>
      </c>
      <c r="N27" s="19" t="s">
        <v>10</v>
      </c>
      <c r="O27" s="189"/>
      <c r="P27" s="189"/>
      <c r="Q27" s="193"/>
      <c r="S27" s="189"/>
    </row>
    <row r="28" spans="1:19" x14ac:dyDescent="0.2">
      <c r="A28" s="202" t="s">
        <v>112</v>
      </c>
      <c r="B28" s="3" t="s">
        <v>4</v>
      </c>
      <c r="C28" s="4">
        <v>2.9936087176502038</v>
      </c>
      <c r="D28" s="5">
        <v>21.398341992560255</v>
      </c>
      <c r="E28" s="5">
        <v>1.0034424974772413</v>
      </c>
      <c r="F28" s="117">
        <v>3</v>
      </c>
      <c r="G28" s="5">
        <v>1</v>
      </c>
      <c r="H28" s="5">
        <v>0</v>
      </c>
      <c r="I28" s="6">
        <v>9</v>
      </c>
      <c r="J28" s="6">
        <v>0</v>
      </c>
      <c r="K28" s="6">
        <v>0</v>
      </c>
      <c r="L28" s="6">
        <v>3</v>
      </c>
      <c r="M28" s="6">
        <v>1</v>
      </c>
      <c r="N28" s="6">
        <v>0</v>
      </c>
      <c r="O28" s="6">
        <v>0</v>
      </c>
      <c r="P28" s="66">
        <v>0</v>
      </c>
      <c r="Q28" s="131">
        <f t="shared" ref="Q28:Q33" si="12">SUM(C28:P28)</f>
        <v>42.395393207687704</v>
      </c>
      <c r="S28" s="132">
        <f t="shared" ref="S28:S33" si="13">SUM(I28:P28)</f>
        <v>13</v>
      </c>
    </row>
    <row r="29" spans="1:19" x14ac:dyDescent="0.2">
      <c r="A29" s="202"/>
      <c r="B29" s="3" t="s">
        <v>21</v>
      </c>
      <c r="C29" s="7">
        <v>7.7887571121374384</v>
      </c>
      <c r="D29" s="8">
        <v>470.97668875051545</v>
      </c>
      <c r="E29" s="8">
        <v>142.59715243017723</v>
      </c>
      <c r="F29" s="118">
        <v>12</v>
      </c>
      <c r="G29" s="8">
        <v>100</v>
      </c>
      <c r="H29" s="8">
        <v>460</v>
      </c>
      <c r="I29" s="3">
        <v>255</v>
      </c>
      <c r="J29" s="3">
        <v>7</v>
      </c>
      <c r="K29" s="3">
        <v>248</v>
      </c>
      <c r="L29" s="3">
        <v>-58</v>
      </c>
      <c r="M29" s="3">
        <v>40</v>
      </c>
      <c r="N29" s="3">
        <v>0</v>
      </c>
      <c r="O29" s="3">
        <v>0</v>
      </c>
      <c r="P29" s="9">
        <v>0</v>
      </c>
      <c r="Q29" s="133">
        <f t="shared" si="12"/>
        <v>1685.3625982928302</v>
      </c>
      <c r="S29" s="134">
        <f t="shared" si="13"/>
        <v>492</v>
      </c>
    </row>
    <row r="30" spans="1:19" x14ac:dyDescent="0.2">
      <c r="A30" s="202"/>
      <c r="B30" s="3" t="s">
        <v>22</v>
      </c>
      <c r="C30" s="7">
        <v>9.7796940396138368</v>
      </c>
      <c r="D30" s="8">
        <v>337.32090080328163</v>
      </c>
      <c r="E30" s="8">
        <v>771.96817360757632</v>
      </c>
      <c r="F30" s="119">
        <v>9</v>
      </c>
      <c r="G30" s="120">
        <v>70</v>
      </c>
      <c r="H30" s="120">
        <v>90</v>
      </c>
      <c r="I30" s="3">
        <v>777</v>
      </c>
      <c r="J30" s="3">
        <v>490</v>
      </c>
      <c r="K30" s="3">
        <v>66</v>
      </c>
      <c r="L30" s="3">
        <v>6</v>
      </c>
      <c r="M30" s="3">
        <v>10</v>
      </c>
      <c r="N30" s="3">
        <v>0</v>
      </c>
      <c r="O30" s="3">
        <v>0</v>
      </c>
      <c r="P30" s="9">
        <v>0</v>
      </c>
      <c r="Q30" s="133">
        <f t="shared" si="12"/>
        <v>2637.0687684504719</v>
      </c>
      <c r="S30" s="134">
        <f t="shared" si="13"/>
        <v>1349</v>
      </c>
    </row>
    <row r="31" spans="1:19" x14ac:dyDescent="0.2">
      <c r="A31" s="202" t="s">
        <v>113</v>
      </c>
      <c r="B31" s="3" t="s">
        <v>4</v>
      </c>
      <c r="C31" s="121">
        <v>3</v>
      </c>
      <c r="D31" s="122">
        <v>20</v>
      </c>
      <c r="E31" s="123">
        <v>10</v>
      </c>
      <c r="F31" s="8">
        <v>43.163660580072708</v>
      </c>
      <c r="G31" s="8">
        <v>627.02118396804474</v>
      </c>
      <c r="H31" s="8">
        <v>33.370297009126865</v>
      </c>
      <c r="I31" s="3">
        <v>8</v>
      </c>
      <c r="J31" s="3">
        <v>2</v>
      </c>
      <c r="K31" s="3">
        <v>1</v>
      </c>
      <c r="L31" s="3">
        <v>10</v>
      </c>
      <c r="M31" s="8">
        <v>128</v>
      </c>
      <c r="N31" s="8">
        <v>0</v>
      </c>
      <c r="O31" s="8">
        <v>0</v>
      </c>
      <c r="P31" s="99">
        <v>44.651162790697683</v>
      </c>
      <c r="Q31" s="133">
        <f t="shared" si="12"/>
        <v>930.20630434794191</v>
      </c>
      <c r="S31" s="134">
        <f t="shared" si="13"/>
        <v>193.6511627906977</v>
      </c>
    </row>
    <row r="32" spans="1:19" x14ac:dyDescent="0.2">
      <c r="A32" s="202"/>
      <c r="B32" s="3" t="s">
        <v>21</v>
      </c>
      <c r="C32" s="7">
        <v>1</v>
      </c>
      <c r="D32" s="8">
        <v>250</v>
      </c>
      <c r="E32" s="124">
        <v>10</v>
      </c>
      <c r="F32" s="8">
        <v>264.45547404001536</v>
      </c>
      <c r="G32" s="8">
        <v>16100.830987517622</v>
      </c>
      <c r="H32" s="8">
        <v>2221.8626076329947</v>
      </c>
      <c r="I32" s="3">
        <v>20</v>
      </c>
      <c r="J32" s="3">
        <v>2</v>
      </c>
      <c r="K32" s="3">
        <v>50</v>
      </c>
      <c r="L32" s="3">
        <v>20</v>
      </c>
      <c r="M32" s="8">
        <v>6226.7441860465124</v>
      </c>
      <c r="N32" s="8">
        <v>187.2093023255814</v>
      </c>
      <c r="O32" s="8">
        <v>3000</v>
      </c>
      <c r="P32" s="99">
        <v>-1820.9302325581398</v>
      </c>
      <c r="Q32" s="133">
        <f t="shared" si="12"/>
        <v>26533.17232500458</v>
      </c>
      <c r="S32" s="134">
        <f t="shared" si="13"/>
        <v>7685.0232558139542</v>
      </c>
    </row>
    <row r="33" spans="1:19" ht="12" thickBot="1" x14ac:dyDescent="0.25">
      <c r="A33" s="202"/>
      <c r="B33" s="3" t="s">
        <v>22</v>
      </c>
      <c r="C33" s="125">
        <v>1</v>
      </c>
      <c r="D33" s="120">
        <v>30</v>
      </c>
      <c r="E33" s="126">
        <v>90</v>
      </c>
      <c r="F33" s="8">
        <v>288.84212628626915</v>
      </c>
      <c r="G33" s="8">
        <v>4863.6967092566192</v>
      </c>
      <c r="H33" s="8">
        <v>19568.495563540891</v>
      </c>
      <c r="I33" s="3">
        <v>100</v>
      </c>
      <c r="J33" s="3">
        <v>5</v>
      </c>
      <c r="K33" s="3">
        <v>10</v>
      </c>
      <c r="L33" s="3">
        <v>1</v>
      </c>
      <c r="M33" s="8">
        <v>9576.9767441860477</v>
      </c>
      <c r="N33" s="8">
        <f>10027.9069767442+H42-46166</f>
        <v>9851.7134683236509</v>
      </c>
      <c r="O33" s="8">
        <v>1504.1860465116281</v>
      </c>
      <c r="P33" s="99">
        <v>99.069767441860478</v>
      </c>
      <c r="Q33" s="135">
        <f t="shared" si="12"/>
        <v>45989.980425546964</v>
      </c>
      <c r="S33" s="136">
        <f t="shared" si="13"/>
        <v>21147.946026463185</v>
      </c>
    </row>
    <row r="34" spans="1:19" x14ac:dyDescent="0.2">
      <c r="B34" s="10" t="s">
        <v>11</v>
      </c>
      <c r="C34" s="11">
        <f>SUM(C28:C33)</f>
        <v>25.56205986940148</v>
      </c>
      <c r="D34" s="12">
        <f t="shared" ref="D34:P34" si="14">SUM(D28:D33)</f>
        <v>1129.6959315463573</v>
      </c>
      <c r="E34" s="12">
        <f t="shared" si="14"/>
        <v>1025.5687685352309</v>
      </c>
      <c r="F34" s="12">
        <f t="shared" si="14"/>
        <v>620.46126090635721</v>
      </c>
      <c r="G34" s="12">
        <f t="shared" si="14"/>
        <v>21762.548880742284</v>
      </c>
      <c r="H34" s="12">
        <f t="shared" si="14"/>
        <v>22373.728468183013</v>
      </c>
      <c r="I34" s="13">
        <f t="shared" si="14"/>
        <v>1169</v>
      </c>
      <c r="J34" s="13">
        <f t="shared" si="14"/>
        <v>506</v>
      </c>
      <c r="K34" s="13">
        <f t="shared" si="14"/>
        <v>375</v>
      </c>
      <c r="L34" s="12">
        <f t="shared" si="14"/>
        <v>-18</v>
      </c>
      <c r="M34" s="25">
        <f t="shared" si="14"/>
        <v>15982.720930232561</v>
      </c>
      <c r="N34" s="25">
        <f t="shared" si="14"/>
        <v>10038.922770649233</v>
      </c>
      <c r="O34" s="25">
        <f t="shared" si="14"/>
        <v>4504.1860465116279</v>
      </c>
      <c r="P34" s="137">
        <f t="shared" si="14"/>
        <v>-1677.2093023255816</v>
      </c>
      <c r="Q34" s="25">
        <f>SUM(C34:L34)</f>
        <v>48969.565369782649</v>
      </c>
    </row>
    <row r="35" spans="1:19" x14ac:dyDescent="0.2">
      <c r="B35" s="3" t="s">
        <v>13</v>
      </c>
      <c r="C35" s="15">
        <v>2</v>
      </c>
      <c r="D35" s="14">
        <v>12</v>
      </c>
      <c r="E35" s="14">
        <v>53</v>
      </c>
      <c r="F35" s="8">
        <v>62.790697674418617</v>
      </c>
      <c r="G35" s="22">
        <v>198.13953488372096</v>
      </c>
      <c r="H35" s="22">
        <v>751.8604651162791</v>
      </c>
      <c r="I35" s="3">
        <v>151</v>
      </c>
      <c r="J35" s="3">
        <v>6</v>
      </c>
      <c r="K35" s="3">
        <v>34</v>
      </c>
      <c r="M35" s="3">
        <v>2500</v>
      </c>
      <c r="N35" s="3">
        <v>90</v>
      </c>
      <c r="O35" s="3">
        <v>500</v>
      </c>
      <c r="P35" s="9"/>
      <c r="Q35" s="129">
        <f>SUM(C35:O35)</f>
        <v>4360.7906976744189</v>
      </c>
    </row>
    <row r="36" spans="1:19" x14ac:dyDescent="0.2">
      <c r="B36" s="10" t="s">
        <v>14</v>
      </c>
      <c r="C36" s="11">
        <f t="shared" ref="C36:L36" si="15">SUM(C34:C35)</f>
        <v>27.56205986940148</v>
      </c>
      <c r="D36" s="12">
        <f t="shared" si="15"/>
        <v>1141.6959315463573</v>
      </c>
      <c r="E36" s="12">
        <f t="shared" si="15"/>
        <v>1078.5687685352309</v>
      </c>
      <c r="F36" s="12">
        <f t="shared" si="15"/>
        <v>683.25195858077586</v>
      </c>
      <c r="G36" s="12">
        <f t="shared" si="15"/>
        <v>21960.688415626006</v>
      </c>
      <c r="H36" s="12">
        <f t="shared" si="15"/>
        <v>23125.588933299292</v>
      </c>
      <c r="I36" s="13">
        <f t="shared" si="15"/>
        <v>1320</v>
      </c>
      <c r="J36" s="13">
        <f t="shared" si="15"/>
        <v>512</v>
      </c>
      <c r="K36" s="13">
        <f t="shared" si="15"/>
        <v>409</v>
      </c>
      <c r="L36" s="12">
        <f t="shared" si="15"/>
        <v>-18</v>
      </c>
      <c r="M36" s="12">
        <f t="shared" ref="M36:P36" si="16">SUM(M34:M35)</f>
        <v>18482.720930232561</v>
      </c>
      <c r="N36" s="12">
        <f t="shared" si="16"/>
        <v>10128.922770649233</v>
      </c>
      <c r="O36" s="12">
        <f t="shared" si="16"/>
        <v>5004.1860465116279</v>
      </c>
      <c r="P36" s="138">
        <f t="shared" si="16"/>
        <v>-1677.2093023255816</v>
      </c>
      <c r="Q36" s="12">
        <f>SUM(Q34:Q35)</f>
        <v>53330.356067457069</v>
      </c>
    </row>
    <row r="37" spans="1:19" x14ac:dyDescent="0.2">
      <c r="B37" s="3" t="s">
        <v>15</v>
      </c>
      <c r="C37" s="21">
        <v>5.5646762247301069</v>
      </c>
      <c r="D37" s="22">
        <v>376.72396921233207</v>
      </c>
      <c r="E37" s="22">
        <v>848.74271001209377</v>
      </c>
      <c r="F37" s="22">
        <v>77.646644996234045</v>
      </c>
      <c r="G37" s="22">
        <f>5694.66465088409+Q32-30728</f>
        <v>1499.8369758886693</v>
      </c>
      <c r="H37" s="22">
        <v>9869.1012792103938</v>
      </c>
      <c r="P37" s="9"/>
      <c r="Q37" s="12">
        <f>SUM(C37:L37)</f>
        <v>12677.616255544453</v>
      </c>
    </row>
    <row r="38" spans="1:19" x14ac:dyDescent="0.2">
      <c r="B38" s="3" t="s">
        <v>16</v>
      </c>
      <c r="C38" s="21">
        <v>-6</v>
      </c>
      <c r="D38" s="22">
        <v>-2</v>
      </c>
      <c r="E38" s="22">
        <v>-3</v>
      </c>
      <c r="F38" s="22">
        <v>-103.25581395348838</v>
      </c>
      <c r="G38" s="22">
        <v>-32.093023255813954</v>
      </c>
      <c r="H38" s="22">
        <v>-46.04651162790698</v>
      </c>
      <c r="P38" s="9"/>
      <c r="Q38" s="12">
        <f>SUM(C38:L38)</f>
        <v>-192.39534883720933</v>
      </c>
    </row>
    <row r="39" spans="1:19" x14ac:dyDescent="0.2">
      <c r="B39" s="3" t="s">
        <v>17</v>
      </c>
      <c r="C39" s="21">
        <v>8</v>
      </c>
      <c r="D39" s="22">
        <v>84</v>
      </c>
      <c r="E39" s="22">
        <v>283</v>
      </c>
      <c r="F39" s="22">
        <v>122.79069767441862</v>
      </c>
      <c r="G39" s="22">
        <v>1562.7906976744187</v>
      </c>
      <c r="H39" s="22">
        <v>4541.1627906976746</v>
      </c>
      <c r="P39" s="9"/>
      <c r="Q39" s="12">
        <f>SUM(C39:L39)</f>
        <v>6601.7441860465115</v>
      </c>
    </row>
    <row r="40" spans="1:19" x14ac:dyDescent="0.2">
      <c r="B40" s="3" t="s">
        <v>18</v>
      </c>
      <c r="C40" s="21">
        <v>7</v>
      </c>
      <c r="D40" s="22">
        <v>85</v>
      </c>
      <c r="E40" s="22">
        <v>430</v>
      </c>
      <c r="F40" s="22">
        <v>149.76744186046514</v>
      </c>
      <c r="G40" s="22">
        <v>1541.8604651162793</v>
      </c>
      <c r="H40" s="22">
        <v>8500</v>
      </c>
      <c r="P40" s="9"/>
      <c r="Q40" s="12">
        <f>SUM(C40:L40)</f>
        <v>10713.627906976744</v>
      </c>
    </row>
    <row r="41" spans="1:19" x14ac:dyDescent="0.2">
      <c r="B41" s="10" t="s">
        <v>19</v>
      </c>
      <c r="C41" s="139">
        <f>SUM(C37:C40)</f>
        <v>14.564676224730107</v>
      </c>
      <c r="D41" s="140">
        <f t="shared" ref="D41:H41" si="17">SUM(D37:D40)</f>
        <v>543.72396921233212</v>
      </c>
      <c r="E41" s="140">
        <f t="shared" si="17"/>
        <v>1558.7427100120938</v>
      </c>
      <c r="F41" s="140">
        <f t="shared" si="17"/>
        <v>246.94897057762944</v>
      </c>
      <c r="G41" s="140">
        <f t="shared" si="17"/>
        <v>4572.3951154235538</v>
      </c>
      <c r="H41" s="140">
        <f t="shared" si="17"/>
        <v>22864.217558280161</v>
      </c>
      <c r="I41" s="16"/>
      <c r="J41" s="16"/>
      <c r="K41" s="16"/>
      <c r="L41" s="16"/>
      <c r="M41" s="16"/>
      <c r="N41" s="16"/>
      <c r="O41" s="16"/>
      <c r="P41" s="17"/>
      <c r="Q41" s="12">
        <f>SUM(C41:L41)</f>
        <v>29800.592999730499</v>
      </c>
    </row>
    <row r="42" spans="1:19" ht="12" thickBot="1" x14ac:dyDescent="0.25">
      <c r="B42" s="3" t="s">
        <v>20</v>
      </c>
      <c r="C42" s="141">
        <f>C36+C41</f>
        <v>42.126736094131587</v>
      </c>
      <c r="D42" s="142">
        <f t="shared" ref="D42:H42" si="18">D36+D41</f>
        <v>1685.4199007586894</v>
      </c>
      <c r="E42" s="142">
        <f t="shared" si="18"/>
        <v>2637.3114785473244</v>
      </c>
      <c r="F42" s="142">
        <f t="shared" si="18"/>
        <v>930.2009291584053</v>
      </c>
      <c r="G42" s="142">
        <f t="shared" si="18"/>
        <v>26533.08353104956</v>
      </c>
      <c r="H42" s="135">
        <f t="shared" si="18"/>
        <v>45989.806491579453</v>
      </c>
      <c r="I42" s="1">
        <f t="shared" ref="I42:P42" si="19">SUM(I36+I41)</f>
        <v>1320</v>
      </c>
      <c r="J42" s="1">
        <f t="shared" si="19"/>
        <v>512</v>
      </c>
      <c r="K42" s="1">
        <f t="shared" si="19"/>
        <v>409</v>
      </c>
      <c r="L42" s="1">
        <f t="shared" si="19"/>
        <v>-18</v>
      </c>
      <c r="M42" s="129">
        <f t="shared" si="19"/>
        <v>18482.720930232561</v>
      </c>
      <c r="N42" s="129">
        <f t="shared" si="19"/>
        <v>10128.922770649233</v>
      </c>
      <c r="O42" s="129">
        <f t="shared" si="19"/>
        <v>5004.1860465116279</v>
      </c>
      <c r="P42" s="129">
        <f t="shared" si="19"/>
        <v>-1677.2093023255816</v>
      </c>
    </row>
    <row r="47" spans="1:19" x14ac:dyDescent="0.2">
      <c r="C47" s="198" t="s">
        <v>112</v>
      </c>
      <c r="D47" s="198"/>
      <c r="E47" s="198"/>
      <c r="F47" s="198" t="s">
        <v>113</v>
      </c>
      <c r="G47" s="198"/>
      <c r="H47" s="198"/>
      <c r="I47" s="198" t="s">
        <v>112</v>
      </c>
      <c r="J47" s="198"/>
      <c r="K47" s="198"/>
      <c r="L47" s="198"/>
      <c r="M47" s="198" t="s">
        <v>113</v>
      </c>
      <c r="N47" s="198"/>
      <c r="O47" s="198"/>
      <c r="P47" s="198"/>
    </row>
    <row r="48" spans="1:19" ht="11.25" customHeight="1" x14ac:dyDescent="0.2">
      <c r="B48" s="18" t="s">
        <v>24</v>
      </c>
      <c r="C48" s="189" t="s">
        <v>4</v>
      </c>
      <c r="D48" s="191" t="s">
        <v>21</v>
      </c>
      <c r="E48" s="189" t="s">
        <v>22</v>
      </c>
      <c r="F48" s="189" t="s">
        <v>4</v>
      </c>
      <c r="G48" s="191" t="s">
        <v>21</v>
      </c>
      <c r="H48" s="189" t="s">
        <v>22</v>
      </c>
      <c r="I48" s="189" t="s">
        <v>5</v>
      </c>
      <c r="J48" s="189"/>
      <c r="K48" s="189" t="s">
        <v>6</v>
      </c>
      <c r="L48" s="189" t="s">
        <v>7</v>
      </c>
      <c r="M48" s="189" t="s">
        <v>5</v>
      </c>
      <c r="N48" s="189"/>
      <c r="O48" s="189" t="s">
        <v>6</v>
      </c>
      <c r="P48" s="189" t="s">
        <v>7</v>
      </c>
    </row>
    <row r="49" spans="1:23" ht="22.5" x14ac:dyDescent="0.2">
      <c r="C49" s="189"/>
      <c r="D49" s="191"/>
      <c r="E49" s="189"/>
      <c r="F49" s="189"/>
      <c r="G49" s="191"/>
      <c r="H49" s="189"/>
      <c r="I49" s="19" t="s">
        <v>9</v>
      </c>
      <c r="J49" s="19" t="s">
        <v>10</v>
      </c>
      <c r="K49" s="189"/>
      <c r="L49" s="189"/>
      <c r="M49" s="19" t="s">
        <v>9</v>
      </c>
      <c r="N49" s="19" t="s">
        <v>10</v>
      </c>
      <c r="O49" s="189"/>
      <c r="P49" s="189"/>
      <c r="R49" s="3" t="s">
        <v>60</v>
      </c>
    </row>
    <row r="50" spans="1:23" x14ac:dyDescent="0.2">
      <c r="A50" s="202" t="s">
        <v>112</v>
      </c>
      <c r="B50" s="3" t="s">
        <v>4</v>
      </c>
      <c r="C50" s="143">
        <f t="array" ref="C50:H63">C28:H41/TRANSPOSE(Q28:Q33)</f>
        <v>7.0611651199578032E-2</v>
      </c>
      <c r="D50" s="144">
        <v>1.269658055437772E-2</v>
      </c>
      <c r="E50" s="144">
        <v>3.8051434588369076E-4</v>
      </c>
      <c r="F50" s="145">
        <v>3.2250910211826041E-3</v>
      </c>
      <c r="G50" s="144">
        <v>3.7688670911680265E-5</v>
      </c>
      <c r="H50" s="144">
        <v>0</v>
      </c>
      <c r="I50" s="6"/>
      <c r="J50" s="6"/>
      <c r="K50" s="6"/>
      <c r="L50" s="6"/>
      <c r="M50" s="6"/>
      <c r="N50" s="6"/>
      <c r="O50" s="6"/>
      <c r="P50" s="66"/>
      <c r="R50" s="65">
        <v>1</v>
      </c>
      <c r="S50" s="6">
        <v>0</v>
      </c>
      <c r="T50" s="6">
        <v>0</v>
      </c>
      <c r="U50" s="6">
        <v>0</v>
      </c>
      <c r="V50" s="6">
        <v>0</v>
      </c>
      <c r="W50" s="66">
        <v>0</v>
      </c>
    </row>
    <row r="51" spans="1:23" x14ac:dyDescent="0.2">
      <c r="A51" s="202"/>
      <c r="B51" s="3" t="s">
        <v>21</v>
      </c>
      <c r="C51" s="146">
        <v>0.18371706270022461</v>
      </c>
      <c r="D51" s="89">
        <v>0.27945125234628215</v>
      </c>
      <c r="E51" s="89">
        <v>5.4074112187057828E-2</v>
      </c>
      <c r="F51" s="147">
        <v>1.2900364084730416E-2</v>
      </c>
      <c r="G51" s="89">
        <v>3.7688670911680267E-3</v>
      </c>
      <c r="H51" s="89">
        <v>1.0002178642904459E-2</v>
      </c>
      <c r="P51" s="9"/>
      <c r="R51" s="70">
        <v>0</v>
      </c>
      <c r="S51" s="3">
        <v>1</v>
      </c>
      <c r="T51" s="3">
        <v>0</v>
      </c>
      <c r="U51" s="3">
        <v>0</v>
      </c>
      <c r="V51" s="3">
        <v>0</v>
      </c>
      <c r="W51" s="9">
        <v>0</v>
      </c>
    </row>
    <row r="52" spans="1:23" x14ac:dyDescent="0.2">
      <c r="A52" s="202"/>
      <c r="B52" s="3" t="s">
        <v>22</v>
      </c>
      <c r="C52" s="146">
        <v>0.23067822467655402</v>
      </c>
      <c r="D52" s="89">
        <v>0.200147375493539</v>
      </c>
      <c r="E52" s="89">
        <v>0.29273721749060827</v>
      </c>
      <c r="F52" s="148">
        <v>9.675273063547811E-3</v>
      </c>
      <c r="G52" s="149">
        <v>2.6382069638176187E-3</v>
      </c>
      <c r="H52" s="149">
        <v>1.9569479953508726E-3</v>
      </c>
      <c r="P52" s="9"/>
      <c r="R52" s="70">
        <v>0</v>
      </c>
      <c r="S52" s="3">
        <v>0</v>
      </c>
      <c r="T52" s="3">
        <v>1</v>
      </c>
      <c r="U52" s="3">
        <v>0</v>
      </c>
      <c r="V52" s="3">
        <v>0</v>
      </c>
      <c r="W52" s="9">
        <v>0</v>
      </c>
    </row>
    <row r="53" spans="1:23" x14ac:dyDescent="0.2">
      <c r="A53" s="202" t="s">
        <v>113</v>
      </c>
      <c r="B53" s="3" t="s">
        <v>4</v>
      </c>
      <c r="C53" s="150">
        <v>7.0762405370402362E-2</v>
      </c>
      <c r="D53" s="151">
        <v>1.186688254519163E-2</v>
      </c>
      <c r="E53" s="152">
        <v>3.7920892013278626E-3</v>
      </c>
      <c r="F53" s="89">
        <v>4.6402244726055329E-2</v>
      </c>
      <c r="G53" s="89">
        <v>2.3631595057223769E-2</v>
      </c>
      <c r="H53" s="89">
        <v>7.2559928706971148E-4</v>
      </c>
      <c r="M53" s="8"/>
      <c r="N53" s="8"/>
      <c r="O53" s="8"/>
      <c r="P53" s="99"/>
      <c r="R53" s="70">
        <v>0</v>
      </c>
      <c r="S53" s="3">
        <v>0</v>
      </c>
      <c r="T53" s="3">
        <v>0</v>
      </c>
      <c r="U53" s="3">
        <v>1</v>
      </c>
      <c r="V53" s="3">
        <v>0</v>
      </c>
      <c r="W53" s="9">
        <v>0</v>
      </c>
    </row>
    <row r="54" spans="1:23" x14ac:dyDescent="0.2">
      <c r="A54" s="202"/>
      <c r="B54" s="3" t="s">
        <v>21</v>
      </c>
      <c r="C54" s="146">
        <v>2.3587468456800785E-2</v>
      </c>
      <c r="D54" s="89">
        <v>0.14833603181489538</v>
      </c>
      <c r="E54" s="153">
        <v>3.7920892013278626E-3</v>
      </c>
      <c r="F54" s="89">
        <v>0.28429765827634756</v>
      </c>
      <c r="G54" s="89">
        <v>0.60681892049313568</v>
      </c>
      <c r="H54" s="89">
        <v>4.8311884177249458E-2</v>
      </c>
      <c r="M54" s="8"/>
      <c r="N54" s="8"/>
      <c r="O54" s="8"/>
      <c r="P54" s="99"/>
      <c r="R54" s="70">
        <v>0</v>
      </c>
      <c r="S54" s="3">
        <v>0</v>
      </c>
      <c r="T54" s="3">
        <v>0</v>
      </c>
      <c r="U54" s="3">
        <v>0</v>
      </c>
      <c r="V54" s="3">
        <v>1</v>
      </c>
      <c r="W54" s="9">
        <v>0</v>
      </c>
    </row>
    <row r="55" spans="1:23" x14ac:dyDescent="0.2">
      <c r="A55" s="202"/>
      <c r="B55" s="3" t="s">
        <v>22</v>
      </c>
      <c r="C55" s="154">
        <v>2.3587468456800785E-2</v>
      </c>
      <c r="D55" s="149">
        <v>1.7800323817787445E-2</v>
      </c>
      <c r="E55" s="155">
        <v>3.4128802811950763E-2</v>
      </c>
      <c r="F55" s="89">
        <v>0.31051404934171278</v>
      </c>
      <c r="G55" s="89">
        <v>0.18330626468939498</v>
      </c>
      <c r="H55" s="89">
        <v>0.42549475739004211</v>
      </c>
      <c r="M55" s="8"/>
      <c r="N55" s="8"/>
      <c r="O55" s="8"/>
      <c r="P55" s="99"/>
      <c r="R55" s="74">
        <v>0</v>
      </c>
      <c r="S55" s="75">
        <v>0</v>
      </c>
      <c r="T55" s="75">
        <v>0</v>
      </c>
      <c r="U55" s="75">
        <v>0</v>
      </c>
      <c r="V55" s="75">
        <v>0</v>
      </c>
      <c r="W55" s="76">
        <v>1</v>
      </c>
    </row>
    <row r="56" spans="1:23" x14ac:dyDescent="0.2">
      <c r="B56" s="10" t="s">
        <v>11</v>
      </c>
      <c r="C56" s="156">
        <v>0.60294428086036067</v>
      </c>
      <c r="D56" s="157">
        <v>0.67029844657207338</v>
      </c>
      <c r="E56" s="157">
        <v>0.38890482523815634</v>
      </c>
      <c r="F56" s="157">
        <v>0.66701468051357649</v>
      </c>
      <c r="G56" s="157">
        <v>0.82020154296565173</v>
      </c>
      <c r="H56" s="157">
        <v>0.48649136749261662</v>
      </c>
      <c r="I56" s="13"/>
      <c r="J56" s="13"/>
      <c r="K56" s="13"/>
      <c r="L56" s="12"/>
      <c r="M56" s="25"/>
      <c r="N56" s="25"/>
      <c r="O56" s="25"/>
      <c r="P56" s="137"/>
    </row>
    <row r="57" spans="1:23" x14ac:dyDescent="0.2">
      <c r="B57" s="3" t="s">
        <v>13</v>
      </c>
      <c r="C57" s="158">
        <v>4.717493691360157E-2</v>
      </c>
      <c r="D57" s="159">
        <v>7.1201295271149786E-3</v>
      </c>
      <c r="E57" s="159">
        <v>2.0098072767037671E-2</v>
      </c>
      <c r="F57" s="160">
        <v>6.7501905094519629E-2</v>
      </c>
      <c r="G57" s="159">
        <v>7.4676157248259514E-3</v>
      </c>
      <c r="H57" s="159">
        <v>1.6348353666587521E-2</v>
      </c>
      <c r="P57" s="9"/>
    </row>
    <row r="58" spans="1:23" x14ac:dyDescent="0.2">
      <c r="B58" s="10" t="s">
        <v>14</v>
      </c>
      <c r="C58" s="156">
        <v>0.6501192177739622</v>
      </c>
      <c r="D58" s="157">
        <v>0.67741857609918832</v>
      </c>
      <c r="E58" s="157">
        <v>0.40900289800519402</v>
      </c>
      <c r="F58" s="157">
        <v>0.73451658560809618</v>
      </c>
      <c r="G58" s="157">
        <v>0.82766915869047764</v>
      </c>
      <c r="H58" s="157">
        <v>0.50283972115920417</v>
      </c>
      <c r="I58" s="13"/>
      <c r="J58" s="13"/>
      <c r="K58" s="13"/>
      <c r="L58" s="12"/>
      <c r="M58" s="12"/>
      <c r="N58" s="12"/>
      <c r="O58" s="12"/>
      <c r="P58" s="138"/>
    </row>
    <row r="59" spans="1:23" x14ac:dyDescent="0.2">
      <c r="B59" s="3" t="s">
        <v>15</v>
      </c>
      <c r="C59" s="158">
        <v>0.13125662492313067</v>
      </c>
      <c r="D59" s="159">
        <v>0.22352695473005663</v>
      </c>
      <c r="E59" s="159">
        <v>0.32185080653426063</v>
      </c>
      <c r="F59" s="159">
        <v>8.3472499200769198E-2</v>
      </c>
      <c r="G59" s="159">
        <v>5.6526862205437789E-2</v>
      </c>
      <c r="H59" s="159">
        <v>0.21459242182517235</v>
      </c>
      <c r="P59" s="9"/>
    </row>
    <row r="60" spans="1:23" x14ac:dyDescent="0.2">
      <c r="B60" s="3" t="s">
        <v>16</v>
      </c>
      <c r="C60" s="158">
        <v>-0.14152481074080472</v>
      </c>
      <c r="D60" s="159">
        <v>-1.1866882545191631E-3</v>
      </c>
      <c r="E60" s="159">
        <v>-1.1376267603983587E-3</v>
      </c>
      <c r="F60" s="159">
        <v>-0.11100313282209893</v>
      </c>
      <c r="G60" s="159">
        <v>-1.2095433920492737E-3</v>
      </c>
      <c r="H60" s="159">
        <v>-1.0012292069237023E-3</v>
      </c>
      <c r="P60" s="9"/>
    </row>
    <row r="61" spans="1:23" x14ac:dyDescent="0.2">
      <c r="B61" s="3" t="s">
        <v>17</v>
      </c>
      <c r="C61" s="158">
        <v>0.18869974765440628</v>
      </c>
      <c r="D61" s="159">
        <v>4.9840906689804849E-2</v>
      </c>
      <c r="E61" s="159">
        <v>0.10731612439757851</v>
      </c>
      <c r="F61" s="159">
        <v>0.13200372551817172</v>
      </c>
      <c r="G61" s="159">
        <v>5.8899504308486374E-2</v>
      </c>
      <c r="H61" s="159">
        <v>9.8742437997975427E-2</v>
      </c>
      <c r="P61" s="9"/>
    </row>
    <row r="62" spans="1:23" x14ac:dyDescent="0.2">
      <c r="B62" s="3" t="s">
        <v>18</v>
      </c>
      <c r="C62" s="158">
        <v>0.16511227919760549</v>
      </c>
      <c r="D62" s="159">
        <v>5.043425081706443E-2</v>
      </c>
      <c r="E62" s="159">
        <v>0.16305983565709808</v>
      </c>
      <c r="F62" s="159">
        <v>0.16100454400322459</v>
      </c>
      <c r="G62" s="159">
        <v>5.8110671661497727E-2</v>
      </c>
      <c r="H62" s="159">
        <v>0.1848228662275824</v>
      </c>
      <c r="P62" s="9"/>
    </row>
    <row r="63" spans="1:23" x14ac:dyDescent="0.2">
      <c r="B63" s="10" t="s">
        <v>19</v>
      </c>
      <c r="C63" s="161">
        <v>0.34354384103433777</v>
      </c>
      <c r="D63" s="162">
        <v>0.32261542398240678</v>
      </c>
      <c r="E63" s="162">
        <v>0.59108913982853883</v>
      </c>
      <c r="F63" s="162">
        <v>0.26547763590006657</v>
      </c>
      <c r="G63" s="162">
        <v>0.17232749478337264</v>
      </c>
      <c r="H63" s="162">
        <v>0.49715649684380647</v>
      </c>
      <c r="I63" s="16"/>
      <c r="J63" s="16"/>
      <c r="K63" s="16"/>
      <c r="L63" s="16"/>
      <c r="M63" s="16"/>
      <c r="N63" s="16"/>
      <c r="O63" s="16"/>
      <c r="P63" s="17"/>
    </row>
    <row r="64" spans="1:23" ht="12" thickBot="1" x14ac:dyDescent="0.25">
      <c r="B64" s="3" t="s">
        <v>20</v>
      </c>
      <c r="C64" s="208">
        <f>C58+C63</f>
        <v>0.99366305880829997</v>
      </c>
      <c r="D64" s="163">
        <f t="shared" ref="D64:H64" si="20">D58+D63</f>
        <v>1.000034000081595</v>
      </c>
      <c r="E64" s="163">
        <f t="shared" si="20"/>
        <v>1.0000920378337328</v>
      </c>
      <c r="F64" s="163">
        <f t="shared" si="20"/>
        <v>0.99999422150816275</v>
      </c>
      <c r="G64" s="163">
        <f t="shared" si="20"/>
        <v>0.99999665347385025</v>
      </c>
      <c r="H64" s="164">
        <f t="shared" si="20"/>
        <v>0.99999621800301064</v>
      </c>
      <c r="I64" s="1"/>
      <c r="J64" s="1"/>
      <c r="K64" s="1"/>
      <c r="L64" s="1"/>
      <c r="M64" s="129"/>
      <c r="N64" s="129"/>
      <c r="O64" s="129"/>
      <c r="P64" s="129"/>
    </row>
    <row r="67" spans="1:8" x14ac:dyDescent="0.2">
      <c r="C67" s="198" t="s">
        <v>112</v>
      </c>
      <c r="D67" s="198"/>
      <c r="E67" s="198"/>
      <c r="F67" s="198" t="s">
        <v>113</v>
      </c>
      <c r="G67" s="198"/>
      <c r="H67" s="198"/>
    </row>
    <row r="68" spans="1:8" x14ac:dyDescent="0.2">
      <c r="B68" s="18" t="s">
        <v>44</v>
      </c>
      <c r="C68" s="189" t="s">
        <v>4</v>
      </c>
      <c r="D68" s="191" t="s">
        <v>21</v>
      </c>
      <c r="E68" s="189" t="s">
        <v>22</v>
      </c>
      <c r="F68" s="189" t="s">
        <v>4</v>
      </c>
      <c r="G68" s="191" t="s">
        <v>21</v>
      </c>
      <c r="H68" s="189" t="s">
        <v>22</v>
      </c>
    </row>
    <row r="69" spans="1:8" x14ac:dyDescent="0.2">
      <c r="C69" s="189"/>
      <c r="D69" s="191"/>
      <c r="E69" s="189"/>
      <c r="F69" s="189"/>
      <c r="G69" s="191"/>
      <c r="H69" s="189"/>
    </row>
    <row r="70" spans="1:8" x14ac:dyDescent="0.2">
      <c r="A70" s="202" t="s">
        <v>112</v>
      </c>
      <c r="B70" s="3" t="s">
        <v>4</v>
      </c>
      <c r="C70" s="143">
        <f t="array" ref="C70:H75">R50:W55-C50:H55</f>
        <v>0.92938834880042198</v>
      </c>
      <c r="D70" s="144">
        <v>-1.269658055437772E-2</v>
      </c>
      <c r="E70" s="144">
        <v>-3.8051434588369076E-4</v>
      </c>
      <c r="F70" s="145">
        <v>-3.2250910211826041E-3</v>
      </c>
      <c r="G70" s="144">
        <v>-3.7688670911680265E-5</v>
      </c>
      <c r="H70" s="165">
        <v>0</v>
      </c>
    </row>
    <row r="71" spans="1:8" x14ac:dyDescent="0.2">
      <c r="A71" s="202"/>
      <c r="B71" s="3" t="s">
        <v>21</v>
      </c>
      <c r="C71" s="146">
        <v>-0.18371706270022461</v>
      </c>
      <c r="D71" s="89">
        <v>0.72054874765371779</v>
      </c>
      <c r="E71" s="89">
        <v>-5.4074112187057828E-2</v>
      </c>
      <c r="F71" s="147">
        <v>-1.2900364084730416E-2</v>
      </c>
      <c r="G71" s="89">
        <v>-3.7688670911680267E-3</v>
      </c>
      <c r="H71" s="166">
        <v>-1.0002178642904459E-2</v>
      </c>
    </row>
    <row r="72" spans="1:8" x14ac:dyDescent="0.2">
      <c r="A72" s="202"/>
      <c r="B72" s="3" t="s">
        <v>22</v>
      </c>
      <c r="C72" s="146">
        <v>-0.23067822467655402</v>
      </c>
      <c r="D72" s="89">
        <v>-0.200147375493539</v>
      </c>
      <c r="E72" s="89">
        <v>0.70726278250939179</v>
      </c>
      <c r="F72" s="148">
        <v>-9.675273063547811E-3</v>
      </c>
      <c r="G72" s="149">
        <v>-2.6382069638176187E-3</v>
      </c>
      <c r="H72" s="167">
        <v>-1.9569479953508726E-3</v>
      </c>
    </row>
    <row r="73" spans="1:8" x14ac:dyDescent="0.2">
      <c r="A73" s="202" t="s">
        <v>113</v>
      </c>
      <c r="B73" s="3" t="s">
        <v>4</v>
      </c>
      <c r="C73" s="150">
        <v>-7.0762405370402362E-2</v>
      </c>
      <c r="D73" s="151">
        <v>-1.186688254519163E-2</v>
      </c>
      <c r="E73" s="152">
        <v>-3.7920892013278626E-3</v>
      </c>
      <c r="F73" s="89">
        <v>0.95359775527394464</v>
      </c>
      <c r="G73" s="89">
        <v>-2.3631595057223769E-2</v>
      </c>
      <c r="H73" s="166">
        <v>-7.2559928706971148E-4</v>
      </c>
    </row>
    <row r="74" spans="1:8" x14ac:dyDescent="0.2">
      <c r="A74" s="202"/>
      <c r="B74" s="3" t="s">
        <v>21</v>
      </c>
      <c r="C74" s="146">
        <v>-2.3587468456800785E-2</v>
      </c>
      <c r="D74" s="89">
        <v>-0.14833603181489538</v>
      </c>
      <c r="E74" s="153">
        <v>-3.7920892013278626E-3</v>
      </c>
      <c r="F74" s="89">
        <v>-0.28429765827634756</v>
      </c>
      <c r="G74" s="89">
        <v>0.39318107950686432</v>
      </c>
      <c r="H74" s="166">
        <v>-4.8311884177249458E-2</v>
      </c>
    </row>
    <row r="75" spans="1:8" x14ac:dyDescent="0.2">
      <c r="A75" s="202"/>
      <c r="B75" s="3" t="s">
        <v>22</v>
      </c>
      <c r="C75" s="168">
        <v>-2.3587468456800785E-2</v>
      </c>
      <c r="D75" s="169">
        <v>-1.7800323817787445E-2</v>
      </c>
      <c r="E75" s="170">
        <v>-3.4128802811950763E-2</v>
      </c>
      <c r="F75" s="169">
        <v>-0.31051404934171278</v>
      </c>
      <c r="G75" s="169">
        <v>-0.18330626468939498</v>
      </c>
      <c r="H75" s="171">
        <v>0.57450524260995794</v>
      </c>
    </row>
    <row r="78" spans="1:8" x14ac:dyDescent="0.2">
      <c r="C78" s="198" t="s">
        <v>112</v>
      </c>
      <c r="D78" s="198"/>
      <c r="E78" s="198"/>
      <c r="F78" s="198" t="s">
        <v>113</v>
      </c>
      <c r="G78" s="198"/>
      <c r="H78" s="198"/>
    </row>
    <row r="79" spans="1:8" ht="12" x14ac:dyDescent="0.2">
      <c r="B79" s="18" t="s">
        <v>50</v>
      </c>
      <c r="C79" s="189" t="s">
        <v>4</v>
      </c>
      <c r="D79" s="191" t="s">
        <v>21</v>
      </c>
      <c r="E79" s="189" t="s">
        <v>22</v>
      </c>
      <c r="F79" s="189" t="s">
        <v>4</v>
      </c>
      <c r="G79" s="191" t="s">
        <v>21</v>
      </c>
      <c r="H79" s="189" t="s">
        <v>22</v>
      </c>
    </row>
    <row r="80" spans="1:8" x14ac:dyDescent="0.2">
      <c r="C80" s="189"/>
      <c r="D80" s="191"/>
      <c r="E80" s="189"/>
      <c r="F80" s="189"/>
      <c r="G80" s="191"/>
      <c r="H80" s="189"/>
    </row>
    <row r="81" spans="1:17" x14ac:dyDescent="0.2">
      <c r="A81" s="202" t="s">
        <v>112</v>
      </c>
      <c r="B81" s="3" t="s">
        <v>4</v>
      </c>
      <c r="C81" s="143">
        <f t="array" ref="C81:H86">MINVERSE(C70:H75)</f>
        <v>1.0807982045103619</v>
      </c>
      <c r="D81" s="144">
        <v>1.988035353254777E-2</v>
      </c>
      <c r="E81" s="144">
        <v>2.1490854089356946E-3</v>
      </c>
      <c r="F81" s="145">
        <v>4.311933462951118E-3</v>
      </c>
      <c r="G81" s="144">
        <v>7.6505950210195616E-4</v>
      </c>
      <c r="H81" s="165">
        <v>4.2322102526996661E-4</v>
      </c>
    </row>
    <row r="82" spans="1:17" x14ac:dyDescent="0.2">
      <c r="A82" s="202"/>
      <c r="B82" s="3" t="s">
        <v>21</v>
      </c>
      <c r="C82" s="146">
        <v>0.31514782942055564</v>
      </c>
      <c r="D82" s="89">
        <v>1.4318050424721771</v>
      </c>
      <c r="E82" s="89">
        <v>0.11135589795079713</v>
      </c>
      <c r="F82" s="147">
        <v>3.9545853783580498E-2</v>
      </c>
      <c r="G82" s="89">
        <v>2.9871869453080853E-2</v>
      </c>
      <c r="H82" s="166">
        <v>2.7869107313335077E-2</v>
      </c>
    </row>
    <row r="83" spans="1:17" x14ac:dyDescent="0.2">
      <c r="A83" s="202"/>
      <c r="B83" s="3" t="s">
        <v>22</v>
      </c>
      <c r="C83" s="146">
        <v>0.44463053800687374</v>
      </c>
      <c r="D83" s="89">
        <v>0.4152079612591863</v>
      </c>
      <c r="E83" s="89">
        <v>1.4468613236512036</v>
      </c>
      <c r="F83" s="148">
        <v>3.3024281133221214E-2</v>
      </c>
      <c r="G83" s="149">
        <v>2.2276489368709705E-2</v>
      </c>
      <c r="H83" s="167">
        <v>1.4072279134852627E-2</v>
      </c>
    </row>
    <row r="84" spans="1:17" x14ac:dyDescent="0.2">
      <c r="A84" s="202" t="s">
        <v>113</v>
      </c>
      <c r="B84" s="3" t="s">
        <v>4</v>
      </c>
      <c r="C84" s="150">
        <v>9.305935465270089E-2</v>
      </c>
      <c r="D84" s="151">
        <v>3.6184351122937913E-2</v>
      </c>
      <c r="E84" s="152">
        <v>9.3095892685681192E-3</v>
      </c>
      <c r="F84" s="89">
        <v>1.0725151242616207</v>
      </c>
      <c r="G84" s="89">
        <v>6.8506056882730496E-2</v>
      </c>
      <c r="H84" s="166">
        <v>7.7771503021662408E-3</v>
      </c>
    </row>
    <row r="85" spans="1:17" x14ac:dyDescent="0.2">
      <c r="A85" s="202"/>
      <c r="B85" s="3" t="s">
        <v>21</v>
      </c>
      <c r="C85" s="146">
        <v>0.28246382417013954</v>
      </c>
      <c r="D85" s="89">
        <v>0.60629549995012699</v>
      </c>
      <c r="E85" s="153">
        <v>7.7478141821470864E-2</v>
      </c>
      <c r="F85" s="89">
        <v>0.89784256710631694</v>
      </c>
      <c r="G85" s="89">
        <v>2.7157231965469784</v>
      </c>
      <c r="H85" s="166">
        <v>0.2403269192524834</v>
      </c>
    </row>
    <row r="86" spans="1:17" x14ac:dyDescent="0.2">
      <c r="A86" s="202"/>
      <c r="B86" s="3" t="s">
        <v>22</v>
      </c>
      <c r="C86" s="168">
        <v>0.2209751122742297</v>
      </c>
      <c r="D86" s="169">
        <v>0.28285135100451697</v>
      </c>
      <c r="E86" s="170">
        <v>0.11924259221832523</v>
      </c>
      <c r="F86" s="169">
        <v>0.86952017178648777</v>
      </c>
      <c r="G86" s="169">
        <v>0.90580759634416752</v>
      </c>
      <c r="H86" s="171">
        <v>1.823229099587635</v>
      </c>
    </row>
    <row r="90" spans="1:17" x14ac:dyDescent="0.2">
      <c r="B90" s="1" t="s">
        <v>86</v>
      </c>
      <c r="C90" s="198" t="s">
        <v>112</v>
      </c>
      <c r="D90" s="198"/>
      <c r="E90" s="198"/>
      <c r="F90" s="198" t="s">
        <v>113</v>
      </c>
      <c r="G90" s="198"/>
      <c r="H90" s="198"/>
      <c r="I90" s="198" t="s">
        <v>112</v>
      </c>
      <c r="J90" s="198"/>
      <c r="K90" s="198"/>
      <c r="L90" s="198"/>
      <c r="M90" s="198" t="s">
        <v>113</v>
      </c>
      <c r="N90" s="198"/>
      <c r="O90" s="198"/>
      <c r="P90" s="198"/>
      <c r="Q90" s="189" t="s">
        <v>115</v>
      </c>
    </row>
    <row r="91" spans="1:17" ht="14.25" customHeight="1" x14ac:dyDescent="0.2">
      <c r="B91" s="111" t="s">
        <v>88</v>
      </c>
      <c r="C91" s="189" t="s">
        <v>4</v>
      </c>
      <c r="D91" s="191" t="s">
        <v>21</v>
      </c>
      <c r="E91" s="189" t="s">
        <v>22</v>
      </c>
      <c r="F91" s="189" t="s">
        <v>4</v>
      </c>
      <c r="G91" s="191" t="s">
        <v>21</v>
      </c>
      <c r="H91" s="189" t="s">
        <v>22</v>
      </c>
      <c r="I91" s="189" t="s">
        <v>5</v>
      </c>
      <c r="J91" s="189"/>
      <c r="K91" s="189" t="s">
        <v>6</v>
      </c>
      <c r="L91" s="189" t="s">
        <v>7</v>
      </c>
      <c r="M91" s="189" t="s">
        <v>5</v>
      </c>
      <c r="N91" s="189"/>
      <c r="O91" s="189" t="s">
        <v>6</v>
      </c>
      <c r="P91" s="189" t="s">
        <v>7</v>
      </c>
      <c r="Q91" s="189"/>
    </row>
    <row r="92" spans="1:17" ht="22.5" x14ac:dyDescent="0.2">
      <c r="C92" s="189"/>
      <c r="D92" s="191"/>
      <c r="E92" s="189"/>
      <c r="F92" s="189"/>
      <c r="G92" s="191"/>
      <c r="H92" s="189"/>
      <c r="I92" s="19" t="s">
        <v>9</v>
      </c>
      <c r="J92" s="19" t="s">
        <v>10</v>
      </c>
      <c r="K92" s="189"/>
      <c r="L92" s="189"/>
      <c r="M92" s="19" t="s">
        <v>9</v>
      </c>
      <c r="N92" s="19" t="s">
        <v>10</v>
      </c>
      <c r="O92" s="189"/>
      <c r="P92" s="189"/>
      <c r="Q92" s="189"/>
    </row>
    <row r="93" spans="1:17" x14ac:dyDescent="0.2">
      <c r="B93" s="3" t="s">
        <v>84</v>
      </c>
      <c r="C93" s="65">
        <v>9260</v>
      </c>
      <c r="D93" s="6">
        <v>560055</v>
      </c>
      <c r="E93" s="6">
        <v>117240</v>
      </c>
      <c r="F93" s="172">
        <v>800000</v>
      </c>
      <c r="G93" s="173">
        <v>18000000</v>
      </c>
      <c r="H93" s="174">
        <v>9000000</v>
      </c>
      <c r="I93" s="6">
        <v>222268</v>
      </c>
      <c r="J93" s="6">
        <v>0</v>
      </c>
      <c r="K93" s="6">
        <v>0</v>
      </c>
      <c r="L93" s="6">
        <v>0</v>
      </c>
      <c r="M93" s="6">
        <f>20*I93</f>
        <v>4445360</v>
      </c>
      <c r="N93" s="6">
        <v>0</v>
      </c>
      <c r="O93" s="6">
        <v>0</v>
      </c>
      <c r="P93" s="6">
        <v>0</v>
      </c>
      <c r="Q93" s="113">
        <f>SUM(C93:P93)</f>
        <v>33154183</v>
      </c>
    </row>
    <row r="94" spans="1:17" x14ac:dyDescent="0.2">
      <c r="B94" s="3" t="s">
        <v>87</v>
      </c>
      <c r="C94" s="70">
        <v>1247</v>
      </c>
      <c r="D94" s="3">
        <v>926</v>
      </c>
      <c r="E94" s="3">
        <v>62</v>
      </c>
      <c r="F94" s="70">
        <v>200000</v>
      </c>
      <c r="G94" s="3">
        <v>100000</v>
      </c>
      <c r="H94" s="9">
        <v>5000</v>
      </c>
      <c r="I94" s="3">
        <v>79</v>
      </c>
      <c r="J94" s="3">
        <v>0</v>
      </c>
      <c r="K94" s="3">
        <v>0</v>
      </c>
      <c r="L94" s="3">
        <v>0</v>
      </c>
      <c r="M94" s="3">
        <v>1600</v>
      </c>
      <c r="N94" s="3">
        <v>0</v>
      </c>
      <c r="O94" s="3">
        <v>0</v>
      </c>
      <c r="P94" s="3">
        <v>0</v>
      </c>
      <c r="Q94" s="113">
        <f>SUM(C94:P94)</f>
        <v>308914</v>
      </c>
    </row>
    <row r="95" spans="1:17" x14ac:dyDescent="0.2">
      <c r="B95" s="3" t="s">
        <v>89</v>
      </c>
      <c r="C95" s="74">
        <v>137</v>
      </c>
      <c r="D95" s="75">
        <v>62</v>
      </c>
      <c r="E95" s="75">
        <v>2</v>
      </c>
      <c r="F95" s="74">
        <v>137</v>
      </c>
      <c r="G95" s="75">
        <v>62</v>
      </c>
      <c r="H95" s="76">
        <v>2</v>
      </c>
      <c r="I95" s="75">
        <v>4</v>
      </c>
      <c r="J95" s="75">
        <v>0</v>
      </c>
      <c r="K95" s="75">
        <v>0</v>
      </c>
      <c r="L95" s="75">
        <v>0</v>
      </c>
      <c r="M95" s="75">
        <v>80</v>
      </c>
      <c r="N95" s="75">
        <v>0</v>
      </c>
      <c r="O95" s="75">
        <v>0</v>
      </c>
      <c r="P95" s="75">
        <v>0</v>
      </c>
      <c r="Q95" s="113">
        <f>SUM(C95:P95)</f>
        <v>486</v>
      </c>
    </row>
    <row r="96" spans="1:17" x14ac:dyDescent="0.2">
      <c r="B96" s="3" t="s">
        <v>92</v>
      </c>
      <c r="C96" s="108">
        <f t="array" ref="C96:P96">MMULT(TRANSPOSE(GHG),C93:P95)</f>
        <v>92484</v>
      </c>
      <c r="D96" s="108">
        <v>610015</v>
      </c>
      <c r="E96" s="108">
        <v>119944</v>
      </c>
      <c r="F96" s="108">
        <v>7640826</v>
      </c>
      <c r="G96" s="108">
        <v>21418476</v>
      </c>
      <c r="H96" s="108">
        <v>9170596</v>
      </c>
      <c r="I96" s="108">
        <v>226146</v>
      </c>
      <c r="J96" s="3">
        <v>0</v>
      </c>
      <c r="K96" s="3">
        <v>0</v>
      </c>
      <c r="L96" s="3">
        <v>0</v>
      </c>
      <c r="M96" s="108">
        <v>4523600</v>
      </c>
      <c r="N96" s="3">
        <v>0</v>
      </c>
      <c r="O96" s="3">
        <v>0</v>
      </c>
      <c r="P96" s="3">
        <v>0</v>
      </c>
      <c r="Q96" s="107">
        <f>SUM(C96:P96)</f>
        <v>43802087</v>
      </c>
    </row>
    <row r="100" spans="2:16" ht="14.25" customHeight="1" x14ac:dyDescent="0.2">
      <c r="B100" s="1" t="s">
        <v>96</v>
      </c>
      <c r="C100" s="198" t="s">
        <v>112</v>
      </c>
      <c r="D100" s="198"/>
      <c r="E100" s="198"/>
      <c r="F100" s="198" t="s">
        <v>113</v>
      </c>
      <c r="G100" s="198"/>
      <c r="H100" s="198"/>
      <c r="I100" s="198" t="s">
        <v>112</v>
      </c>
      <c r="J100" s="198"/>
      <c r="K100" s="198"/>
      <c r="L100" s="198"/>
      <c r="M100" s="198" t="s">
        <v>113</v>
      </c>
      <c r="N100" s="198"/>
      <c r="O100" s="198"/>
      <c r="P100" s="198"/>
    </row>
    <row r="101" spans="2:16" ht="14.25" customHeight="1" x14ac:dyDescent="0.2">
      <c r="B101" s="111" t="s">
        <v>97</v>
      </c>
      <c r="C101" s="189" t="s">
        <v>4</v>
      </c>
      <c r="D101" s="191" t="s">
        <v>21</v>
      </c>
      <c r="E101" s="189" t="s">
        <v>22</v>
      </c>
      <c r="F101" s="189" t="s">
        <v>4</v>
      </c>
      <c r="G101" s="191" t="s">
        <v>21</v>
      </c>
      <c r="H101" s="189" t="s">
        <v>22</v>
      </c>
      <c r="I101" s="189" t="s">
        <v>5</v>
      </c>
      <c r="J101" s="189"/>
      <c r="K101" s="189" t="s">
        <v>6</v>
      </c>
      <c r="L101" s="189" t="s">
        <v>7</v>
      </c>
      <c r="M101" s="189" t="s">
        <v>5</v>
      </c>
      <c r="N101" s="189"/>
      <c r="O101" s="189" t="s">
        <v>6</v>
      </c>
      <c r="P101" s="189" t="s">
        <v>7</v>
      </c>
    </row>
    <row r="102" spans="2:16" ht="22.5" x14ac:dyDescent="0.2">
      <c r="C102" s="189"/>
      <c r="D102" s="191"/>
      <c r="E102" s="189"/>
      <c r="F102" s="189"/>
      <c r="G102" s="191"/>
      <c r="H102" s="189"/>
      <c r="I102" s="19" t="s">
        <v>9</v>
      </c>
      <c r="J102" s="19" t="s">
        <v>10</v>
      </c>
      <c r="K102" s="189"/>
      <c r="L102" s="189"/>
      <c r="M102" s="19" t="s">
        <v>9</v>
      </c>
      <c r="N102" s="19" t="s">
        <v>10</v>
      </c>
      <c r="O102" s="189"/>
      <c r="P102" s="189"/>
    </row>
    <row r="103" spans="2:16" x14ac:dyDescent="0.2">
      <c r="B103" s="3" t="s">
        <v>84</v>
      </c>
      <c r="C103" s="175">
        <f t="array" ref="C103:H105">C93:H95/TRANSPOSE(Q28:Q33)</f>
        <v>218.41995790997527</v>
      </c>
      <c r="D103" s="176">
        <v>332.30534519236494</v>
      </c>
      <c r="E103" s="176">
        <v>44.458453796367863</v>
      </c>
      <c r="F103" s="175">
        <v>860.02427231536103</v>
      </c>
      <c r="G103" s="176">
        <v>678.39607641024486</v>
      </c>
      <c r="H103" s="177">
        <v>195.69479953508724</v>
      </c>
      <c r="I103" s="6"/>
      <c r="J103" s="6"/>
      <c r="K103" s="6"/>
      <c r="L103" s="6"/>
      <c r="M103" s="6"/>
      <c r="N103" s="6"/>
      <c r="O103" s="6"/>
      <c r="P103" s="66"/>
    </row>
    <row r="104" spans="2:16" x14ac:dyDescent="0.2">
      <c r="B104" s="3" t="s">
        <v>87</v>
      </c>
      <c r="C104" s="178">
        <v>29.413573165630581</v>
      </c>
      <c r="D104" s="97">
        <v>0.5494366618423725</v>
      </c>
      <c r="E104" s="97">
        <v>2.3510953048232749E-2</v>
      </c>
      <c r="F104" s="178">
        <v>215.00606807884026</v>
      </c>
      <c r="G104" s="97">
        <v>3.7688670911680267</v>
      </c>
      <c r="H104" s="179">
        <v>0.10871933307504847</v>
      </c>
      <c r="P104" s="9"/>
    </row>
    <row r="105" spans="2:16" x14ac:dyDescent="0.2">
      <c r="B105" s="3" t="s">
        <v>89</v>
      </c>
      <c r="C105" s="180">
        <v>3.2314831785817075</v>
      </c>
      <c r="D105" s="181">
        <v>3.6787335890094051E-2</v>
      </c>
      <c r="E105" s="181">
        <v>7.5841784026557245E-4</v>
      </c>
      <c r="F105" s="180">
        <v>0.14727915663400556</v>
      </c>
      <c r="G105" s="181">
        <v>2.3366975965241764E-3</v>
      </c>
      <c r="H105" s="182">
        <v>4.348773323001939E-5</v>
      </c>
      <c r="I105" s="75"/>
      <c r="J105" s="75"/>
      <c r="K105" s="75"/>
      <c r="L105" s="75"/>
      <c r="M105" s="75"/>
      <c r="N105" s="75"/>
      <c r="O105" s="75"/>
      <c r="P105" s="76"/>
    </row>
    <row r="106" spans="2:16" x14ac:dyDescent="0.2">
      <c r="B106" s="3" t="s">
        <v>92</v>
      </c>
      <c r="C106" s="115">
        <f t="array" ref="C106:H106">MMULT(TRANSPOSE(GHG),C103:H105)</f>
        <v>2181.4634327587637</v>
      </c>
      <c r="D106" s="115">
        <v>361.94881779025366</v>
      </c>
      <c r="E106" s="115">
        <v>45.483834716406918</v>
      </c>
      <c r="F106" s="115">
        <v>8214.1197756728634</v>
      </c>
      <c r="G106" s="115">
        <v>807.23389339372193</v>
      </c>
      <c r="H106" s="115">
        <v>199.40421620414145</v>
      </c>
    </row>
    <row r="110" spans="2:16" x14ac:dyDescent="0.2">
      <c r="B110" s="1" t="s">
        <v>96</v>
      </c>
      <c r="C110" s="198" t="s">
        <v>112</v>
      </c>
      <c r="D110" s="198"/>
      <c r="E110" s="198"/>
      <c r="F110" s="198" t="s">
        <v>113</v>
      </c>
      <c r="G110" s="198"/>
      <c r="H110" s="198"/>
      <c r="I110" s="198" t="s">
        <v>112</v>
      </c>
      <c r="J110" s="198"/>
      <c r="K110" s="198"/>
      <c r="L110" s="198"/>
      <c r="M110" s="198" t="s">
        <v>113</v>
      </c>
      <c r="N110" s="198"/>
      <c r="O110" s="198"/>
      <c r="P110" s="198"/>
    </row>
    <row r="111" spans="2:16" ht="14.25" x14ac:dyDescent="0.2">
      <c r="B111" s="111" t="s">
        <v>101</v>
      </c>
      <c r="C111" s="189" t="s">
        <v>4</v>
      </c>
      <c r="D111" s="191" t="s">
        <v>21</v>
      </c>
      <c r="E111" s="189" t="s">
        <v>22</v>
      </c>
      <c r="F111" s="189" t="s">
        <v>4</v>
      </c>
      <c r="G111" s="191" t="s">
        <v>21</v>
      </c>
      <c r="H111" s="189" t="s">
        <v>22</v>
      </c>
      <c r="I111" s="189" t="s">
        <v>5</v>
      </c>
      <c r="J111" s="189"/>
      <c r="K111" s="189" t="s">
        <v>6</v>
      </c>
      <c r="L111" s="189" t="s">
        <v>7</v>
      </c>
      <c r="M111" s="189" t="s">
        <v>5</v>
      </c>
      <c r="N111" s="189"/>
      <c r="O111" s="189" t="s">
        <v>6</v>
      </c>
      <c r="P111" s="189" t="s">
        <v>7</v>
      </c>
    </row>
    <row r="112" spans="2:16" ht="22.5" x14ac:dyDescent="0.2">
      <c r="C112" s="189"/>
      <c r="D112" s="191"/>
      <c r="E112" s="189"/>
      <c r="F112" s="189"/>
      <c r="G112" s="191"/>
      <c r="H112" s="189"/>
      <c r="I112" s="19" t="s">
        <v>9</v>
      </c>
      <c r="J112" s="19" t="s">
        <v>10</v>
      </c>
      <c r="K112" s="189"/>
      <c r="L112" s="189"/>
      <c r="M112" s="19" t="s">
        <v>9</v>
      </c>
      <c r="N112" s="19" t="s">
        <v>10</v>
      </c>
      <c r="O112" s="189"/>
      <c r="P112" s="189"/>
    </row>
    <row r="113" spans="2:16" x14ac:dyDescent="0.2">
      <c r="B113" s="3" t="s">
        <v>84</v>
      </c>
      <c r="C113" s="175">
        <f t="array" ref="C113:H115">MMULT(C103:H105,C81:H86)</f>
        <v>675.46012692191607</v>
      </c>
      <c r="D113" s="176">
        <v>996.3786858183455</v>
      </c>
      <c r="E113" s="176">
        <v>185.7012758953156</v>
      </c>
      <c r="F113" s="175">
        <v>1717.1938091537054</v>
      </c>
      <c r="G113" s="176">
        <v>2089.5987332851932</v>
      </c>
      <c r="H113" s="177">
        <v>536.50095527250744</v>
      </c>
      <c r="I113" s="6"/>
      <c r="J113" s="6"/>
      <c r="K113" s="6"/>
      <c r="L113" s="6"/>
      <c r="M113" s="6"/>
      <c r="N113" s="6"/>
      <c r="O113" s="6"/>
      <c r="P113" s="66"/>
    </row>
    <row r="114" spans="2:16" x14ac:dyDescent="0.2">
      <c r="B114" s="3" t="s">
        <v>87</v>
      </c>
      <c r="C114" s="178">
        <v>53.070663344758778</v>
      </c>
      <c r="D114" s="97">
        <v>11.476853979468538</v>
      </c>
      <c r="E114" s="97">
        <v>2.4649993605688367</v>
      </c>
      <c r="F114" s="178">
        <v>234.22497652458219</v>
      </c>
      <c r="G114" s="97">
        <v>25.102336087269709</v>
      </c>
      <c r="H114" s="179">
        <v>2.8042065807463952</v>
      </c>
      <c r="P114" s="9"/>
    </row>
    <row r="115" spans="2:16" x14ac:dyDescent="0.2">
      <c r="B115" s="3" t="s">
        <v>89</v>
      </c>
      <c r="C115" s="180">
        <v>3.5188872276207563</v>
      </c>
      <c r="D115" s="181">
        <v>0.12398845269482731</v>
      </c>
      <c r="E115" s="181">
        <v>1.3695882643718569E-2</v>
      </c>
      <c r="F115" s="180">
        <v>0.17550869627121099</v>
      </c>
      <c r="G115" s="181">
        <v>2.0062807961161389E-2</v>
      </c>
      <c r="H115" s="182">
        <v>4.1898060760401628E-3</v>
      </c>
      <c r="I115" s="75"/>
      <c r="J115" s="75"/>
      <c r="K115" s="75"/>
      <c r="L115" s="75"/>
      <c r="M115" s="75"/>
      <c r="N115" s="75"/>
      <c r="O115" s="75"/>
      <c r="P115" s="76"/>
    </row>
    <row r="116" spans="2:16" x14ac:dyDescent="0.2">
      <c r="B116" s="3" t="s">
        <v>92</v>
      </c>
      <c r="C116" s="115">
        <f t="array" ref="C116:H116">MMULT(TRANSPOSE(GHG),C113:H115)</f>
        <v>3528.4910744747003</v>
      </c>
      <c r="D116" s="115">
        <v>1423.5402800233344</v>
      </c>
      <c r="E116" s="115">
        <v>273.59262718248419</v>
      </c>
      <c r="F116" s="115">
        <v>9733.1446024783199</v>
      </c>
      <c r="G116" s="115">
        <v>2949.0568770247896</v>
      </c>
      <c r="H116" s="115">
        <v>633.09254122854486</v>
      </c>
    </row>
    <row r="120" spans="2:16" x14ac:dyDescent="0.2">
      <c r="B120" s="1" t="s">
        <v>104</v>
      </c>
      <c r="C120" s="198" t="s">
        <v>112</v>
      </c>
      <c r="D120" s="198"/>
      <c r="E120" s="198"/>
      <c r="F120" s="198" t="s">
        <v>113</v>
      </c>
      <c r="G120" s="198"/>
      <c r="H120" s="198"/>
    </row>
    <row r="121" spans="2:16" ht="14.25" customHeight="1" x14ac:dyDescent="0.2">
      <c r="B121" s="111" t="s">
        <v>105</v>
      </c>
      <c r="C121" s="189" t="s">
        <v>4</v>
      </c>
      <c r="D121" s="191" t="s">
        <v>21</v>
      </c>
      <c r="E121" s="189" t="s">
        <v>22</v>
      </c>
      <c r="F121" s="189" t="s">
        <v>4</v>
      </c>
      <c r="G121" s="191" t="s">
        <v>21</v>
      </c>
      <c r="H121" s="189" t="s">
        <v>22</v>
      </c>
    </row>
    <row r="122" spans="2:16" x14ac:dyDescent="0.2">
      <c r="C122" s="189"/>
      <c r="D122" s="191"/>
      <c r="E122" s="189"/>
      <c r="F122" s="189"/>
      <c r="G122" s="191"/>
      <c r="H122" s="189"/>
    </row>
    <row r="123" spans="2:16" x14ac:dyDescent="0.2">
      <c r="B123" s="3" t="s">
        <v>84</v>
      </c>
      <c r="C123" s="4">
        <f t="array" ref="C123:H125">C113:H115*TRANSPOSE(S28:S33)</f>
        <v>8780.9816499849094</v>
      </c>
      <c r="D123" s="5">
        <v>490218.313422626</v>
      </c>
      <c r="E123" s="5">
        <v>250511.02118278074</v>
      </c>
      <c r="F123" s="4">
        <v>332536.5778796025</v>
      </c>
      <c r="G123" s="5">
        <v>16058614.86061609</v>
      </c>
      <c r="H123" s="98">
        <v>11345893.245248927</v>
      </c>
    </row>
    <row r="124" spans="2:16" x14ac:dyDescent="0.2">
      <c r="B124" s="3" t="s">
        <v>87</v>
      </c>
      <c r="C124" s="7">
        <v>689.91862348186407</v>
      </c>
      <c r="D124" s="8">
        <v>5646.6121578985212</v>
      </c>
      <c r="E124" s="8">
        <v>3325.284137407361</v>
      </c>
      <c r="F124" s="7">
        <v>45357.939058609212</v>
      </c>
      <c r="G124" s="8">
        <v>192912.03660592556</v>
      </c>
      <c r="H124" s="99">
        <v>59303.209416677644</v>
      </c>
    </row>
    <row r="125" spans="2:16" x14ac:dyDescent="0.2">
      <c r="B125" s="3" t="s">
        <v>89</v>
      </c>
      <c r="C125" s="100">
        <v>45.745533959069832</v>
      </c>
      <c r="D125" s="101">
        <v>61.002318725855034</v>
      </c>
      <c r="E125" s="101">
        <v>18.475745686376349</v>
      </c>
      <c r="F125" s="100">
        <v>33.987463112799396</v>
      </c>
      <c r="G125" s="101">
        <v>154.1831457584546</v>
      </c>
      <c r="H125" s="102">
        <v>88.605792757444874</v>
      </c>
    </row>
    <row r="126" spans="2:16" x14ac:dyDescent="0.2">
      <c r="B126" s="3" t="s">
        <v>92</v>
      </c>
      <c r="C126" s="115">
        <f t="array" ref="C126:H126">MMULT(TRANSPOSE(GHG),C123:H125)</f>
        <v>45870.383968171096</v>
      </c>
      <c r="D126" s="115">
        <v>700381.81777148054</v>
      </c>
      <c r="E126" s="115">
        <v>369076.45406917116</v>
      </c>
      <c r="F126" s="115">
        <v>1884834.76987993</v>
      </c>
      <c r="G126" s="115">
        <v>22663570.68265358</v>
      </c>
      <c r="H126" s="115">
        <v>13388606.891657684</v>
      </c>
    </row>
    <row r="129" spans="1:10" ht="14.25" x14ac:dyDescent="0.2">
      <c r="B129" s="105" t="s">
        <v>119</v>
      </c>
      <c r="C129" s="31"/>
      <c r="D129" s="31"/>
      <c r="E129" s="31"/>
      <c r="F129" s="31"/>
      <c r="G129" s="31"/>
      <c r="H129" s="31"/>
    </row>
    <row r="130" spans="1:10" x14ac:dyDescent="0.2">
      <c r="C130" s="26"/>
      <c r="D130" s="26"/>
      <c r="E130" s="26"/>
      <c r="F130" s="26"/>
      <c r="G130" s="26"/>
      <c r="H130" s="26"/>
    </row>
    <row r="131" spans="1:10" x14ac:dyDescent="0.2">
      <c r="B131" s="1" t="s">
        <v>121</v>
      </c>
      <c r="C131" s="198" t="s">
        <v>112</v>
      </c>
      <c r="D131" s="198"/>
      <c r="E131" s="198"/>
      <c r="F131" s="198" t="s">
        <v>113</v>
      </c>
      <c r="G131" s="198"/>
      <c r="H131" s="198"/>
      <c r="I131" s="1" t="s">
        <v>112</v>
      </c>
      <c r="J131" s="1" t="s">
        <v>113</v>
      </c>
    </row>
    <row r="132" spans="1:10" ht="14.25" x14ac:dyDescent="0.2">
      <c r="B132" s="111" t="s">
        <v>122</v>
      </c>
      <c r="C132" s="189" t="s">
        <v>4</v>
      </c>
      <c r="D132" s="191" t="s">
        <v>21</v>
      </c>
      <c r="E132" s="189" t="s">
        <v>22</v>
      </c>
      <c r="F132" s="189" t="s">
        <v>4</v>
      </c>
      <c r="G132" s="191" t="s">
        <v>21</v>
      </c>
      <c r="H132" s="189" t="s">
        <v>22</v>
      </c>
      <c r="I132" s="199" t="s">
        <v>116</v>
      </c>
      <c r="J132" s="199" t="s">
        <v>116</v>
      </c>
    </row>
    <row r="133" spans="1:10" x14ac:dyDescent="0.2">
      <c r="C133" s="189"/>
      <c r="D133" s="191"/>
      <c r="E133" s="189"/>
      <c r="F133" s="189"/>
      <c r="G133" s="191"/>
      <c r="H133" s="189"/>
      <c r="I133" s="199"/>
      <c r="J133" s="199"/>
    </row>
    <row r="134" spans="1:10" x14ac:dyDescent="0.2">
      <c r="A134" s="202" t="s">
        <v>112</v>
      </c>
      <c r="B134" s="3" t="s">
        <v>4</v>
      </c>
      <c r="C134" s="4">
        <f t="array" ref="C134:H139">TRANSPOSE(C106:H106)*C81:H86*TRANSPOSE(S28:S33)/1000</f>
        <v>30.650382897298876</v>
      </c>
      <c r="D134" s="5">
        <v>21.337186016692179</v>
      </c>
      <c r="E134" s="5">
        <v>6.3243160139491836</v>
      </c>
      <c r="F134" s="117">
        <v>1.8215458075163862</v>
      </c>
      <c r="G134" s="5">
        <v>12.825914396303601</v>
      </c>
      <c r="H134" s="98">
        <v>19.524654868239779</v>
      </c>
      <c r="I134" s="6"/>
      <c r="J134" s="66"/>
    </row>
    <row r="135" spans="1:10" x14ac:dyDescent="0.2">
      <c r="A135" s="202"/>
      <c r="B135" s="3" t="s">
        <v>21</v>
      </c>
      <c r="C135" s="7">
        <v>1.4828759957431503</v>
      </c>
      <c r="D135" s="8">
        <v>254.97415007503275</v>
      </c>
      <c r="E135" s="8">
        <v>54.37162794768799</v>
      </c>
      <c r="F135" s="118">
        <v>2.7718404473747738</v>
      </c>
      <c r="G135" s="8">
        <v>83.091146446098222</v>
      </c>
      <c r="H135" s="99">
        <v>213.3233590880632</v>
      </c>
      <c r="J135" s="9"/>
    </row>
    <row r="136" spans="1:10" x14ac:dyDescent="0.2">
      <c r="A136" s="202"/>
      <c r="B136" s="3" t="s">
        <v>22</v>
      </c>
      <c r="C136" s="7">
        <v>0.2629055247074325</v>
      </c>
      <c r="D136" s="8">
        <v>9.2915431391617656</v>
      </c>
      <c r="E136" s="8">
        <v>88.776072957090136</v>
      </c>
      <c r="F136" s="119">
        <v>0.29087778503364797</v>
      </c>
      <c r="G136" s="120">
        <v>7.7866204967649733</v>
      </c>
      <c r="H136" s="187">
        <v>13.535980097242035</v>
      </c>
      <c r="J136" s="9"/>
    </row>
    <row r="137" spans="1:10" x14ac:dyDescent="0.2">
      <c r="A137" s="202" t="s">
        <v>113</v>
      </c>
      <c r="B137" s="3" t="s">
        <v>4</v>
      </c>
      <c r="C137" s="121">
        <v>9.9372089097333625</v>
      </c>
      <c r="D137" s="122">
        <v>146.23351631137692</v>
      </c>
      <c r="E137" s="123">
        <v>103.15813969304095</v>
      </c>
      <c r="F137" s="8">
        <v>1706.021757453444</v>
      </c>
      <c r="G137" s="8">
        <v>4324.4928978642556</v>
      </c>
      <c r="H137" s="99">
        <v>1350.9824797681536</v>
      </c>
      <c r="J137" s="9"/>
    </row>
    <row r="138" spans="1:10" x14ac:dyDescent="0.2">
      <c r="A138" s="202"/>
      <c r="B138" s="3" t="s">
        <v>21</v>
      </c>
      <c r="C138" s="7">
        <v>2.9641868428606384</v>
      </c>
      <c r="D138" s="8">
        <v>240.79576027014241</v>
      </c>
      <c r="E138" s="124">
        <v>84.370482819791334</v>
      </c>
      <c r="F138" s="8">
        <v>140.35235013507955</v>
      </c>
      <c r="G138" s="8">
        <v>16847.290956636742</v>
      </c>
      <c r="H138" s="99">
        <v>4102.7022632953949</v>
      </c>
      <c r="J138" s="9"/>
    </row>
    <row r="139" spans="1:10" x14ac:dyDescent="0.2">
      <c r="A139" s="202"/>
      <c r="B139" s="3" t="s">
        <v>22</v>
      </c>
      <c r="C139" s="100">
        <v>0.57282379782764403</v>
      </c>
      <c r="D139" s="101">
        <v>27.749661959074398</v>
      </c>
      <c r="E139" s="188">
        <v>32.075814637611572</v>
      </c>
      <c r="F139" s="101">
        <v>33.576398251481621</v>
      </c>
      <c r="G139" s="101">
        <v>1388.0831468134147</v>
      </c>
      <c r="H139" s="102">
        <v>7688.5381545405908</v>
      </c>
      <c r="J139" s="9"/>
    </row>
    <row r="140" spans="1:10" x14ac:dyDescent="0.2">
      <c r="A140" s="1" t="s">
        <v>112</v>
      </c>
      <c r="B140" s="3" t="s">
        <v>116</v>
      </c>
      <c r="C140" s="7"/>
      <c r="D140" s="8"/>
      <c r="E140" s="8"/>
      <c r="F140" s="8"/>
      <c r="G140" s="8"/>
      <c r="H140" s="8"/>
      <c r="I140" s="3">
        <f>I96/1000</f>
        <v>226.14599999999999</v>
      </c>
      <c r="J140" s="9"/>
    </row>
    <row r="141" spans="1:10" x14ac:dyDescent="0.2">
      <c r="A141" s="1" t="s">
        <v>113</v>
      </c>
      <c r="B141" s="3" t="s">
        <v>116</v>
      </c>
      <c r="C141" s="100"/>
      <c r="D141" s="101"/>
      <c r="E141" s="101"/>
      <c r="F141" s="101"/>
      <c r="G141" s="101"/>
      <c r="H141" s="101"/>
      <c r="I141" s="75"/>
      <c r="J141" s="76">
        <f>M96/1000</f>
        <v>4523.6000000000004</v>
      </c>
    </row>
    <row r="143" spans="1:10" ht="14.25" x14ac:dyDescent="0.2">
      <c r="B143" s="105" t="s">
        <v>120</v>
      </c>
      <c r="C143" s="31"/>
      <c r="D143" s="31"/>
      <c r="E143" s="31"/>
      <c r="F143" s="31"/>
      <c r="G143" s="31"/>
      <c r="H143" s="31"/>
    </row>
    <row r="146" spans="1:10" x14ac:dyDescent="0.2">
      <c r="C146" s="198" t="s">
        <v>112</v>
      </c>
      <c r="D146" s="198"/>
      <c r="E146" s="198"/>
      <c r="F146" s="198"/>
      <c r="G146" s="198" t="s">
        <v>113</v>
      </c>
      <c r="H146" s="198"/>
      <c r="I146" s="198"/>
      <c r="J146" s="198"/>
    </row>
    <row r="147" spans="1:10" ht="22.5" customHeight="1" x14ac:dyDescent="0.2">
      <c r="C147" s="19" t="s">
        <v>9</v>
      </c>
      <c r="D147" s="19" t="s">
        <v>10</v>
      </c>
      <c r="E147" s="19" t="s">
        <v>6</v>
      </c>
      <c r="F147" s="19" t="s">
        <v>7</v>
      </c>
      <c r="G147" s="19" t="s">
        <v>9</v>
      </c>
      <c r="H147" s="19" t="s">
        <v>10</v>
      </c>
      <c r="I147" s="19" t="s">
        <v>6</v>
      </c>
      <c r="J147" s="19" t="s">
        <v>7</v>
      </c>
    </row>
    <row r="148" spans="1:10" x14ac:dyDescent="0.2">
      <c r="A148" s="202" t="s">
        <v>112</v>
      </c>
      <c r="B148" s="3" t="s">
        <v>4</v>
      </c>
      <c r="C148" s="4">
        <f t="array" ref="C148:J153">TRANSPOSE(C116:H116)*I28:P33/1000</f>
        <v>31.756419670272301</v>
      </c>
      <c r="D148" s="5">
        <v>0</v>
      </c>
      <c r="E148" s="5">
        <v>0</v>
      </c>
      <c r="F148" s="98">
        <v>10.585473223424103</v>
      </c>
      <c r="G148" s="5">
        <v>3.5284910744747005</v>
      </c>
      <c r="H148" s="5">
        <v>0</v>
      </c>
      <c r="I148" s="5">
        <v>0</v>
      </c>
      <c r="J148" s="98">
        <v>0</v>
      </c>
    </row>
    <row r="149" spans="1:10" x14ac:dyDescent="0.2">
      <c r="A149" s="202"/>
      <c r="B149" s="3" t="s">
        <v>21</v>
      </c>
      <c r="C149" s="7">
        <v>363.00277140595023</v>
      </c>
      <c r="D149" s="8">
        <v>9.9647819601633394</v>
      </c>
      <c r="E149" s="8">
        <v>353.03798944578693</v>
      </c>
      <c r="F149" s="99">
        <v>-82.565336241353393</v>
      </c>
      <c r="G149" s="8">
        <v>56.941611200933373</v>
      </c>
      <c r="H149" s="8">
        <v>0</v>
      </c>
      <c r="I149" s="8">
        <v>0</v>
      </c>
      <c r="J149" s="99">
        <v>0</v>
      </c>
    </row>
    <row r="150" spans="1:10" x14ac:dyDescent="0.2">
      <c r="A150" s="202"/>
      <c r="B150" s="3" t="s">
        <v>22</v>
      </c>
      <c r="C150" s="100">
        <v>212.5814713207902</v>
      </c>
      <c r="D150" s="101">
        <v>134.06038731941726</v>
      </c>
      <c r="E150" s="101">
        <v>18.057113394043959</v>
      </c>
      <c r="F150" s="102">
        <v>1.6415557630949051</v>
      </c>
      <c r="G150" s="8">
        <v>2.7359262718248418</v>
      </c>
      <c r="H150" s="8">
        <v>0</v>
      </c>
      <c r="I150" s="8">
        <v>0</v>
      </c>
      <c r="J150" s="99">
        <v>0</v>
      </c>
    </row>
    <row r="151" spans="1:10" x14ac:dyDescent="0.2">
      <c r="A151" s="202" t="s">
        <v>113</v>
      </c>
      <c r="B151" s="3" t="s">
        <v>4</v>
      </c>
      <c r="C151" s="7">
        <v>77.865156819826566</v>
      </c>
      <c r="D151" s="8">
        <v>19.466289204956642</v>
      </c>
      <c r="E151" s="8">
        <v>9.7331446024783208</v>
      </c>
      <c r="F151" s="8">
        <v>97.331446024783205</v>
      </c>
      <c r="G151" s="4">
        <v>1245.8425091172251</v>
      </c>
      <c r="H151" s="5">
        <v>0</v>
      </c>
      <c r="I151" s="5">
        <v>0</v>
      </c>
      <c r="J151" s="98">
        <v>434.59622411065999</v>
      </c>
    </row>
    <row r="152" spans="1:10" x14ac:dyDescent="0.2">
      <c r="A152" s="202"/>
      <c r="B152" s="3" t="s">
        <v>21</v>
      </c>
      <c r="C152" s="7">
        <v>58.981137540495794</v>
      </c>
      <c r="D152" s="8">
        <v>5.8981137540495796</v>
      </c>
      <c r="E152" s="8">
        <v>147.45284385123949</v>
      </c>
      <c r="F152" s="8">
        <v>58.981137540495794</v>
      </c>
      <c r="G152" s="7">
        <v>18363.022763334593</v>
      </c>
      <c r="H152" s="8">
        <v>552.0908804662688</v>
      </c>
      <c r="I152" s="8">
        <v>8847.1706310743684</v>
      </c>
      <c r="J152" s="99">
        <v>-5370.0268249079318</v>
      </c>
    </row>
    <row r="153" spans="1:10" x14ac:dyDescent="0.2">
      <c r="A153" s="202"/>
      <c r="B153" s="3" t="s">
        <v>22</v>
      </c>
      <c r="C153" s="7">
        <v>63.30925412285449</v>
      </c>
      <c r="D153" s="8">
        <v>3.1654627061427245</v>
      </c>
      <c r="E153" s="8">
        <v>6.330925412285449</v>
      </c>
      <c r="F153" s="8">
        <v>0.63309254122854486</v>
      </c>
      <c r="G153" s="100">
        <v>6063.1125442634202</v>
      </c>
      <c r="H153" s="101">
        <v>6237.0463151165013</v>
      </c>
      <c r="I153" s="101">
        <v>952.28896666656476</v>
      </c>
      <c r="J153" s="102">
        <v>62.720330828688404</v>
      </c>
    </row>
    <row r="154" spans="1:10" x14ac:dyDescent="0.2">
      <c r="A154" s="1" t="s">
        <v>112</v>
      </c>
      <c r="B154" s="3" t="s">
        <v>116</v>
      </c>
      <c r="C154" s="183">
        <f>I96/1000</f>
        <v>226.14599999999999</v>
      </c>
      <c r="D154" s="184">
        <v>0</v>
      </c>
      <c r="E154" s="184">
        <v>0</v>
      </c>
      <c r="F154" s="185">
        <v>0</v>
      </c>
      <c r="G154" s="6">
        <v>0</v>
      </c>
      <c r="H154" s="6">
        <v>0</v>
      </c>
      <c r="I154" s="6">
        <v>0</v>
      </c>
      <c r="J154" s="66">
        <v>0</v>
      </c>
    </row>
    <row r="155" spans="1:10" x14ac:dyDescent="0.2">
      <c r="A155" s="1" t="s">
        <v>113</v>
      </c>
      <c r="B155" s="3" t="s">
        <v>116</v>
      </c>
      <c r="C155" s="74">
        <v>0</v>
      </c>
      <c r="D155" s="75">
        <v>0</v>
      </c>
      <c r="E155" s="75">
        <v>0</v>
      </c>
      <c r="F155" s="75">
        <v>0</v>
      </c>
      <c r="G155" s="186">
        <f>M96/1000</f>
        <v>4523.6000000000004</v>
      </c>
      <c r="H155" s="184">
        <v>0</v>
      </c>
      <c r="I155" s="184">
        <v>0</v>
      </c>
      <c r="J155" s="185">
        <v>0</v>
      </c>
    </row>
  </sheetData>
  <mergeCells count="150">
    <mergeCell ref="C4:E4"/>
    <mergeCell ref="F4:H4"/>
    <mergeCell ref="I4:L4"/>
    <mergeCell ref="M4:P4"/>
    <mergeCell ref="C5:C6"/>
    <mergeCell ref="D5:D6"/>
    <mergeCell ref="E5:E6"/>
    <mergeCell ref="F5:F6"/>
    <mergeCell ref="G5:G6"/>
    <mergeCell ref="H5:H6"/>
    <mergeCell ref="Q5:Q6"/>
    <mergeCell ref="A7:A9"/>
    <mergeCell ref="A10:A12"/>
    <mergeCell ref="C25:E25"/>
    <mergeCell ref="F25:H25"/>
    <mergeCell ref="I25:L25"/>
    <mergeCell ref="M25:P25"/>
    <mergeCell ref="I5:J5"/>
    <mergeCell ref="K5:K6"/>
    <mergeCell ref="L5:L6"/>
    <mergeCell ref="M5:N5"/>
    <mergeCell ref="O5:O6"/>
    <mergeCell ref="P5:P6"/>
    <mergeCell ref="Q26:Q27"/>
    <mergeCell ref="S26:S27"/>
    <mergeCell ref="A28:A30"/>
    <mergeCell ref="A31:A33"/>
    <mergeCell ref="C47:E47"/>
    <mergeCell ref="F47:H47"/>
    <mergeCell ref="I47:L47"/>
    <mergeCell ref="M47:P47"/>
    <mergeCell ref="I26:J26"/>
    <mergeCell ref="K26:K27"/>
    <mergeCell ref="L26:L27"/>
    <mergeCell ref="M26:N26"/>
    <mergeCell ref="O26:O27"/>
    <mergeCell ref="P26:P27"/>
    <mergeCell ref="C26:C27"/>
    <mergeCell ref="D26:D27"/>
    <mergeCell ref="E26:E27"/>
    <mergeCell ref="F26:F27"/>
    <mergeCell ref="G26:G27"/>
    <mergeCell ref="H26:H27"/>
    <mergeCell ref="I48:J48"/>
    <mergeCell ref="K48:K49"/>
    <mergeCell ref="L48:L49"/>
    <mergeCell ref="M48:N48"/>
    <mergeCell ref="O48:O49"/>
    <mergeCell ref="P48:P49"/>
    <mergeCell ref="C48:C49"/>
    <mergeCell ref="D48:D49"/>
    <mergeCell ref="E48:E49"/>
    <mergeCell ref="F48:F49"/>
    <mergeCell ref="G48:G49"/>
    <mergeCell ref="H48:H49"/>
    <mergeCell ref="A50:A52"/>
    <mergeCell ref="A53:A55"/>
    <mergeCell ref="C67:E67"/>
    <mergeCell ref="F67:H67"/>
    <mergeCell ref="C68:C69"/>
    <mergeCell ref="D68:D69"/>
    <mergeCell ref="E68:E69"/>
    <mergeCell ref="F68:F69"/>
    <mergeCell ref="G68:G69"/>
    <mergeCell ref="H68:H69"/>
    <mergeCell ref="A81:A83"/>
    <mergeCell ref="A84:A86"/>
    <mergeCell ref="C90:E90"/>
    <mergeCell ref="F90:H90"/>
    <mergeCell ref="I90:L90"/>
    <mergeCell ref="M90:P90"/>
    <mergeCell ref="A70:A72"/>
    <mergeCell ref="A73:A75"/>
    <mergeCell ref="C78:E78"/>
    <mergeCell ref="F78:H78"/>
    <mergeCell ref="C79:C80"/>
    <mergeCell ref="D79:D80"/>
    <mergeCell ref="E79:E80"/>
    <mergeCell ref="F79:F80"/>
    <mergeCell ref="G79:G80"/>
    <mergeCell ref="H79:H80"/>
    <mergeCell ref="M91:N91"/>
    <mergeCell ref="O91:O92"/>
    <mergeCell ref="P91:P92"/>
    <mergeCell ref="C100:E100"/>
    <mergeCell ref="F100:H100"/>
    <mergeCell ref="I100:L100"/>
    <mergeCell ref="M100:P100"/>
    <mergeCell ref="Q90:Q92"/>
    <mergeCell ref="C91:C92"/>
    <mergeCell ref="D91:D92"/>
    <mergeCell ref="E91:E92"/>
    <mergeCell ref="F91:F92"/>
    <mergeCell ref="G91:G92"/>
    <mergeCell ref="H91:H92"/>
    <mergeCell ref="I91:J91"/>
    <mergeCell ref="K91:K92"/>
    <mergeCell ref="L91:L92"/>
    <mergeCell ref="I101:J101"/>
    <mergeCell ref="K101:K102"/>
    <mergeCell ref="L101:L102"/>
    <mergeCell ref="M101:N101"/>
    <mergeCell ref="O101:O102"/>
    <mergeCell ref="P101:P102"/>
    <mergeCell ref="C101:C102"/>
    <mergeCell ref="D101:D102"/>
    <mergeCell ref="E101:E102"/>
    <mergeCell ref="F101:F102"/>
    <mergeCell ref="G101:G102"/>
    <mergeCell ref="H101:H102"/>
    <mergeCell ref="I111:J111"/>
    <mergeCell ref="K111:K112"/>
    <mergeCell ref="L111:L112"/>
    <mergeCell ref="M111:N111"/>
    <mergeCell ref="O111:O112"/>
    <mergeCell ref="P111:P112"/>
    <mergeCell ref="C110:E110"/>
    <mergeCell ref="F110:H110"/>
    <mergeCell ref="I110:L110"/>
    <mergeCell ref="M110:P110"/>
    <mergeCell ref="C111:C112"/>
    <mergeCell ref="D111:D112"/>
    <mergeCell ref="E111:E112"/>
    <mergeCell ref="F111:F112"/>
    <mergeCell ref="G111:G112"/>
    <mergeCell ref="H111:H112"/>
    <mergeCell ref="C146:F146"/>
    <mergeCell ref="G146:J146"/>
    <mergeCell ref="A148:A150"/>
    <mergeCell ref="A151:A153"/>
    <mergeCell ref="A134:A136"/>
    <mergeCell ref="A137:A139"/>
    <mergeCell ref="C120:E120"/>
    <mergeCell ref="F120:H120"/>
    <mergeCell ref="C121:C122"/>
    <mergeCell ref="D121:D122"/>
    <mergeCell ref="E121:E122"/>
    <mergeCell ref="F121:F122"/>
    <mergeCell ref="G121:G122"/>
    <mergeCell ref="H121:H122"/>
    <mergeCell ref="I132:I133"/>
    <mergeCell ref="J132:J133"/>
    <mergeCell ref="C131:E131"/>
    <mergeCell ref="F131:H131"/>
    <mergeCell ref="C132:C133"/>
    <mergeCell ref="D132:D133"/>
    <mergeCell ref="E132:E133"/>
    <mergeCell ref="F132:F133"/>
    <mergeCell ref="G132:G133"/>
    <mergeCell ref="H132:H1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Exercice 1</vt:lpstr>
      <vt:lpstr>Exercice 2</vt:lpstr>
      <vt:lpstr>Exercice 3</vt:lpstr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2024-01-24T16:37:52Z</dcterms:created>
  <dcterms:modified xsi:type="dcterms:W3CDTF">2024-02-26T08:25:20Z</dcterms:modified>
</cp:coreProperties>
</file>