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wuko/bcs_11mev/documents/"/>
    </mc:Choice>
  </mc:AlternateContent>
  <xr:revisionPtr revIDLastSave="0" documentId="13_ncr:1_{8757A8FC-C898-7C4D-B7E7-E956CCA38C3C}" xr6:coauthVersionLast="47" xr6:coauthVersionMax="47" xr10:uidLastSave="{00000000-0000-0000-0000-000000000000}"/>
  <bookViews>
    <workbookView xWindow="11280" yWindow="460" windowWidth="14320" windowHeight="14420" firstSheet="4" activeTab="6" xr2:uid="{00000000-000D-0000-FFFF-FFFF00000000}"/>
  </bookViews>
  <sheets>
    <sheet name="plot (3.3)" sheetId="15" r:id="rId1"/>
    <sheet name="plot (2.4)" sheetId="14" r:id="rId2"/>
    <sheet name="plot (1.5)" sheetId="13" r:id="rId3"/>
    <sheet name="plot (1.8)" sheetId="12" r:id="rId4"/>
    <sheet name="plot(ground)" sheetId="6" r:id="rId5"/>
    <sheet name="plot(combined)" sheetId="16" r:id="rId6"/>
    <sheet name="3.3MeV" sheetId="11" r:id="rId7"/>
    <sheet name="2.4MeV" sheetId="10" r:id="rId8"/>
    <sheet name="1.8MeV" sheetId="8" r:id="rId9"/>
    <sheet name="1.5MeV" sheetId="9" r:id="rId10"/>
    <sheet name="ground_state" sheetId="5" r:id="rId11"/>
    <sheet name="xsec_online" sheetId="1" r:id="rId12"/>
    <sheet name="yields" sheetId="2" r:id="rId13"/>
    <sheet name="background" sheetId="3" r:id="rId1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2" i="11"/>
  <c r="H22" i="11"/>
  <c r="I22" i="11" s="1"/>
  <c r="G22" i="11"/>
  <c r="N21" i="11"/>
  <c r="H21" i="11"/>
  <c r="I21" i="11" s="1"/>
  <c r="G21" i="11"/>
  <c r="N20" i="11"/>
  <c r="H20" i="11"/>
  <c r="I20" i="11" s="1"/>
  <c r="G20" i="11"/>
  <c r="N19" i="11"/>
  <c r="H19" i="11"/>
  <c r="I19" i="11" s="1"/>
  <c r="G19" i="11"/>
  <c r="N18" i="11"/>
  <c r="H18" i="11"/>
  <c r="I18" i="11" s="1"/>
  <c r="G18" i="11"/>
  <c r="N17" i="11"/>
  <c r="H17" i="11"/>
  <c r="I17" i="11" s="1"/>
  <c r="G17" i="11"/>
  <c r="N16" i="11"/>
  <c r="H16" i="11"/>
  <c r="I16" i="11" s="1"/>
  <c r="G16" i="11"/>
  <c r="E11" i="11"/>
  <c r="J22" i="11" s="1"/>
  <c r="J4" i="11"/>
  <c r="J6" i="11" s="1"/>
  <c r="N22" i="10"/>
  <c r="H22" i="10"/>
  <c r="I22" i="10" s="1"/>
  <c r="G22" i="10"/>
  <c r="N21" i="10"/>
  <c r="H21" i="10"/>
  <c r="I21" i="10" s="1"/>
  <c r="G21" i="10"/>
  <c r="N20" i="10"/>
  <c r="H20" i="10"/>
  <c r="I20" i="10" s="1"/>
  <c r="G20" i="10"/>
  <c r="N19" i="10"/>
  <c r="H19" i="10"/>
  <c r="I19" i="10" s="1"/>
  <c r="G19" i="10"/>
  <c r="N18" i="10"/>
  <c r="H18" i="10"/>
  <c r="I18" i="10" s="1"/>
  <c r="G18" i="10"/>
  <c r="N17" i="10"/>
  <c r="H17" i="10"/>
  <c r="I17" i="10" s="1"/>
  <c r="G17" i="10"/>
  <c r="N16" i="10"/>
  <c r="H16" i="10"/>
  <c r="I16" i="10" s="1"/>
  <c r="G16" i="10"/>
  <c r="E11" i="10"/>
  <c r="J22" i="10" s="1"/>
  <c r="J4" i="10"/>
  <c r="J6" i="10" s="1"/>
  <c r="N22" i="9"/>
  <c r="I22" i="9"/>
  <c r="H22" i="9"/>
  <c r="G22" i="9"/>
  <c r="N21" i="9"/>
  <c r="I21" i="9"/>
  <c r="H21" i="9"/>
  <c r="G21" i="9"/>
  <c r="N20" i="9"/>
  <c r="I20" i="9"/>
  <c r="H20" i="9"/>
  <c r="G20" i="9"/>
  <c r="N19" i="9"/>
  <c r="M19" i="9"/>
  <c r="I19" i="9"/>
  <c r="H19" i="9"/>
  <c r="G19" i="9"/>
  <c r="N18" i="9"/>
  <c r="M18" i="9"/>
  <c r="I18" i="9"/>
  <c r="H18" i="9"/>
  <c r="G18" i="9"/>
  <c r="N17" i="9"/>
  <c r="M17" i="9"/>
  <c r="I17" i="9"/>
  <c r="H17" i="9"/>
  <c r="G17" i="9"/>
  <c r="N16" i="9"/>
  <c r="M16" i="9"/>
  <c r="I16" i="9"/>
  <c r="H16" i="9"/>
  <c r="G16" i="9"/>
  <c r="E11" i="9"/>
  <c r="J22" i="9" s="1"/>
  <c r="J6" i="9"/>
  <c r="M20" i="9" s="1"/>
  <c r="J4" i="9"/>
  <c r="N22" i="8"/>
  <c r="H22" i="8"/>
  <c r="I22" i="8" s="1"/>
  <c r="G22" i="8"/>
  <c r="N21" i="8"/>
  <c r="H21" i="8"/>
  <c r="I21" i="8" s="1"/>
  <c r="G21" i="8"/>
  <c r="N20" i="8"/>
  <c r="I20" i="8"/>
  <c r="H20" i="8"/>
  <c r="G20" i="8"/>
  <c r="N19" i="8"/>
  <c r="I19" i="8"/>
  <c r="H19" i="8"/>
  <c r="G19" i="8"/>
  <c r="N18" i="8"/>
  <c r="H18" i="8"/>
  <c r="I18" i="8" s="1"/>
  <c r="G18" i="8"/>
  <c r="N17" i="8"/>
  <c r="H17" i="8"/>
  <c r="I17" i="8" s="1"/>
  <c r="G17" i="8"/>
  <c r="N16" i="8"/>
  <c r="H16" i="8"/>
  <c r="I16" i="8" s="1"/>
  <c r="G16" i="8"/>
  <c r="E11" i="8"/>
  <c r="J6" i="8"/>
  <c r="J4" i="8"/>
  <c r="M22" i="11" l="1"/>
  <c r="O22" i="11" s="1"/>
  <c r="M21" i="11"/>
  <c r="P21" i="11" s="1"/>
  <c r="M20" i="11"/>
  <c r="M19" i="11"/>
  <c r="M18" i="11"/>
  <c r="M17" i="11"/>
  <c r="M16" i="11"/>
  <c r="O18" i="11"/>
  <c r="P22" i="11"/>
  <c r="P17" i="11"/>
  <c r="O21" i="11"/>
  <c r="J16" i="11"/>
  <c r="O16" i="11" s="1"/>
  <c r="J17" i="11"/>
  <c r="O17" i="11" s="1"/>
  <c r="J18" i="11"/>
  <c r="P18" i="11" s="1"/>
  <c r="J19" i="11"/>
  <c r="O19" i="11" s="1"/>
  <c r="J20" i="11"/>
  <c r="P20" i="11" s="1"/>
  <c r="J21" i="11"/>
  <c r="O16" i="10"/>
  <c r="O19" i="10"/>
  <c r="M20" i="10"/>
  <c r="M19" i="10"/>
  <c r="M16" i="10"/>
  <c r="M22" i="10"/>
  <c r="O22" i="10" s="1"/>
  <c r="M21" i="10"/>
  <c r="M18" i="10"/>
  <c r="M17" i="10"/>
  <c r="P17" i="10"/>
  <c r="J16" i="10"/>
  <c r="P16" i="10" s="1"/>
  <c r="J17" i="10"/>
  <c r="O17" i="10" s="1"/>
  <c r="J18" i="10"/>
  <c r="P18" i="10" s="1"/>
  <c r="J19" i="10"/>
  <c r="P19" i="10" s="1"/>
  <c r="J20" i="10"/>
  <c r="P20" i="10" s="1"/>
  <c r="J21" i="10"/>
  <c r="P21" i="10" s="1"/>
  <c r="P22" i="9"/>
  <c r="M21" i="9"/>
  <c r="M22" i="9"/>
  <c r="O22" i="9" s="1"/>
  <c r="O18" i="9"/>
  <c r="J16" i="9"/>
  <c r="P16" i="9" s="1"/>
  <c r="J17" i="9"/>
  <c r="O17" i="9" s="1"/>
  <c r="J18" i="9"/>
  <c r="P18" i="9" s="1"/>
  <c r="J19" i="9"/>
  <c r="P19" i="9" s="1"/>
  <c r="J20" i="9"/>
  <c r="O20" i="9" s="1"/>
  <c r="J21" i="9"/>
  <c r="P21" i="9" s="1"/>
  <c r="P21" i="8"/>
  <c r="M18" i="8"/>
  <c r="J19" i="8"/>
  <c r="M22" i="8"/>
  <c r="J16" i="8"/>
  <c r="P16" i="8" s="1"/>
  <c r="J20" i="8"/>
  <c r="O21" i="8"/>
  <c r="M16" i="8"/>
  <c r="J17" i="8"/>
  <c r="O17" i="8" s="1"/>
  <c r="M20" i="8"/>
  <c r="J21" i="8"/>
  <c r="M19" i="8"/>
  <c r="M17" i="8"/>
  <c r="P17" i="8" s="1"/>
  <c r="J18" i="8"/>
  <c r="O18" i="8" s="1"/>
  <c r="M21" i="8"/>
  <c r="J22" i="8"/>
  <c r="P22" i="8" s="1"/>
  <c r="I7" i="2"/>
  <c r="I7" i="3"/>
  <c r="E7" i="3"/>
  <c r="F7" i="3"/>
  <c r="G7" i="3"/>
  <c r="H7" i="3"/>
  <c r="E7" i="2"/>
  <c r="G19" i="5" s="1"/>
  <c r="H19" i="5" s="1"/>
  <c r="F7" i="2"/>
  <c r="G7" i="2"/>
  <c r="H7" i="2"/>
  <c r="M17" i="5" s="1"/>
  <c r="E11" i="5"/>
  <c r="I16" i="5" s="1"/>
  <c r="I4" i="5"/>
  <c r="I6" i="5" s="1"/>
  <c r="O26" i="2"/>
  <c r="O26" i="3"/>
  <c r="E26" i="3"/>
  <c r="F26" i="3"/>
  <c r="G26" i="3"/>
  <c r="H26" i="3"/>
  <c r="E26" i="2"/>
  <c r="F26" i="2"/>
  <c r="H26" i="2" s="1"/>
  <c r="G26" i="2"/>
  <c r="V26" i="2"/>
  <c r="N26" i="2"/>
  <c r="N26" i="3"/>
  <c r="F44" i="1" s="1"/>
  <c r="U26" i="2"/>
  <c r="M26" i="2"/>
  <c r="M26" i="3"/>
  <c r="T26" i="2"/>
  <c r="L26" i="2"/>
  <c r="L26" i="3"/>
  <c r="S26" i="2"/>
  <c r="K26" i="2"/>
  <c r="K26" i="3"/>
  <c r="R26" i="2"/>
  <c r="J26" i="2"/>
  <c r="J26" i="3"/>
  <c r="Q26" i="2"/>
  <c r="I26" i="2"/>
  <c r="I26" i="3"/>
  <c r="P26" i="2"/>
  <c r="O17" i="2"/>
  <c r="O17" i="3"/>
  <c r="E17" i="3"/>
  <c r="F17" i="3"/>
  <c r="G17" i="3"/>
  <c r="H17" i="3"/>
  <c r="E17" i="2"/>
  <c r="F17" i="2"/>
  <c r="H17" i="2" s="1"/>
  <c r="G17" i="2"/>
  <c r="V19" i="2"/>
  <c r="N17" i="2"/>
  <c r="N17" i="3"/>
  <c r="U19" i="2"/>
  <c r="M17" i="2"/>
  <c r="M17" i="3"/>
  <c r="T19" i="2"/>
  <c r="L17" i="2"/>
  <c r="L17" i="3"/>
  <c r="S19" i="2"/>
  <c r="K17" i="2"/>
  <c r="K17" i="3"/>
  <c r="R19" i="2"/>
  <c r="J17" i="2"/>
  <c r="J17" i="3"/>
  <c r="Q19" i="2"/>
  <c r="Y28" i="5"/>
  <c r="I17" i="2"/>
  <c r="I17" i="3"/>
  <c r="P17" i="2"/>
  <c r="O7" i="2"/>
  <c r="O7" i="3"/>
  <c r="V7" i="2"/>
  <c r="N7" i="2"/>
  <c r="U7" i="2" s="1"/>
  <c r="N7" i="3"/>
  <c r="M7" i="2"/>
  <c r="M7" i="3"/>
  <c r="T7" i="2"/>
  <c r="L8" i="2"/>
  <c r="L9" i="2"/>
  <c r="L10" i="2"/>
  <c r="L11" i="2"/>
  <c r="L7" i="2" s="1"/>
  <c r="L7" i="3"/>
  <c r="K7" i="2"/>
  <c r="K7" i="3"/>
  <c r="R7" i="2"/>
  <c r="J7" i="2"/>
  <c r="J7" i="3"/>
  <c r="P7" i="2"/>
  <c r="E22" i="1"/>
  <c r="F22" i="1"/>
  <c r="G22" i="1"/>
  <c r="M22" i="1"/>
  <c r="H22" i="1"/>
  <c r="E11" i="1"/>
  <c r="I18" i="1" s="1"/>
  <c r="I4" i="1"/>
  <c r="I6" i="1"/>
  <c r="L22" i="1"/>
  <c r="E21" i="1"/>
  <c r="F21" i="1"/>
  <c r="G21" i="1"/>
  <c r="H21" i="1" s="1"/>
  <c r="M21" i="1"/>
  <c r="I21" i="1"/>
  <c r="E20" i="1"/>
  <c r="F20" i="1"/>
  <c r="G20" i="1"/>
  <c r="H20" i="1" s="1"/>
  <c r="M20" i="1"/>
  <c r="I20" i="1"/>
  <c r="L20" i="1"/>
  <c r="F19" i="1"/>
  <c r="G19" i="1"/>
  <c r="H19" i="1" s="1"/>
  <c r="M19" i="1"/>
  <c r="I19" i="1"/>
  <c r="L19" i="1"/>
  <c r="E18" i="1"/>
  <c r="F18" i="1"/>
  <c r="G18" i="1"/>
  <c r="H18" i="1" s="1"/>
  <c r="M18" i="1"/>
  <c r="L18" i="1"/>
  <c r="F17" i="1"/>
  <c r="G17" i="1"/>
  <c r="H17" i="1" s="1"/>
  <c r="M17" i="1"/>
  <c r="I17" i="1"/>
  <c r="L17" i="1"/>
  <c r="E16" i="1"/>
  <c r="F16" i="1"/>
  <c r="G16" i="1"/>
  <c r="H16" i="1" s="1"/>
  <c r="M16" i="1"/>
  <c r="I16" i="1"/>
  <c r="R16" i="1"/>
  <c r="I35" i="2"/>
  <c r="G36" i="3"/>
  <c r="F36" i="3"/>
  <c r="E45" i="1"/>
  <c r="G45" i="1"/>
  <c r="M45" i="1"/>
  <c r="H45" i="1"/>
  <c r="E44" i="1"/>
  <c r="G44" i="1"/>
  <c r="H44" i="1" s="1"/>
  <c r="M44" i="1"/>
  <c r="L44" i="1"/>
  <c r="E43" i="1"/>
  <c r="F43" i="1"/>
  <c r="G43" i="1"/>
  <c r="H43" i="1" s="1"/>
  <c r="I43" i="1"/>
  <c r="L43" i="1"/>
  <c r="E42" i="1"/>
  <c r="F42" i="1"/>
  <c r="G42" i="1"/>
  <c r="H42" i="1"/>
  <c r="E41" i="1"/>
  <c r="G41" i="1"/>
  <c r="M41" i="1"/>
  <c r="H41" i="1"/>
  <c r="E40" i="1"/>
  <c r="G40" i="1"/>
  <c r="H40" i="1" s="1"/>
  <c r="M40" i="1"/>
  <c r="L40" i="1"/>
  <c r="E39" i="1"/>
  <c r="F39" i="1"/>
  <c r="G39" i="1"/>
  <c r="H39" i="1" s="1"/>
  <c r="L39" i="1"/>
  <c r="E34" i="1"/>
  <c r="F34" i="1"/>
  <c r="G34" i="1"/>
  <c r="H34" i="1"/>
  <c r="I34" i="1"/>
  <c r="E33" i="1"/>
  <c r="G33" i="1"/>
  <c r="M33" i="1"/>
  <c r="H33" i="1"/>
  <c r="E32" i="1"/>
  <c r="G32" i="1"/>
  <c r="H32" i="1" s="1"/>
  <c r="M32" i="1"/>
  <c r="L32" i="1"/>
  <c r="E31" i="1"/>
  <c r="F31" i="1"/>
  <c r="G31" i="1"/>
  <c r="H31" i="1"/>
  <c r="I31" i="1"/>
  <c r="L31" i="1"/>
  <c r="E30" i="1"/>
  <c r="F30" i="1"/>
  <c r="G30" i="1"/>
  <c r="M30" i="1"/>
  <c r="H30" i="1"/>
  <c r="I30" i="1"/>
  <c r="E29" i="1"/>
  <c r="G29" i="1"/>
  <c r="H29" i="1" s="1"/>
  <c r="M29" i="1"/>
  <c r="L29" i="1"/>
  <c r="E28" i="1"/>
  <c r="F28" i="1"/>
  <c r="N28" i="1" s="1"/>
  <c r="O28" i="1" s="1"/>
  <c r="G28" i="1"/>
  <c r="H28" i="1" s="1"/>
  <c r="M28" i="1"/>
  <c r="I28" i="1"/>
  <c r="L28" i="1"/>
  <c r="G35" i="3"/>
  <c r="G37" i="3" s="1"/>
  <c r="F37" i="3"/>
  <c r="E37" i="3"/>
  <c r="V27" i="3"/>
  <c r="U27" i="3"/>
  <c r="T27" i="3"/>
  <c r="S27" i="3"/>
  <c r="R27" i="3"/>
  <c r="Q27" i="3"/>
  <c r="P27" i="3"/>
  <c r="V26" i="3"/>
  <c r="U26" i="3"/>
  <c r="S26" i="3"/>
  <c r="R26" i="3"/>
  <c r="Q26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H20" i="3"/>
  <c r="V19" i="3"/>
  <c r="U19" i="3"/>
  <c r="T19" i="3"/>
  <c r="S19" i="3"/>
  <c r="R19" i="3"/>
  <c r="Q19" i="3"/>
  <c r="P19" i="3"/>
  <c r="H19" i="3"/>
  <c r="V18" i="3"/>
  <c r="U18" i="3"/>
  <c r="T18" i="3"/>
  <c r="S18" i="3"/>
  <c r="R18" i="3"/>
  <c r="Q18" i="3"/>
  <c r="P18" i="3"/>
  <c r="H18" i="3"/>
  <c r="V17" i="3"/>
  <c r="T17" i="3"/>
  <c r="S17" i="3"/>
  <c r="R17" i="3"/>
  <c r="P17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S7" i="3"/>
  <c r="R7" i="3"/>
  <c r="Q7" i="3"/>
  <c r="P7" i="3"/>
  <c r="V30" i="2"/>
  <c r="U30" i="2"/>
  <c r="T30" i="2"/>
  <c r="S30" i="2"/>
  <c r="R30" i="2"/>
  <c r="Q30" i="2"/>
  <c r="P30" i="2"/>
  <c r="H30" i="2"/>
  <c r="V29" i="2"/>
  <c r="U29" i="2"/>
  <c r="T29" i="2"/>
  <c r="S29" i="2"/>
  <c r="R29" i="2"/>
  <c r="Q29" i="2"/>
  <c r="P29" i="2"/>
  <c r="H29" i="2"/>
  <c r="V28" i="2"/>
  <c r="U28" i="2"/>
  <c r="T28" i="2"/>
  <c r="S28" i="2"/>
  <c r="R28" i="2"/>
  <c r="Q28" i="2"/>
  <c r="P28" i="2"/>
  <c r="H28" i="2"/>
  <c r="V27" i="2"/>
  <c r="U27" i="2"/>
  <c r="T27" i="2"/>
  <c r="S27" i="2"/>
  <c r="R27" i="2"/>
  <c r="Q27" i="2"/>
  <c r="P27" i="2"/>
  <c r="H27" i="2"/>
  <c r="V22" i="2"/>
  <c r="U22" i="2"/>
  <c r="T22" i="2"/>
  <c r="S22" i="2"/>
  <c r="R22" i="2"/>
  <c r="Q22" i="2"/>
  <c r="P22" i="2"/>
  <c r="H22" i="2"/>
  <c r="V21" i="2"/>
  <c r="U21" i="2"/>
  <c r="T21" i="2"/>
  <c r="S21" i="2"/>
  <c r="R21" i="2"/>
  <c r="Q21" i="2"/>
  <c r="P21" i="2"/>
  <c r="H21" i="2"/>
  <c r="V20" i="2"/>
  <c r="U20" i="2"/>
  <c r="T20" i="2"/>
  <c r="S20" i="2"/>
  <c r="R20" i="2"/>
  <c r="Q20" i="2"/>
  <c r="P20" i="2"/>
  <c r="H20" i="2"/>
  <c r="P19" i="2"/>
  <c r="H19" i="2"/>
  <c r="V18" i="2"/>
  <c r="U18" i="2"/>
  <c r="T18" i="2"/>
  <c r="S18" i="2"/>
  <c r="R18" i="2"/>
  <c r="Q18" i="2"/>
  <c r="P18" i="2"/>
  <c r="H18" i="2"/>
  <c r="V17" i="2"/>
  <c r="U17" i="2"/>
  <c r="T17" i="2"/>
  <c r="S17" i="2"/>
  <c r="R17" i="2"/>
  <c r="Q17" i="2"/>
  <c r="V11" i="2"/>
  <c r="U11" i="2"/>
  <c r="T11" i="2"/>
  <c r="S11" i="2"/>
  <c r="R11" i="2"/>
  <c r="Q11" i="2"/>
  <c r="P11" i="2"/>
  <c r="H11" i="2"/>
  <c r="V10" i="2"/>
  <c r="U10" i="2"/>
  <c r="T10" i="2"/>
  <c r="S10" i="2"/>
  <c r="R10" i="2"/>
  <c r="Q10" i="2"/>
  <c r="P10" i="2"/>
  <c r="H10" i="2"/>
  <c r="V9" i="2"/>
  <c r="U9" i="2"/>
  <c r="T9" i="2"/>
  <c r="S9" i="2"/>
  <c r="R9" i="2"/>
  <c r="Q9" i="2"/>
  <c r="P9" i="2"/>
  <c r="H9" i="2"/>
  <c r="V8" i="2"/>
  <c r="U8" i="2"/>
  <c r="T8" i="2"/>
  <c r="S8" i="2"/>
  <c r="R8" i="2"/>
  <c r="Q8" i="2"/>
  <c r="P8" i="2"/>
  <c r="H8" i="2"/>
  <c r="Y28" i="1"/>
  <c r="P19" i="11" l="1"/>
  <c r="P16" i="11"/>
  <c r="O20" i="11"/>
  <c r="P22" i="10"/>
  <c r="O20" i="10"/>
  <c r="O21" i="10"/>
  <c r="O18" i="10"/>
  <c r="O21" i="9"/>
  <c r="O16" i="9"/>
  <c r="P20" i="9"/>
  <c r="P17" i="9"/>
  <c r="O19" i="9"/>
  <c r="P18" i="8"/>
  <c r="O19" i="8"/>
  <c r="P20" i="8"/>
  <c r="O20" i="8"/>
  <c r="O22" i="8"/>
  <c r="P19" i="8"/>
  <c r="O16" i="8"/>
  <c r="I17" i="5"/>
  <c r="I18" i="5"/>
  <c r="I19" i="5"/>
  <c r="I21" i="5"/>
  <c r="I22" i="5"/>
  <c r="I20" i="5"/>
  <c r="L19" i="5"/>
  <c r="L17" i="5"/>
  <c r="O22" i="1"/>
  <c r="T7" i="3"/>
  <c r="O20" i="1"/>
  <c r="L45" i="1"/>
  <c r="L41" i="1"/>
  <c r="L33" i="1"/>
  <c r="L42" i="1"/>
  <c r="L34" i="1"/>
  <c r="L30" i="1"/>
  <c r="N30" i="1" s="1"/>
  <c r="O30" i="1" s="1"/>
  <c r="E17" i="1"/>
  <c r="O17" i="1" s="1"/>
  <c r="Q7" i="2"/>
  <c r="F29" i="1"/>
  <c r="N29" i="1" s="1"/>
  <c r="O29" i="1" s="1"/>
  <c r="Q17" i="3"/>
  <c r="F33" i="1"/>
  <c r="N33" i="1" s="1"/>
  <c r="O33" i="1" s="1"/>
  <c r="U17" i="3"/>
  <c r="F40" i="1"/>
  <c r="I39" i="1"/>
  <c r="I42" i="1"/>
  <c r="N42" i="1"/>
  <c r="O42" i="1" s="1"/>
  <c r="L16" i="1"/>
  <c r="P16" i="1"/>
  <c r="P7" i="1" s="1"/>
  <c r="O18" i="1"/>
  <c r="L21" i="1"/>
  <c r="O21" i="1" s="1"/>
  <c r="E19" i="1"/>
  <c r="S7" i="2"/>
  <c r="M42" i="1"/>
  <c r="M43" i="1"/>
  <c r="N43" i="1" s="1"/>
  <c r="O43" i="1" s="1"/>
  <c r="M39" i="1"/>
  <c r="N39" i="1" s="1"/>
  <c r="O39" i="1" s="1"/>
  <c r="N31" i="1"/>
  <c r="O31" i="1" s="1"/>
  <c r="N16" i="1"/>
  <c r="I44" i="1"/>
  <c r="N44" i="1" s="1"/>
  <c r="O44" i="1" s="1"/>
  <c r="I40" i="1"/>
  <c r="I32" i="1"/>
  <c r="I22" i="1"/>
  <c r="I45" i="1"/>
  <c r="I41" i="1"/>
  <c r="I33" i="1"/>
  <c r="I29" i="1"/>
  <c r="F32" i="1"/>
  <c r="N32" i="1" s="1"/>
  <c r="O32" i="1" s="1"/>
  <c r="M34" i="1"/>
  <c r="M31" i="1"/>
  <c r="P26" i="3"/>
  <c r="F41" i="1"/>
  <c r="N41" i="1" s="1"/>
  <c r="O41" i="1" s="1"/>
  <c r="T26" i="3"/>
  <c r="N34" i="1"/>
  <c r="O34" i="1" s="1"/>
  <c r="F45" i="1"/>
  <c r="M22" i="5"/>
  <c r="G20" i="5"/>
  <c r="H20" i="5" s="1"/>
  <c r="M18" i="5"/>
  <c r="L21" i="5"/>
  <c r="L16" i="5"/>
  <c r="M16" i="5"/>
  <c r="G21" i="5"/>
  <c r="H21" i="5" s="1"/>
  <c r="M19" i="5"/>
  <c r="G17" i="5"/>
  <c r="H17" i="5" s="1"/>
  <c r="G22" i="5"/>
  <c r="H22" i="5" s="1"/>
  <c r="M20" i="5"/>
  <c r="G18" i="5"/>
  <c r="H18" i="5" s="1"/>
  <c r="L18" i="5"/>
  <c r="L20" i="5"/>
  <c r="L22" i="5"/>
  <c r="G16" i="5"/>
  <c r="H16" i="5" s="1"/>
  <c r="M21" i="5"/>
  <c r="N19" i="5" l="1"/>
  <c r="N18" i="5"/>
  <c r="O18" i="5"/>
  <c r="O19" i="5"/>
  <c r="N40" i="1"/>
  <c r="O40" i="1" s="1"/>
  <c r="O16" i="5"/>
  <c r="N16" i="5"/>
  <c r="N20" i="5"/>
  <c r="O20" i="5"/>
  <c r="N21" i="5"/>
  <c r="O21" i="5"/>
  <c r="O16" i="1"/>
  <c r="S16" i="1"/>
  <c r="Q16" i="1"/>
  <c r="T16" i="1" s="1"/>
  <c r="N17" i="5"/>
  <c r="O17" i="5"/>
  <c r="N22" i="5"/>
  <c r="O22" i="5"/>
  <c r="N45" i="1"/>
  <c r="O45" i="1" s="1"/>
  <c r="O19" i="1"/>
</calcChain>
</file>

<file path=xl/sharedStrings.xml><?xml version="1.0" encoding="utf-8"?>
<sst xmlns="http://schemas.openxmlformats.org/spreadsheetml/2006/main" count="369" uniqueCount="61">
  <si>
    <t>Constants</t>
  </si>
  <si>
    <t>BCI coul/pulse</t>
  </si>
  <si>
    <t>Det radius (cm)</t>
  </si>
  <si>
    <t>charge</t>
  </si>
  <si>
    <t>Det distance (cm)</t>
  </si>
  <si>
    <t>charge/particle</t>
  </si>
  <si>
    <t>Det solid angle (sr)</t>
  </si>
  <si>
    <t>suppressor factor</t>
  </si>
  <si>
    <t>ratio of BCI/clock for suppressor negative to positive</t>
  </si>
  <si>
    <t>Gas pressure (psi)</t>
  </si>
  <si>
    <t>CM angle</t>
  </si>
  <si>
    <t>Prev data</t>
  </si>
  <si>
    <t>Gas thickness (cm)</t>
  </si>
  <si>
    <t>11.5 Mev</t>
  </si>
  <si>
    <t>1/8” lead beam stop</t>
  </si>
  <si>
    <t>Yields</t>
  </si>
  <si>
    <t>Bkgd/BCI/LT</t>
  </si>
  <si>
    <t>BCI</t>
  </si>
  <si>
    <t># 3He</t>
  </si>
  <si>
    <t>#/cm^2 Ar</t>
  </si>
  <si>
    <t>Efficiency</t>
  </si>
  <si>
    <t>Transmission</t>
  </si>
  <si>
    <t>Solid Angle</t>
  </si>
  <si>
    <t>Live Time</t>
  </si>
  <si>
    <t>Cross section (ub/sr)</t>
  </si>
  <si>
    <t>Stat Err (ub/sr)</t>
  </si>
  <si>
    <t>0 deg</t>
  </si>
  <si>
    <t>3 deg</t>
  </si>
  <si>
    <t>6 deg</t>
  </si>
  <si>
    <t>9 deg</t>
  </si>
  <si>
    <t>12 deg</t>
  </si>
  <si>
    <t>15 deg</t>
  </si>
  <si>
    <t>18 deg</t>
  </si>
  <si>
    <t>18.65 MeV</t>
  </si>
  <si>
    <t>24 MeV</t>
  </si>
  <si>
    <t>ratio of BCI/clock for suppressor negative vs positive</t>
  </si>
  <si>
    <t>Run</t>
  </si>
  <si>
    <t>Veto Trig</t>
  </si>
  <si>
    <t>Total Trig</t>
  </si>
  <si>
    <t>LT</t>
  </si>
  <si>
    <t>0 deg yield</t>
  </si>
  <si>
    <t>3 deg yield</t>
  </si>
  <si>
    <t>6 deg yield</t>
  </si>
  <si>
    <t>9 deg yield</t>
  </si>
  <si>
    <t>12 deg yield</t>
  </si>
  <si>
    <t>15 deg yield</t>
  </si>
  <si>
    <t>18 deg yield</t>
  </si>
  <si>
    <t>0 deg frac err</t>
  </si>
  <si>
    <t>3 deg frac err</t>
  </si>
  <si>
    <t>6 deg frac err</t>
  </si>
  <si>
    <t>9 deg frac err</t>
  </si>
  <si>
    <t>12 deg frac err</t>
  </si>
  <si>
    <t>15 deg frac err</t>
  </si>
  <si>
    <t>18 deg frac err</t>
  </si>
  <si>
    <t>Sum</t>
  </si>
  <si>
    <t>*Suppressor correct!</t>
  </si>
  <si>
    <t>summed!!</t>
  </si>
  <si>
    <t>bkgd</t>
  </si>
  <si>
    <t>uncertainty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</si>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</sst>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E+000"/>
    <numFmt numFmtId="165" formatCode="0.0000"/>
    <numFmt numFmtId="166" formatCode="[$$-409]#,##0.00;[Red]&quot;-&quot;[$$-4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2"/>
      <color theme="1"/>
      <name val="Liberation Sans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worksheet" Target="worksheets/sheet6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945579251152E-2"/>
          <c:y val="3.0321286259204799E-2"/>
          <c:w val="0.92508711183123704"/>
          <c:h val="0.87149154465863898"/>
        </c:manualLayout>
      </c:layout>
      <c:scatterChart>
        <c:scatterStyle val="lineMarker"/>
        <c:varyColors val="0"/>
        <c:ser>
          <c:idx val="0"/>
          <c:order val="0"/>
          <c:tx>
            <c:v>Present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965780905289552E-2"/>
                  <c:y val="-0.41553566570793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plus>
            <c:min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'1.8MeV'!$C$16:$C$22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'3.3MeV'!$O$16:$O$22</c:f>
              <c:numCache>
                <c:formatCode>0</c:formatCode>
                <c:ptCount val="7"/>
                <c:pt idx="0">
                  <c:v>68.99065772538755</c:v>
                </c:pt>
                <c:pt idx="1">
                  <c:v>43.305328163727161</c:v>
                </c:pt>
                <c:pt idx="2">
                  <c:v>54.532635465434204</c:v>
                </c:pt>
                <c:pt idx="3">
                  <c:v>43.305328163727161</c:v>
                </c:pt>
                <c:pt idx="4">
                  <c:v>49.720932336131185</c:v>
                </c:pt>
                <c:pt idx="5">
                  <c:v>48.11703129303018</c:v>
                </c:pt>
                <c:pt idx="6">
                  <c:v>40.097526077525146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29-2249-8B33-00B06F4829E0}"/>
            </c:ext>
          </c:extLst>
        </c:ser>
        <c:ser>
          <c:idx val="1"/>
          <c:order val="1"/>
          <c:tx>
            <c:v>Previous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ground_state!$W$11:$W$14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ground_state!$X$11:$X$14</c:f>
              <c:numCache>
                <c:formatCode>General</c:formatCode>
                <c:ptCount val="4"/>
                <c:pt idx="0">
                  <c:v>780</c:v>
                </c:pt>
                <c:pt idx="1">
                  <c:v>500</c:v>
                </c:pt>
                <c:pt idx="2">
                  <c:v>200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29-2249-8B33-00B06F4829E0}"/>
            </c:ext>
          </c:extLst>
        </c:ser>
        <c:ser>
          <c:idx val="2"/>
          <c:order val="2"/>
          <c:tx>
            <c:v>Online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plus>
            <c:min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xsec_online!$C$16:$C$22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xsec_online!$N$16:$N$22</c:f>
              <c:numCache>
                <c:formatCode>0</c:formatCode>
                <c:ptCount val="7"/>
                <c:pt idx="0">
                  <c:v>779.4069921326593</c:v>
                </c:pt>
                <c:pt idx="1">
                  <c:v>813.3133152314756</c:v>
                </c:pt>
                <c:pt idx="2">
                  <c:v>572.48964014763328</c:v>
                </c:pt>
                <c:pt idx="3">
                  <c:v>490.92900031615824</c:v>
                </c:pt>
                <c:pt idx="4">
                  <c:v>351.24148361786121</c:v>
                </c:pt>
                <c:pt idx="5">
                  <c:v>190.11703514116616</c:v>
                </c:pt>
                <c:pt idx="6">
                  <c:v>123.50038031877747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29-2249-8B33-00B06F48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849440"/>
        <c:axId val="-1473847808"/>
      </c:scatterChart>
      <c:valAx>
        <c:axId val="-14738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7808"/>
        <c:crosses val="autoZero"/>
        <c:crossBetween val="midCat"/>
      </c:valAx>
      <c:valAx>
        <c:axId val="-1473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945579251152E-2"/>
          <c:y val="3.0321286259204799E-2"/>
          <c:w val="0.92508711183123704"/>
          <c:h val="0.87149154465863898"/>
        </c:manualLayout>
      </c:layout>
      <c:scatterChart>
        <c:scatterStyle val="lineMarker"/>
        <c:varyColors val="0"/>
        <c:ser>
          <c:idx val="0"/>
          <c:order val="0"/>
          <c:tx>
            <c:v>Present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965780905289552E-2"/>
                  <c:y val="-0.41553566570793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plus>
            <c:min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'1.8MeV'!$C$16:$C$22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'2.4MeV'!$O$16:$O$22</c:f>
              <c:numCache>
                <c:formatCode>0</c:formatCode>
                <c:ptCount val="7"/>
                <c:pt idx="0">
                  <c:v>13.370282504920068</c:v>
                </c:pt>
                <c:pt idx="1">
                  <c:v>20.850713560313078</c:v>
                </c:pt>
                <c:pt idx="2">
                  <c:v>29.939486137885446</c:v>
                </c:pt>
                <c:pt idx="3">
                  <c:v>0</c:v>
                </c:pt>
                <c:pt idx="4">
                  <c:v>17.108277793077399</c:v>
                </c:pt>
                <c:pt idx="5">
                  <c:v>28.335585094784442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D2-4A49-B03D-57A84663CF5F}"/>
            </c:ext>
          </c:extLst>
        </c:ser>
        <c:ser>
          <c:idx val="1"/>
          <c:order val="1"/>
          <c:tx>
            <c:v>Previous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ground_state!$W$11:$W$14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ground_state!$X$11:$X$14</c:f>
              <c:numCache>
                <c:formatCode>General</c:formatCode>
                <c:ptCount val="4"/>
                <c:pt idx="0">
                  <c:v>780</c:v>
                </c:pt>
                <c:pt idx="1">
                  <c:v>500</c:v>
                </c:pt>
                <c:pt idx="2">
                  <c:v>200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D2-4A49-B03D-57A84663CF5F}"/>
            </c:ext>
          </c:extLst>
        </c:ser>
        <c:ser>
          <c:idx val="2"/>
          <c:order val="2"/>
          <c:tx>
            <c:v>Online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plus>
            <c:min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xsec_online!$C$16:$C$22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xsec_online!$N$16:$N$22</c:f>
              <c:numCache>
                <c:formatCode>0</c:formatCode>
                <c:ptCount val="7"/>
                <c:pt idx="0">
                  <c:v>779.4069921326593</c:v>
                </c:pt>
                <c:pt idx="1">
                  <c:v>813.3133152314756</c:v>
                </c:pt>
                <c:pt idx="2">
                  <c:v>572.48964014763328</c:v>
                </c:pt>
                <c:pt idx="3">
                  <c:v>490.92900031615824</c:v>
                </c:pt>
                <c:pt idx="4">
                  <c:v>351.24148361786121</c:v>
                </c:pt>
                <c:pt idx="5">
                  <c:v>190.11703514116616</c:v>
                </c:pt>
                <c:pt idx="6">
                  <c:v>123.50038031877747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D2-4A49-B03D-57A84663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849440"/>
        <c:axId val="-1473847808"/>
      </c:scatterChart>
      <c:valAx>
        <c:axId val="-14738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7808"/>
        <c:crosses val="autoZero"/>
        <c:crossBetween val="midCat"/>
      </c:valAx>
      <c:valAx>
        <c:axId val="-1473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945579251152E-2"/>
          <c:y val="3.0321286259204799E-2"/>
          <c:w val="0.92508711183123704"/>
          <c:h val="0.87149154465863898"/>
        </c:manualLayout>
      </c:layout>
      <c:scatterChart>
        <c:scatterStyle val="lineMarker"/>
        <c:varyColors val="0"/>
        <c:ser>
          <c:idx val="0"/>
          <c:order val="0"/>
          <c:tx>
            <c:v>Present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965780905289552E-2"/>
                  <c:y val="-0.41553566570793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plus>
            <c:min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'1.8MeV'!$C$16:$C$22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'1.5MeV'!$O$16:$O$22</c:f>
              <c:numCache>
                <c:formatCode>0</c:formatCode>
                <c:ptCount val="7"/>
                <c:pt idx="0">
                  <c:v>62.572922123025911</c:v>
                </c:pt>
                <c:pt idx="1">
                  <c:v>79.660418474016637</c:v>
                </c:pt>
                <c:pt idx="2">
                  <c:v>77.521883749881965</c:v>
                </c:pt>
                <c:pt idx="3">
                  <c:v>11.227307301707043</c:v>
                </c:pt>
                <c:pt idx="4">
                  <c:v>37.424357672356805</c:v>
                </c:pt>
                <c:pt idx="5">
                  <c:v>52.928734422333193</c:v>
                </c:pt>
                <c:pt idx="6">
                  <c:v>17.642911474111067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3F-304F-811E-5B1383C58B38}"/>
            </c:ext>
          </c:extLst>
        </c:ser>
        <c:ser>
          <c:idx val="1"/>
          <c:order val="1"/>
          <c:tx>
            <c:v>Previous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ground_state!$W$11:$W$14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ground_state!$X$11:$X$14</c:f>
              <c:numCache>
                <c:formatCode>General</c:formatCode>
                <c:ptCount val="4"/>
                <c:pt idx="0">
                  <c:v>780</c:v>
                </c:pt>
                <c:pt idx="1">
                  <c:v>500</c:v>
                </c:pt>
                <c:pt idx="2">
                  <c:v>200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3F-304F-811E-5B1383C58B38}"/>
            </c:ext>
          </c:extLst>
        </c:ser>
        <c:ser>
          <c:idx val="2"/>
          <c:order val="2"/>
          <c:tx>
            <c:v>Online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plus>
            <c:min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xsec_online!$C$16:$C$22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xsec_online!$N$16:$N$22</c:f>
              <c:numCache>
                <c:formatCode>0</c:formatCode>
                <c:ptCount val="7"/>
                <c:pt idx="0">
                  <c:v>779.4069921326593</c:v>
                </c:pt>
                <c:pt idx="1">
                  <c:v>813.3133152314756</c:v>
                </c:pt>
                <c:pt idx="2">
                  <c:v>572.48964014763328</c:v>
                </c:pt>
                <c:pt idx="3">
                  <c:v>490.92900031615824</c:v>
                </c:pt>
                <c:pt idx="4">
                  <c:v>351.24148361786121</c:v>
                </c:pt>
                <c:pt idx="5">
                  <c:v>190.11703514116616</c:v>
                </c:pt>
                <c:pt idx="6">
                  <c:v>123.50038031877747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3F-304F-811E-5B1383C58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849440"/>
        <c:axId val="-1473847808"/>
      </c:scatterChart>
      <c:valAx>
        <c:axId val="-14738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7808"/>
        <c:crosses val="autoZero"/>
        <c:crossBetween val="midCat"/>
      </c:valAx>
      <c:valAx>
        <c:axId val="-1473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945579251152E-2"/>
          <c:y val="3.0321286259204799E-2"/>
          <c:w val="0.92508711183123704"/>
          <c:h val="0.87149154465863898"/>
        </c:manualLayout>
      </c:layout>
      <c:scatterChart>
        <c:scatterStyle val="lineMarker"/>
        <c:varyColors val="0"/>
        <c:ser>
          <c:idx val="0"/>
          <c:order val="0"/>
          <c:tx>
            <c:v>Present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965780905289552E-2"/>
                  <c:y val="-0.41553566570793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plus>
            <c:min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'1.8MeV'!$C$16:$C$22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'1.8MeV'!$O$16:$O$22</c:f>
              <c:numCache>
                <c:formatCode>0</c:formatCode>
                <c:ptCount val="7"/>
                <c:pt idx="0">
                  <c:v>34.762734512792179</c:v>
                </c:pt>
                <c:pt idx="1">
                  <c:v>9.6234062586060354</c:v>
                </c:pt>
                <c:pt idx="2">
                  <c:v>19.246812517212071</c:v>
                </c:pt>
                <c:pt idx="3">
                  <c:v>56.93848703008571</c:v>
                </c:pt>
                <c:pt idx="4">
                  <c:v>25.127783008582426</c:v>
                </c:pt>
                <c:pt idx="5">
                  <c:v>0</c:v>
                </c:pt>
                <c:pt idx="6">
                  <c:v>4.8117031293030177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49-5647-B2B2-8EF6D7438608}"/>
            </c:ext>
          </c:extLst>
        </c:ser>
        <c:ser>
          <c:idx val="1"/>
          <c:order val="1"/>
          <c:tx>
            <c:v>Previous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ground_state!$W$11:$W$14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ground_state!$X$11:$X$14</c:f>
              <c:numCache>
                <c:formatCode>General</c:formatCode>
                <c:ptCount val="4"/>
                <c:pt idx="0">
                  <c:v>780</c:v>
                </c:pt>
                <c:pt idx="1">
                  <c:v>500</c:v>
                </c:pt>
                <c:pt idx="2">
                  <c:v>200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49-5647-B2B2-8EF6D7438608}"/>
            </c:ext>
          </c:extLst>
        </c:ser>
        <c:ser>
          <c:idx val="2"/>
          <c:order val="2"/>
          <c:tx>
            <c:v>Online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plus>
            <c:min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xsec_online!$C$16:$C$22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xsec_online!$N$16:$N$22</c:f>
              <c:numCache>
                <c:formatCode>0</c:formatCode>
                <c:ptCount val="7"/>
                <c:pt idx="0">
                  <c:v>779.4069921326593</c:v>
                </c:pt>
                <c:pt idx="1">
                  <c:v>813.3133152314756</c:v>
                </c:pt>
                <c:pt idx="2">
                  <c:v>572.48964014763328</c:v>
                </c:pt>
                <c:pt idx="3">
                  <c:v>490.92900031615824</c:v>
                </c:pt>
                <c:pt idx="4">
                  <c:v>351.24148361786121</c:v>
                </c:pt>
                <c:pt idx="5">
                  <c:v>190.11703514116616</c:v>
                </c:pt>
                <c:pt idx="6">
                  <c:v>123.50038031877747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49-5647-B2B2-8EF6D7438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849440"/>
        <c:axId val="-1473847808"/>
      </c:scatterChart>
      <c:valAx>
        <c:axId val="-14738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7808"/>
        <c:crosses val="autoZero"/>
        <c:crossBetween val="midCat"/>
      </c:valAx>
      <c:valAx>
        <c:axId val="-1473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945579251152E-2"/>
          <c:y val="3.0321286259204799E-2"/>
          <c:w val="0.92508711183123704"/>
          <c:h val="0.87149154465863898"/>
        </c:manualLayout>
      </c:layout>
      <c:scatterChart>
        <c:scatterStyle val="lineMarker"/>
        <c:varyColors val="0"/>
        <c:ser>
          <c:idx val="0"/>
          <c:order val="0"/>
          <c:tx>
            <c:v>Present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965780905289552E-2"/>
                  <c:y val="-0.41553566570793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plus>
            <c:min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ground_state!$C$16:$C$22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ground_state!$N$16:$N$22</c:f>
              <c:numCache>
                <c:formatCode>0</c:formatCode>
                <c:ptCount val="7"/>
                <c:pt idx="0">
                  <c:v>791.52072429126792</c:v>
                </c:pt>
                <c:pt idx="1">
                  <c:v>628.72920889559441</c:v>
                </c:pt>
                <c:pt idx="2">
                  <c:v>604.13605956804565</c:v>
                </c:pt>
                <c:pt idx="3">
                  <c:v>473.95275823634728</c:v>
                </c:pt>
                <c:pt idx="4">
                  <c:v>380.12454721493845</c:v>
                </c:pt>
                <c:pt idx="5">
                  <c:v>186.58715468075039</c:v>
                </c:pt>
                <c:pt idx="6">
                  <c:v>97.837963629161365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3-C748-8B64-145E01D9701A}"/>
            </c:ext>
          </c:extLst>
        </c:ser>
        <c:ser>
          <c:idx val="1"/>
          <c:order val="1"/>
          <c:tx>
            <c:v>Previous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ground_state!$W$11:$W$14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ground_state!$X$11:$X$14</c:f>
              <c:numCache>
                <c:formatCode>General</c:formatCode>
                <c:ptCount val="4"/>
                <c:pt idx="0">
                  <c:v>780</c:v>
                </c:pt>
                <c:pt idx="1">
                  <c:v>500</c:v>
                </c:pt>
                <c:pt idx="2">
                  <c:v>200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3-C748-8B64-145E01D9701A}"/>
            </c:ext>
          </c:extLst>
        </c:ser>
        <c:ser>
          <c:idx val="2"/>
          <c:order val="2"/>
          <c:tx>
            <c:v>Online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plus>
            <c:min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xsec_online!$C$16:$C$22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xsec_online!$N$16:$N$22</c:f>
              <c:numCache>
                <c:formatCode>0</c:formatCode>
                <c:ptCount val="7"/>
                <c:pt idx="0">
                  <c:v>779.4069921326593</c:v>
                </c:pt>
                <c:pt idx="1">
                  <c:v>813.3133152314756</c:v>
                </c:pt>
                <c:pt idx="2">
                  <c:v>572.48964014763328</c:v>
                </c:pt>
                <c:pt idx="3">
                  <c:v>490.92900031615824</c:v>
                </c:pt>
                <c:pt idx="4">
                  <c:v>351.24148361786121</c:v>
                </c:pt>
                <c:pt idx="5">
                  <c:v>190.11703514116616</c:v>
                </c:pt>
                <c:pt idx="6">
                  <c:v>123.50038031877747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43-C748-8B64-145E01D9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849440"/>
        <c:axId val="-1473847808"/>
      </c:scatterChart>
      <c:valAx>
        <c:axId val="-14738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7808"/>
        <c:crosses val="autoZero"/>
        <c:crossBetween val="midCat"/>
      </c:valAx>
      <c:valAx>
        <c:axId val="-1473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945579251152E-2"/>
          <c:y val="3.0321286259204799E-2"/>
          <c:w val="0.92508711183123704"/>
          <c:h val="0.87149154465863898"/>
        </c:manualLayout>
      </c:layout>
      <c:scatterChart>
        <c:scatterStyle val="lineMarker"/>
        <c:varyColors val="0"/>
        <c:ser>
          <c:idx val="0"/>
          <c:order val="0"/>
          <c:tx>
            <c:v>Ground State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965780905289552E-2"/>
                  <c:y val="-0.41553566570793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plus>
            <c:minus>
              <c:numRef>
                <c:f>ground_state!$O$16:$O$22</c:f>
                <c:numCache>
                  <c:formatCode>General</c:formatCode>
                  <c:ptCount val="7"/>
                  <c:pt idx="0">
                    <c:v>22.462074608265713</c:v>
                  </c:pt>
                  <c:pt idx="1">
                    <c:v>19.246812517212071</c:v>
                  </c:pt>
                  <c:pt idx="2">
                    <c:v>19.781446198245742</c:v>
                  </c:pt>
                  <c:pt idx="3">
                    <c:v>20.850713560313075</c:v>
                  </c:pt>
                  <c:pt idx="4">
                    <c:v>16.573644112043727</c:v>
                  </c:pt>
                  <c:pt idx="5">
                    <c:v>11.761940982740711</c:v>
                  </c:pt>
                  <c:pt idx="6">
                    <c:v>16.039010431010063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ground_state!$C$16:$C$22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ground_state!$N$16:$N$22</c:f>
              <c:numCache>
                <c:formatCode>0</c:formatCode>
                <c:ptCount val="7"/>
                <c:pt idx="0">
                  <c:v>791.52072429126792</c:v>
                </c:pt>
                <c:pt idx="1">
                  <c:v>628.72920889559441</c:v>
                </c:pt>
                <c:pt idx="2">
                  <c:v>604.13605956804565</c:v>
                </c:pt>
                <c:pt idx="3">
                  <c:v>473.95275823634728</c:v>
                </c:pt>
                <c:pt idx="4">
                  <c:v>380.12454721493845</c:v>
                </c:pt>
                <c:pt idx="5">
                  <c:v>186.58715468075039</c:v>
                </c:pt>
                <c:pt idx="6">
                  <c:v>97.837963629161365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76-C948-A33D-9E69AA19ECC8}"/>
            </c:ext>
          </c:extLst>
        </c:ser>
        <c:ser>
          <c:idx val="1"/>
          <c:order val="1"/>
          <c:tx>
            <c:v>Previous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ground_state!$W$11:$W$14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ground_state!$X$11:$X$14</c:f>
              <c:numCache>
                <c:formatCode>General</c:formatCode>
                <c:ptCount val="4"/>
                <c:pt idx="0">
                  <c:v>780</c:v>
                </c:pt>
                <c:pt idx="1">
                  <c:v>500</c:v>
                </c:pt>
                <c:pt idx="2">
                  <c:v>200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76-C948-A33D-9E69AA19ECC8}"/>
            </c:ext>
          </c:extLst>
        </c:ser>
        <c:ser>
          <c:idx val="2"/>
          <c:order val="2"/>
          <c:tx>
            <c:v>Online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plus>
            <c:minus>
              <c:numRef>
                <c:f>xsec_online!$O$16:$O$22</c:f>
                <c:numCache>
                  <c:formatCode>General</c:formatCode>
                  <c:ptCount val="7"/>
                  <c:pt idx="0">
                    <c:v>19.733403597825344</c:v>
                  </c:pt>
                  <c:pt idx="1">
                    <c:v>18.858250935624309</c:v>
                  </c:pt>
                  <c:pt idx="2">
                    <c:v>17.129356396571296</c:v>
                  </c:pt>
                  <c:pt idx="3">
                    <c:v>19.63716001264633</c:v>
                  </c:pt>
                  <c:pt idx="4">
                    <c:v>13.126510544312183</c:v>
                  </c:pt>
                  <c:pt idx="5">
                    <c:v>9.8703846631508956</c:v>
                  </c:pt>
                  <c:pt idx="6">
                    <c:v>14.074174534112405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xsec_online!$C$16:$C$22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xsec_online!$N$16:$N$22</c:f>
              <c:numCache>
                <c:formatCode>0</c:formatCode>
                <c:ptCount val="7"/>
                <c:pt idx="0">
                  <c:v>779.4069921326593</c:v>
                </c:pt>
                <c:pt idx="1">
                  <c:v>813.3133152314756</c:v>
                </c:pt>
                <c:pt idx="2">
                  <c:v>572.48964014763328</c:v>
                </c:pt>
                <c:pt idx="3">
                  <c:v>490.92900031615824</c:v>
                </c:pt>
                <c:pt idx="4">
                  <c:v>351.24148361786121</c:v>
                </c:pt>
                <c:pt idx="5">
                  <c:v>190.11703514116616</c:v>
                </c:pt>
                <c:pt idx="6">
                  <c:v>123.50038031877747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76-C948-A33D-9E69AA19ECC8}"/>
            </c:ext>
          </c:extLst>
        </c:ser>
        <c:ser>
          <c:idx val="3"/>
          <c:order val="3"/>
          <c:tx>
            <c:v>2+ 1st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'1.5MeV'!$C$16:$C$22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'1.5MeV'!$O$16:$O$22</c:f>
              <c:numCache>
                <c:formatCode>0</c:formatCode>
                <c:ptCount val="7"/>
                <c:pt idx="0">
                  <c:v>62.572922123025911</c:v>
                </c:pt>
                <c:pt idx="1">
                  <c:v>79.660418474016637</c:v>
                </c:pt>
                <c:pt idx="2">
                  <c:v>77.521883749881965</c:v>
                </c:pt>
                <c:pt idx="3">
                  <c:v>11.227307301707043</c:v>
                </c:pt>
                <c:pt idx="4">
                  <c:v>37.424357672356805</c:v>
                </c:pt>
                <c:pt idx="5">
                  <c:v>52.928734422333193</c:v>
                </c:pt>
                <c:pt idx="6">
                  <c:v>17.642911474111067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76-C948-A33D-9E69AA19ECC8}"/>
            </c:ext>
          </c:extLst>
        </c:ser>
        <c:ser>
          <c:idx val="4"/>
          <c:order val="4"/>
          <c:tx>
            <c:v>0+ 1st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'1.8MeV'!$C$16:$C$22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'1.8MeV'!$O$16:$O$22</c:f>
              <c:numCache>
                <c:formatCode>0</c:formatCode>
                <c:ptCount val="7"/>
                <c:pt idx="0">
                  <c:v>34.762734512792179</c:v>
                </c:pt>
                <c:pt idx="1">
                  <c:v>9.6234062586060354</c:v>
                </c:pt>
                <c:pt idx="2">
                  <c:v>19.246812517212071</c:v>
                </c:pt>
                <c:pt idx="3">
                  <c:v>56.93848703008571</c:v>
                </c:pt>
                <c:pt idx="4">
                  <c:v>25.127783008582426</c:v>
                </c:pt>
                <c:pt idx="5">
                  <c:v>0</c:v>
                </c:pt>
                <c:pt idx="6">
                  <c:v>4.8117031293030177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76-C948-A33D-9E69AA19ECC8}"/>
            </c:ext>
          </c:extLst>
        </c:ser>
        <c:ser>
          <c:idx val="5"/>
          <c:order val="5"/>
          <c:tx>
            <c:v>2+ 2nd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'2.4MeV'!$C$16:$C$22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'2.4MeV'!$O$16:$O$22</c:f>
              <c:numCache>
                <c:formatCode>0</c:formatCode>
                <c:ptCount val="7"/>
                <c:pt idx="0">
                  <c:v>13.370282504920068</c:v>
                </c:pt>
                <c:pt idx="1">
                  <c:v>20.850713560313078</c:v>
                </c:pt>
                <c:pt idx="2">
                  <c:v>29.939486137885446</c:v>
                </c:pt>
                <c:pt idx="3">
                  <c:v>0</c:v>
                </c:pt>
                <c:pt idx="4">
                  <c:v>17.108277793077399</c:v>
                </c:pt>
                <c:pt idx="5">
                  <c:v>28.335585094784442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76-C948-A33D-9E69AA19ECC8}"/>
            </c:ext>
          </c:extLst>
        </c:ser>
        <c:ser>
          <c:idx val="6"/>
          <c:order val="6"/>
          <c:tx>
            <c:v>0+ 2nd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'3.3MeV'!$C$16:$C$22</c:f>
              <c:numCache>
                <c:formatCode>General</c:formatCode>
                <c:ptCount val="7"/>
                <c:pt idx="0">
                  <c:v>0</c:v>
                </c:pt>
                <c:pt idx="1">
                  <c:v>3.093</c:v>
                </c:pt>
                <c:pt idx="2">
                  <c:v>6.1849999999999996</c:v>
                </c:pt>
                <c:pt idx="3">
                  <c:v>9.2769999999999992</c:v>
                </c:pt>
                <c:pt idx="4">
                  <c:v>12.368</c:v>
                </c:pt>
                <c:pt idx="5">
                  <c:v>15.458</c:v>
                </c:pt>
                <c:pt idx="6">
                  <c:v>18.547000000000001</c:v>
                </c:pt>
              </c:numCache>
            </c:numRef>
          </c:xVal>
          <c:yVal>
            <c:numRef>
              <c:f>'3.3MeV'!$O$16:$O$22</c:f>
              <c:numCache>
                <c:formatCode>0</c:formatCode>
                <c:ptCount val="7"/>
                <c:pt idx="0">
                  <c:v>68.99065772538755</c:v>
                </c:pt>
                <c:pt idx="1">
                  <c:v>43.305328163727161</c:v>
                </c:pt>
                <c:pt idx="2">
                  <c:v>54.532635465434204</c:v>
                </c:pt>
                <c:pt idx="3">
                  <c:v>43.305328163727161</c:v>
                </c:pt>
                <c:pt idx="4">
                  <c:v>49.720932336131185</c:v>
                </c:pt>
                <c:pt idx="5">
                  <c:v>48.11703129303018</c:v>
                </c:pt>
                <c:pt idx="6">
                  <c:v>40.097526077525146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76-C948-A33D-9E69AA19E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849440"/>
        <c:axId val="-1473847808"/>
      </c:scatterChart>
      <c:valAx>
        <c:axId val="-14738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7808"/>
        <c:crosses val="autoZero"/>
        <c:crossBetween val="midCat"/>
      </c:valAx>
      <c:valAx>
        <c:axId val="-1473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24 MeV 40Ar(3He,n)42Ca Cross Section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ground_state!#REF!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ground_state!#REF!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ground_state!#REF!</c:f>
            </c:numRef>
          </c:xVal>
          <c:yVal>
            <c:numRef>
              <c:f>ground_state!#REF!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0-2740-AE10-05456AD9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6137312"/>
        <c:axId val="-1475669232"/>
      </c:scatterChart>
      <c:valAx>
        <c:axId val="-1475669232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Cross Section (ub/sr)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-1496137312"/>
        <c:crossesAt val="0"/>
        <c:crossBetween val="midCat"/>
      </c:valAx>
      <c:valAx>
        <c:axId val="-14961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Theta CM (deg)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-14756692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24 MeV 40Ar(3He,n)42Ca Cross Section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xsec_online!$O$39:$O$45</c:f>
                <c:numCache>
                  <c:formatCode>General</c:formatCode>
                  <c:ptCount val="7"/>
                  <c:pt idx="0">
                    <c:v>21.541529459379898</c:v>
                  </c:pt>
                  <c:pt idx="1">
                    <c:v>19.089989905011709</c:v>
                  </c:pt>
                  <c:pt idx="2">
                    <c:v>15.371035849723249</c:v>
                  </c:pt>
                  <c:pt idx="3">
                    <c:v>11.351436029253817</c:v>
                  </c:pt>
                  <c:pt idx="4">
                    <c:v>10.059464635882531</c:v>
                  </c:pt>
                  <c:pt idx="5">
                    <c:v>6.9279166069489353</c:v>
                  </c:pt>
                  <c:pt idx="6">
                    <c:v>19.05235677707449</c:v>
                  </c:pt>
                </c:numCache>
              </c:numRef>
            </c:plus>
            <c:minus>
              <c:numRef>
                <c:f>xsec_online!$O$39:$O$45</c:f>
                <c:numCache>
                  <c:formatCode>General</c:formatCode>
                  <c:ptCount val="7"/>
                  <c:pt idx="0">
                    <c:v>21.541529459379898</c:v>
                  </c:pt>
                  <c:pt idx="1">
                    <c:v>19.089989905011709</c:v>
                  </c:pt>
                  <c:pt idx="2">
                    <c:v>15.371035849723249</c:v>
                  </c:pt>
                  <c:pt idx="3">
                    <c:v>11.351436029253817</c:v>
                  </c:pt>
                  <c:pt idx="4">
                    <c:v>10.059464635882531</c:v>
                  </c:pt>
                  <c:pt idx="5">
                    <c:v>6.9279166069489353</c:v>
                  </c:pt>
                  <c:pt idx="6">
                    <c:v>19.05235677707449</c:v>
                  </c:pt>
                </c:numCache>
              </c:numRef>
            </c:minus>
          </c:errBars>
          <c:xVal>
            <c:numRef>
              <c:f>xsec_online!$C$39:$C$45</c:f>
              <c:numCache>
                <c:formatCode>General</c:formatCode>
                <c:ptCount val="7"/>
                <c:pt idx="0">
                  <c:v>0</c:v>
                </c:pt>
                <c:pt idx="1">
                  <c:v>3.109</c:v>
                </c:pt>
                <c:pt idx="2">
                  <c:v>6.2169999999999996</c:v>
                </c:pt>
                <c:pt idx="3">
                  <c:v>9.3239999999999998</c:v>
                </c:pt>
                <c:pt idx="4">
                  <c:v>12.430999999999999</c:v>
                </c:pt>
                <c:pt idx="5">
                  <c:v>15.537000000000001</c:v>
                </c:pt>
                <c:pt idx="6">
                  <c:v>18.640999999999998</c:v>
                </c:pt>
              </c:numCache>
            </c:numRef>
          </c:xVal>
          <c:yVal>
            <c:numRef>
              <c:f>xsec_online!$N$39:$N$45</c:f>
              <c:numCache>
                <c:formatCode>General</c:formatCode>
                <c:ptCount val="7"/>
                <c:pt idx="0">
                  <c:v>666.0479275739558</c:v>
                </c:pt>
                <c:pt idx="1">
                  <c:v>596.69579949775061</c:v>
                </c:pt>
                <c:pt idx="2">
                  <c:v>341.98395844143226</c:v>
                </c:pt>
                <c:pt idx="3">
                  <c:v>182.68407396622342</c:v>
                </c:pt>
                <c:pt idx="4">
                  <c:v>152.8906257547923</c:v>
                </c:pt>
                <c:pt idx="5">
                  <c:v>70.990020382079607</c:v>
                </c:pt>
                <c:pt idx="6">
                  <c:v>167.1837522147176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C-8D42-BFC4-6AAC78DD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4912608"/>
        <c:axId val="-1495509488"/>
      </c:scatterChart>
      <c:valAx>
        <c:axId val="-1495509488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Cross Section (ub/sr)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-1474912608"/>
        <c:crossesAt val="0"/>
        <c:crossBetween val="midCat"/>
      </c:valAx>
      <c:valAx>
        <c:axId val="-14749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Theta CM (deg)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-14955094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18.65 MeV 40Ar(3He,n)42Ca Cross Section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xsec_online!$O$28:$O$34</c:f>
                <c:numCache>
                  <c:formatCode>General</c:formatCode>
                  <c:ptCount val="7"/>
                  <c:pt idx="0">
                    <c:v>21.134872861991084</c:v>
                  </c:pt>
                  <c:pt idx="1">
                    <c:v>35.094782188347224</c:v>
                  </c:pt>
                  <c:pt idx="2">
                    <c:v>35.824793495442592</c:v>
                  </c:pt>
                  <c:pt idx="3">
                    <c:v>22.889921241151164</c:v>
                  </c:pt>
                  <c:pt idx="4">
                    <c:v>20.576016576571163</c:v>
                  </c:pt>
                  <c:pt idx="5">
                    <c:v>12.053853067608875</c:v>
                  </c:pt>
                  <c:pt idx="6">
                    <c:v>27.167410369355878</c:v>
                  </c:pt>
                </c:numCache>
              </c:numRef>
            </c:plus>
            <c:minus>
              <c:numRef>
                <c:f>xsec_online!$O$28:$O$34</c:f>
                <c:numCache>
                  <c:formatCode>General</c:formatCode>
                  <c:ptCount val="7"/>
                  <c:pt idx="0">
                    <c:v>21.134872861991084</c:v>
                  </c:pt>
                  <c:pt idx="1">
                    <c:v>35.094782188347224</c:v>
                  </c:pt>
                  <c:pt idx="2">
                    <c:v>35.824793495442592</c:v>
                  </c:pt>
                  <c:pt idx="3">
                    <c:v>22.889921241151164</c:v>
                  </c:pt>
                  <c:pt idx="4">
                    <c:v>20.576016576571163</c:v>
                  </c:pt>
                  <c:pt idx="5">
                    <c:v>12.053853067608875</c:v>
                  </c:pt>
                  <c:pt idx="6">
                    <c:v>27.167410369355878</c:v>
                  </c:pt>
                </c:numCache>
              </c:numRef>
            </c:minus>
          </c:errBars>
          <c:xVal>
            <c:numRef>
              <c:f>xsec_online!$C$28:$C$34</c:f>
              <c:numCache>
                <c:formatCode>General</c:formatCode>
                <c:ptCount val="7"/>
                <c:pt idx="0">
                  <c:v>0</c:v>
                </c:pt>
                <c:pt idx="1">
                  <c:v>3.1030000000000002</c:v>
                </c:pt>
                <c:pt idx="2">
                  <c:v>6.2069999999999999</c:v>
                </c:pt>
                <c:pt idx="3">
                  <c:v>9.3089999999999993</c:v>
                </c:pt>
                <c:pt idx="4">
                  <c:v>12.411</c:v>
                </c:pt>
                <c:pt idx="5">
                  <c:v>15.512</c:v>
                </c:pt>
                <c:pt idx="6">
                  <c:v>18.611000000000001</c:v>
                </c:pt>
              </c:numCache>
            </c:numRef>
          </c:xVal>
          <c:yVal>
            <c:numRef>
              <c:f>xsec_online!$N$28:$N$34</c:f>
              <c:numCache>
                <c:formatCode>General</c:formatCode>
                <c:ptCount val="7"/>
                <c:pt idx="0">
                  <c:v>971.05483791293943</c:v>
                </c:pt>
                <c:pt idx="1">
                  <c:v>823.04559731897211</c:v>
                </c:pt>
                <c:pt idx="2">
                  <c:v>664.45093511330117</c:v>
                </c:pt>
                <c:pt idx="3">
                  <c:v>325.32690616374305</c:v>
                </c:pt>
                <c:pt idx="4">
                  <c:v>256.16934050486282</c:v>
                </c:pt>
                <c:pt idx="5">
                  <c:v>105.08305480398967</c:v>
                </c:pt>
                <c:pt idx="6">
                  <c:v>115.2615605966956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F-0D46-89FA-4160A5DAD3E7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diamond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xsec_online!$Y$27:$Y$28</c:f>
                <c:numCache>
                  <c:formatCode>General</c:formatCode>
                  <c:ptCount val="2"/>
                  <c:pt idx="0">
                    <c:v>170</c:v>
                  </c:pt>
                  <c:pt idx="1">
                    <c:v>18</c:v>
                  </c:pt>
                </c:numCache>
              </c:numRef>
            </c:plus>
            <c:minus>
              <c:numRef>
                <c:f>xsec_online!$Y$27:$Y$28</c:f>
                <c:numCache>
                  <c:formatCode>General</c:formatCode>
                  <c:ptCount val="2"/>
                  <c:pt idx="0">
                    <c:v>170</c:v>
                  </c:pt>
                  <c:pt idx="1">
                    <c:v>18</c:v>
                  </c:pt>
                </c:numCache>
              </c:numRef>
            </c:minus>
          </c:errBars>
          <c:xVal>
            <c:numRef>
              <c:f>xsec_online!$W$27:$W$28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xsec_online!$X$27:$X$28</c:f>
              <c:numCache>
                <c:formatCode>General</c:formatCode>
                <c:ptCount val="2"/>
                <c:pt idx="0">
                  <c:v>810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F-0D46-89FA-4160A5DA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4493088"/>
        <c:axId val="-1471917072"/>
      </c:scatterChart>
      <c:valAx>
        <c:axId val="-1471917072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Cross Section (ub/sr)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-1474493088"/>
        <c:crossesAt val="0"/>
        <c:crossBetween val="midCat"/>
      </c:valAx>
      <c:valAx>
        <c:axId val="-147449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Theta CM (deg)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-14719170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8A2D82-643B-504E-90EF-75D62653DFA8}">
  <sheetPr/>
  <sheetViews>
    <sheetView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A22E8E-5F84-E147-8B85-3CB072F92C03}">
  <sheetPr/>
  <sheetViews>
    <sheetView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8CF428-F5D8-DE44-9FA3-5FDC4A956CC0}">
  <sheetPr/>
  <sheetViews>
    <sheetView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1D54C9-5850-584E-AF8C-07B917C6412E}">
  <sheetPr/>
  <sheetViews>
    <sheetView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EFE89-CB99-2F41-B465-CC4967914B15}">
  <sheetPr/>
  <sheetViews>
    <sheetView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79792-780F-834F-9290-58ABBA4EE4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B5A38-082E-4546-B405-DA6166AB40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78239-2497-B04C-AA4A-B443A982E3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2E83A-E0FB-3744-BAFD-87BBE6E8BB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CA85C-5B17-4E44-BC3E-50797777D0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15733074" y="6926397"/>
    <xdr:ext cx="3278855" cy="2812328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5733074" y="6926397"/>
    <xdr:ext cx="3278855" cy="2812328"/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5639440" y="3701856"/>
    <xdr:ext cx="3278855" cy="2812328"/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DAEA-FD6C-E74A-BF39-73BAB03AA1B8}">
  <dimension ref="C3:Z49"/>
  <sheetViews>
    <sheetView tabSelected="1" topLeftCell="N11" zoomScale="191" zoomScaleNormal="90" workbookViewId="0">
      <selection activeCell="F22" sqref="F22"/>
    </sheetView>
  </sheetViews>
  <sheetFormatPr baseColWidth="10" defaultColWidth="8.83203125" defaultRowHeight="15"/>
  <cols>
    <col min="1" max="2" width="10.6640625" customWidth="1"/>
    <col min="3" max="3" width="10.6640625" style="1" customWidth="1"/>
    <col min="4" max="4" width="16.1640625" style="1" customWidth="1"/>
    <col min="5" max="6" width="10.6640625" style="1" customWidth="1"/>
    <col min="7" max="7" width="11.5" style="1" customWidth="1"/>
    <col min="8" max="8" width="10.6640625" style="1" customWidth="1"/>
    <col min="9" max="9" width="15" style="1" customWidth="1"/>
    <col min="10" max="10" width="12.1640625" style="1" customWidth="1"/>
    <col min="11" max="12" width="13" style="1" customWidth="1"/>
    <col min="13" max="14" width="10.6640625" style="1" customWidth="1"/>
    <col min="15" max="15" width="19.1640625" style="1" customWidth="1"/>
    <col min="16" max="16" width="13.1640625" style="1" customWidth="1"/>
    <col min="17" max="18" width="10.6640625" style="1" customWidth="1"/>
    <col min="19" max="19" width="15.1640625" style="1" customWidth="1"/>
    <col min="20" max="20" width="14.5" style="1" customWidth="1"/>
    <col min="21" max="26" width="10.6640625" style="1" customWidth="1"/>
    <col min="27" max="1025" width="10.6640625" customWidth="1"/>
  </cols>
  <sheetData>
    <row r="3" spans="3:21">
      <c r="D3" s="2" t="s">
        <v>0</v>
      </c>
    </row>
    <row r="4" spans="3:21">
      <c r="D4" s="1" t="s">
        <v>1</v>
      </c>
      <c r="E4" s="3">
        <v>1E-10</v>
      </c>
      <c r="F4" s="3"/>
      <c r="G4" s="3"/>
      <c r="I4" s="1" t="s">
        <v>2</v>
      </c>
      <c r="J4" s="1">
        <f>2.54*5/2</f>
        <v>6.35</v>
      </c>
    </row>
    <row r="5" spans="3:21">
      <c r="D5" s="1" t="s">
        <v>3</v>
      </c>
      <c r="E5" s="3">
        <v>1.602E-19</v>
      </c>
      <c r="F5" s="3"/>
      <c r="G5" s="3"/>
      <c r="I5" s="1" t="s">
        <v>4</v>
      </c>
      <c r="J5" s="1">
        <v>1300</v>
      </c>
    </row>
    <row r="6" spans="3:21">
      <c r="D6" s="1" t="s">
        <v>5</v>
      </c>
      <c r="E6" s="1">
        <v>2</v>
      </c>
      <c r="I6" s="1" t="s">
        <v>6</v>
      </c>
      <c r="J6" s="4">
        <f>PI()*$J$4^2/$J$5^2</f>
        <v>7.4956727677144634E-5</v>
      </c>
    </row>
    <row r="7" spans="3:21" ht="16">
      <c r="D7" s="1" t="s">
        <v>7</v>
      </c>
      <c r="E7" s="1">
        <v>0.62</v>
      </c>
      <c r="T7" s="9"/>
      <c r="U7" s="9"/>
    </row>
    <row r="8" spans="3:21">
      <c r="D8" s="1" t="s">
        <v>8</v>
      </c>
    </row>
    <row r="10" spans="3:21">
      <c r="D10" s="1" t="s">
        <v>9</v>
      </c>
      <c r="E10" s="1">
        <v>16</v>
      </c>
    </row>
    <row r="11" spans="3:21">
      <c r="D11" s="1" t="s">
        <v>12</v>
      </c>
      <c r="E11" s="1">
        <f>2.54*0.5</f>
        <v>1.27</v>
      </c>
    </row>
    <row r="13" spans="3:21">
      <c r="E13" s="2" t="s">
        <v>13</v>
      </c>
      <c r="F13" s="2"/>
      <c r="G13" s="2"/>
    </row>
    <row r="14" spans="3:21">
      <c r="L14" s="1" t="s">
        <v>14</v>
      </c>
    </row>
    <row r="15" spans="3:21">
      <c r="C15" s="1" t="s">
        <v>10</v>
      </c>
      <c r="E15" s="2" t="s">
        <v>15</v>
      </c>
      <c r="F15" s="2" t="s">
        <v>58</v>
      </c>
      <c r="G15" s="2" t="s">
        <v>16</v>
      </c>
      <c r="H15" s="2" t="s">
        <v>17</v>
      </c>
      <c r="I15" s="2" t="s">
        <v>18</v>
      </c>
      <c r="J15" s="2" t="s">
        <v>19</v>
      </c>
      <c r="K15" s="2" t="s">
        <v>20</v>
      </c>
      <c r="L15" s="2" t="s">
        <v>21</v>
      </c>
      <c r="M15" s="2" t="s">
        <v>22</v>
      </c>
      <c r="N15" s="2" t="s">
        <v>23</v>
      </c>
      <c r="O15" s="2" t="s">
        <v>24</v>
      </c>
      <c r="P15" s="2" t="s">
        <v>25</v>
      </c>
      <c r="Q15" s="2"/>
    </row>
    <row r="16" spans="3:21">
      <c r="C16" s="1">
        <v>0</v>
      </c>
      <c r="D16" s="2" t="s">
        <v>26</v>
      </c>
      <c r="E16" s="10">
        <v>129</v>
      </c>
      <c r="F16" s="10">
        <v>23</v>
      </c>
      <c r="G16" s="3">
        <f>background!I7/background!$E$7/background!$H$7</f>
        <v>1.6297236182332687E-5</v>
      </c>
      <c r="H16" s="1">
        <f>yields!$E$7</f>
        <v>7288757.2000000002</v>
      </c>
      <c r="I16" s="4">
        <f t="shared" ref="I16:I22" si="0">H16*$E$4/$E$5/$E$6</f>
        <v>2274893008739076.5</v>
      </c>
      <c r="J16" s="1">
        <f>$E$10/14.7*101325/8.314/293/100^3*6.02E+23*$E$11</f>
        <v>3.4613206393098199E+19</v>
      </c>
      <c r="K16" s="1">
        <v>0.13</v>
      </c>
      <c r="L16" s="1">
        <v>0.94</v>
      </c>
      <c r="M16" s="4">
        <f>3*$J$6</f>
        <v>2.248701830314339E-4</v>
      </c>
      <c r="N16" s="1">
        <f>yields!$H$7</f>
        <v>0.86415876175935469</v>
      </c>
      <c r="O16" s="8">
        <f t="shared" ref="O16:P22" si="1">(E16)/($I16*$J16*$K16*$L16*$M16*$N16)*10^30</f>
        <v>68.99065772538755</v>
      </c>
      <c r="P16" s="8">
        <f t="shared" si="1"/>
        <v>12.30065990452646</v>
      </c>
      <c r="Q16" s="8"/>
      <c r="R16" s="7"/>
    </row>
    <row r="17" spans="3:26">
      <c r="C17" s="1">
        <v>3.093</v>
      </c>
      <c r="D17" s="2" t="s">
        <v>27</v>
      </c>
      <c r="E17" s="10">
        <v>81</v>
      </c>
      <c r="F17" s="10">
        <v>18</v>
      </c>
      <c r="G17" s="3">
        <f>background!J7/background!$E$7/background!$H$7</f>
        <v>5.3780879401697868E-5</v>
      </c>
      <c r="H17" s="1">
        <f>yields!$E$7</f>
        <v>7288757.2000000002</v>
      </c>
      <c r="I17" s="4">
        <f t="shared" si="0"/>
        <v>2274893008739076.5</v>
      </c>
      <c r="J17" s="1">
        <f t="shared" ref="J17:J22" si="2">$E$10/14.7*101325/8.314*6.022E+23/293/100^3*$E$11</f>
        <v>3.4624705797215506E+19</v>
      </c>
      <c r="K17" s="1">
        <v>0.13</v>
      </c>
      <c r="L17" s="1">
        <v>0.94</v>
      </c>
      <c r="M17" s="4">
        <f>3*$J$6</f>
        <v>2.248701830314339E-4</v>
      </c>
      <c r="N17" s="1">
        <f>yields!$H$7</f>
        <v>0.86415876175935469</v>
      </c>
      <c r="O17" s="8">
        <f t="shared" si="1"/>
        <v>43.305328163727161</v>
      </c>
      <c r="P17" s="8">
        <f t="shared" si="1"/>
        <v>9.6234062586060354</v>
      </c>
      <c r="R17" s="7"/>
    </row>
    <row r="18" spans="3:26">
      <c r="C18" s="1">
        <v>6.1849999999999996</v>
      </c>
      <c r="D18" s="2" t="s">
        <v>28</v>
      </c>
      <c r="E18" s="10">
        <v>102</v>
      </c>
      <c r="F18" s="10">
        <v>19</v>
      </c>
      <c r="G18" s="3">
        <f>background!K7/background!$E$7/background!$H$7</f>
        <v>7.3337562820497094E-6</v>
      </c>
      <c r="H18" s="1">
        <f>yields!$E$7</f>
        <v>7288757.2000000002</v>
      </c>
      <c r="I18" s="4">
        <f t="shared" si="0"/>
        <v>2274893008739076.5</v>
      </c>
      <c r="J18" s="1">
        <f t="shared" si="2"/>
        <v>3.4624705797215506E+19</v>
      </c>
      <c r="K18" s="1">
        <v>0.13</v>
      </c>
      <c r="L18" s="1">
        <v>0.94</v>
      </c>
      <c r="M18" s="4">
        <f>3*$J$6</f>
        <v>2.248701830314339E-4</v>
      </c>
      <c r="N18" s="1">
        <f>yields!$H$7</f>
        <v>0.86415876175935469</v>
      </c>
      <c r="O18" s="8">
        <f t="shared" si="1"/>
        <v>54.532635465434204</v>
      </c>
      <c r="P18" s="8">
        <f t="shared" si="1"/>
        <v>10.158039939639705</v>
      </c>
      <c r="R18" s="7"/>
    </row>
    <row r="19" spans="3:26">
      <c r="C19" s="1">
        <v>9.2769999999999992</v>
      </c>
      <c r="D19" s="2" t="s">
        <v>29</v>
      </c>
      <c r="E19" s="10">
        <v>54</v>
      </c>
      <c r="F19" s="10">
        <v>15</v>
      </c>
      <c r="G19" s="3">
        <f>background!L7/background!$E$7/background!$H$7</f>
        <v>2.0371545227915859E-6</v>
      </c>
      <c r="H19" s="1">
        <f>yields!$E$7</f>
        <v>7288757.2000000002</v>
      </c>
      <c r="I19" s="4">
        <f t="shared" si="0"/>
        <v>2274893008739076.5</v>
      </c>
      <c r="J19" s="1">
        <f t="shared" si="2"/>
        <v>3.4624705797215506E+19</v>
      </c>
      <c r="K19" s="1">
        <v>0.13</v>
      </c>
      <c r="L19" s="1">
        <v>0.94</v>
      </c>
      <c r="M19" s="4">
        <f>2*$J$6</f>
        <v>1.4991345535428927E-4</v>
      </c>
      <c r="N19" s="1">
        <f>yields!$H$7</f>
        <v>0.86415876175935469</v>
      </c>
      <c r="O19" s="8">
        <f t="shared" si="1"/>
        <v>43.305328163727161</v>
      </c>
      <c r="P19" s="8">
        <f t="shared" si="1"/>
        <v>12.029257823257545</v>
      </c>
      <c r="R19" s="7"/>
    </row>
    <row r="20" spans="3:26">
      <c r="C20" s="1">
        <v>12.368</v>
      </c>
      <c r="D20" s="2" t="s">
        <v>30</v>
      </c>
      <c r="E20" s="10">
        <v>93</v>
      </c>
      <c r="F20" s="10">
        <v>21</v>
      </c>
      <c r="G20" s="3">
        <f>background!M7/background!$E$7/background!$H$7</f>
        <v>9.370910804841297E-6</v>
      </c>
      <c r="H20" s="1">
        <f>yields!$E$7</f>
        <v>7288757.2000000002</v>
      </c>
      <c r="I20" s="4">
        <f t="shared" si="0"/>
        <v>2274893008739076.5</v>
      </c>
      <c r="J20" s="1">
        <f t="shared" si="2"/>
        <v>3.4624705797215506E+19</v>
      </c>
      <c r="K20" s="1">
        <v>0.13</v>
      </c>
      <c r="L20" s="1">
        <v>0.94</v>
      </c>
      <c r="M20" s="4">
        <f>3*$J$6</f>
        <v>2.248701830314339E-4</v>
      </c>
      <c r="N20" s="1">
        <f>yields!$H$7</f>
        <v>0.86415876175935469</v>
      </c>
      <c r="O20" s="8">
        <f t="shared" si="1"/>
        <v>49.720932336131185</v>
      </c>
      <c r="P20" s="8">
        <f t="shared" si="1"/>
        <v>11.227307301707043</v>
      </c>
      <c r="R20" s="7"/>
    </row>
    <row r="21" spans="3:26">
      <c r="C21" s="1">
        <v>15.458</v>
      </c>
      <c r="D21" s="2" t="s">
        <v>31</v>
      </c>
      <c r="E21" s="10">
        <v>90</v>
      </c>
      <c r="F21" s="10">
        <v>19</v>
      </c>
      <c r="G21" s="3">
        <f>background!N7/background!$E$7/background!$H$7</f>
        <v>2.4445854273499034E-6</v>
      </c>
      <c r="H21" s="1">
        <f>yields!$E$7</f>
        <v>7288757.2000000002</v>
      </c>
      <c r="I21" s="4">
        <f t="shared" si="0"/>
        <v>2274893008739076.5</v>
      </c>
      <c r="J21" s="1">
        <f t="shared" si="2"/>
        <v>3.4624705797215506E+19</v>
      </c>
      <c r="K21" s="1">
        <v>0.13</v>
      </c>
      <c r="L21" s="1">
        <v>0.94</v>
      </c>
      <c r="M21" s="4">
        <f>3*$J$6</f>
        <v>2.248701830314339E-4</v>
      </c>
      <c r="N21" s="1">
        <f>yields!$H$7</f>
        <v>0.86415876175935469</v>
      </c>
      <c r="O21" s="8">
        <f t="shared" si="1"/>
        <v>48.11703129303018</v>
      </c>
      <c r="P21" s="8">
        <f t="shared" si="1"/>
        <v>10.158039939639705</v>
      </c>
      <c r="R21" s="7"/>
    </row>
    <row r="22" spans="3:26">
      <c r="C22" s="1">
        <v>18.547000000000001</v>
      </c>
      <c r="D22" s="2" t="s">
        <v>32</v>
      </c>
      <c r="E22" s="10">
        <v>25</v>
      </c>
      <c r="F22" s="10">
        <v>9</v>
      </c>
      <c r="G22" s="3">
        <f>background!O7/background!$E$7/background!$H$7</f>
        <v>0</v>
      </c>
      <c r="H22" s="1">
        <f>yields!$E$7</f>
        <v>7288757.2000000002</v>
      </c>
      <c r="I22" s="4">
        <f t="shared" si="0"/>
        <v>2274893008739076.5</v>
      </c>
      <c r="J22" s="1">
        <f t="shared" si="2"/>
        <v>3.4624705797215506E+19</v>
      </c>
      <c r="K22" s="1">
        <v>0.13</v>
      </c>
      <c r="L22" s="1">
        <v>0.94</v>
      </c>
      <c r="M22" s="4">
        <f>1*$J$6</f>
        <v>7.4956727677144634E-5</v>
      </c>
      <c r="N22" s="1">
        <f>yields!$H$7</f>
        <v>0.86415876175935469</v>
      </c>
      <c r="O22" s="8">
        <f t="shared" si="1"/>
        <v>40.097526077525146</v>
      </c>
      <c r="P22" s="8">
        <f t="shared" si="1"/>
        <v>14.435109387909053</v>
      </c>
      <c r="R22" s="4"/>
    </row>
    <row r="24" spans="3:26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3:26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3:26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3:26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3:26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3:26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3:26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3:26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3:26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2:26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2:26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2:26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2:26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2:26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2:26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2:26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2:26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2:26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2:26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2:26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2:26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2:26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2:26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9" spans="5:7">
      <c r="E49" s="2"/>
      <c r="F49" s="2"/>
      <c r="G49" s="2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DE13-EAF0-C848-9E62-93E813F35277}">
  <dimension ref="C3:Z49"/>
  <sheetViews>
    <sheetView topLeftCell="N8" zoomScale="159" zoomScaleNormal="90" workbookViewId="0">
      <selection activeCell="F22" sqref="F22"/>
    </sheetView>
  </sheetViews>
  <sheetFormatPr baseColWidth="10" defaultColWidth="8.83203125" defaultRowHeight="15"/>
  <cols>
    <col min="1" max="2" width="10.6640625" customWidth="1"/>
    <col min="3" max="3" width="10.6640625" style="1" customWidth="1"/>
    <col min="4" max="4" width="16.1640625" style="1" customWidth="1"/>
    <col min="5" max="5" width="11.5" style="1" customWidth="1"/>
    <col min="6" max="6" width="14.6640625" style="1" customWidth="1"/>
    <col min="7" max="7" width="11.5" style="1" customWidth="1"/>
    <col min="8" max="8" width="10.6640625" style="1" customWidth="1"/>
    <col min="9" max="9" width="15" style="1" customWidth="1"/>
    <col min="10" max="10" width="12.1640625" style="1" customWidth="1"/>
    <col min="11" max="12" width="13" style="1" customWidth="1"/>
    <col min="13" max="14" width="10.6640625" style="1" customWidth="1"/>
    <col min="15" max="15" width="19.1640625" style="1" customWidth="1"/>
    <col min="16" max="16" width="13.1640625" style="1" customWidth="1"/>
    <col min="17" max="18" width="10.6640625" style="1" customWidth="1"/>
    <col min="19" max="19" width="15.1640625" style="1" customWidth="1"/>
    <col min="20" max="20" width="14.5" style="1" customWidth="1"/>
    <col min="21" max="26" width="10.6640625" style="1" customWidth="1"/>
    <col min="27" max="1025" width="10.6640625" customWidth="1"/>
  </cols>
  <sheetData>
    <row r="3" spans="3:21">
      <c r="D3" s="2" t="s">
        <v>0</v>
      </c>
    </row>
    <row r="4" spans="3:21">
      <c r="D4" s="1" t="s">
        <v>1</v>
      </c>
      <c r="E4" s="3">
        <v>1E-10</v>
      </c>
      <c r="F4" s="3"/>
      <c r="G4" s="3"/>
      <c r="I4" s="1" t="s">
        <v>2</v>
      </c>
      <c r="J4" s="1">
        <f>2.54*5/2</f>
        <v>6.35</v>
      </c>
    </row>
    <row r="5" spans="3:21">
      <c r="D5" s="1" t="s">
        <v>3</v>
      </c>
      <c r="E5" s="3">
        <v>1.602E-19</v>
      </c>
      <c r="F5" s="3"/>
      <c r="G5" s="3"/>
      <c r="I5" s="1" t="s">
        <v>4</v>
      </c>
      <c r="J5" s="1">
        <v>1300</v>
      </c>
    </row>
    <row r="6" spans="3:21">
      <c r="D6" s="1" t="s">
        <v>5</v>
      </c>
      <c r="E6" s="1">
        <v>2</v>
      </c>
      <c r="I6" s="1" t="s">
        <v>6</v>
      </c>
      <c r="J6" s="4">
        <f>PI()*$J$4^2/$J$5^2</f>
        <v>7.4956727677144634E-5</v>
      </c>
    </row>
    <row r="7" spans="3:21" ht="16">
      <c r="D7" s="1" t="s">
        <v>7</v>
      </c>
      <c r="E7" s="1">
        <v>0.62</v>
      </c>
      <c r="T7" s="9"/>
      <c r="U7" s="9"/>
    </row>
    <row r="8" spans="3:21">
      <c r="D8" s="1" t="s">
        <v>8</v>
      </c>
    </row>
    <row r="10" spans="3:21">
      <c r="D10" s="1" t="s">
        <v>9</v>
      </c>
      <c r="E10" s="1">
        <v>16</v>
      </c>
    </row>
    <row r="11" spans="3:21">
      <c r="D11" s="1" t="s">
        <v>12</v>
      </c>
      <c r="E11" s="1">
        <f>2.54*0.5</f>
        <v>1.27</v>
      </c>
    </row>
    <row r="13" spans="3:21">
      <c r="E13" s="2" t="s">
        <v>13</v>
      </c>
      <c r="F13" s="2"/>
      <c r="G13" s="2"/>
    </row>
    <row r="14" spans="3:21">
      <c r="L14" s="1" t="s">
        <v>14</v>
      </c>
    </row>
    <row r="15" spans="3:21">
      <c r="C15" s="1" t="s">
        <v>10</v>
      </c>
      <c r="E15" s="2" t="s">
        <v>15</v>
      </c>
      <c r="F15" s="2" t="s">
        <v>58</v>
      </c>
      <c r="G15" s="2" t="s">
        <v>16</v>
      </c>
      <c r="H15" s="2" t="s">
        <v>17</v>
      </c>
      <c r="I15" s="2" t="s">
        <v>18</v>
      </c>
      <c r="J15" s="2" t="s">
        <v>19</v>
      </c>
      <c r="K15" s="2" t="s">
        <v>20</v>
      </c>
      <c r="L15" s="2" t="s">
        <v>21</v>
      </c>
      <c r="M15" s="2" t="s">
        <v>22</v>
      </c>
      <c r="N15" s="2" t="s">
        <v>23</v>
      </c>
      <c r="O15" s="2" t="s">
        <v>24</v>
      </c>
      <c r="P15" s="2" t="s">
        <v>25</v>
      </c>
      <c r="Q15" s="2"/>
    </row>
    <row r="16" spans="3:21">
      <c r="C16" s="1">
        <v>0</v>
      </c>
      <c r="D16" s="2" t="s">
        <v>26</v>
      </c>
      <c r="E16" s="10">
        <v>25</v>
      </c>
      <c r="F16" s="10">
        <v>21</v>
      </c>
      <c r="G16" s="3">
        <f>background!I7/background!$E$7/background!$H$7</f>
        <v>1.6297236182332687E-5</v>
      </c>
      <c r="H16" s="1">
        <f>yields!$E$7</f>
        <v>7288757.2000000002</v>
      </c>
      <c r="I16" s="4">
        <f t="shared" ref="I16:I22" si="0">H16*$E$4/$E$5/$E$6</f>
        <v>2274893008739076.5</v>
      </c>
      <c r="J16" s="1">
        <f>$E$10/14.7*101325/8.314/293/100^3*6.02E+23*$E$11</f>
        <v>3.4613206393098199E+19</v>
      </c>
      <c r="K16" s="1">
        <v>0.13</v>
      </c>
      <c r="L16" s="1">
        <v>0.94</v>
      </c>
      <c r="M16" s="4">
        <f>3*$J$6</f>
        <v>2.248701830314339E-4</v>
      </c>
      <c r="N16" s="1">
        <f>yields!$H$7</f>
        <v>0.86415876175935469</v>
      </c>
      <c r="O16" s="8">
        <f t="shared" ref="O16:P22" si="1">(E16)/($I16*$J16*$K16*$L16*$M16*$N16)*10^30</f>
        <v>13.370282504920068</v>
      </c>
      <c r="P16" s="8">
        <f t="shared" si="1"/>
        <v>11.231037304132856</v>
      </c>
      <c r="Q16" s="8"/>
      <c r="R16" s="7"/>
    </row>
    <row r="17" spans="3:26">
      <c r="C17" s="1">
        <v>3.093</v>
      </c>
      <c r="D17" s="2" t="s">
        <v>27</v>
      </c>
      <c r="E17" s="10">
        <v>39</v>
      </c>
      <c r="F17" s="10">
        <v>15</v>
      </c>
      <c r="G17" s="3">
        <f>background!J7/background!$E$7/background!$H$7</f>
        <v>5.3780879401697868E-5</v>
      </c>
      <c r="H17" s="1">
        <f>yields!$E$7</f>
        <v>7288757.2000000002</v>
      </c>
      <c r="I17" s="4">
        <f t="shared" si="0"/>
        <v>2274893008739076.5</v>
      </c>
      <c r="J17" s="1">
        <f t="shared" ref="J17:J22" si="2">$E$10/14.7*101325/8.314*6.022E+23/293/100^3*$E$11</f>
        <v>3.4624705797215506E+19</v>
      </c>
      <c r="K17" s="1">
        <v>0.13</v>
      </c>
      <c r="L17" s="1">
        <v>0.94</v>
      </c>
      <c r="M17" s="4">
        <f>3*$J$6</f>
        <v>2.248701830314339E-4</v>
      </c>
      <c r="N17" s="1">
        <f>yields!$H$7</f>
        <v>0.86415876175935469</v>
      </c>
      <c r="O17" s="8">
        <f t="shared" si="1"/>
        <v>20.850713560313078</v>
      </c>
      <c r="P17" s="8">
        <f t="shared" si="1"/>
        <v>8.0195052155050313</v>
      </c>
      <c r="R17" s="7"/>
    </row>
    <row r="18" spans="3:26">
      <c r="C18" s="1">
        <v>6.1849999999999996</v>
      </c>
      <c r="D18" s="2" t="s">
        <v>28</v>
      </c>
      <c r="E18" s="10">
        <v>56</v>
      </c>
      <c r="F18" s="10">
        <v>20</v>
      </c>
      <c r="G18" s="3">
        <f>background!K7/background!$E$7/background!$H$7</f>
        <v>7.3337562820497094E-6</v>
      </c>
      <c r="H18" s="1">
        <f>yields!$E$7</f>
        <v>7288757.2000000002</v>
      </c>
      <c r="I18" s="4">
        <f t="shared" si="0"/>
        <v>2274893008739076.5</v>
      </c>
      <c r="J18" s="1">
        <f t="shared" si="2"/>
        <v>3.4624705797215506E+19</v>
      </c>
      <c r="K18" s="1">
        <v>0.13</v>
      </c>
      <c r="L18" s="1">
        <v>0.94</v>
      </c>
      <c r="M18" s="4">
        <f>3*$J$6</f>
        <v>2.248701830314339E-4</v>
      </c>
      <c r="N18" s="1">
        <f>yields!$H$7</f>
        <v>0.86415876175935469</v>
      </c>
      <c r="O18" s="8">
        <f t="shared" si="1"/>
        <v>29.939486137885446</v>
      </c>
      <c r="P18" s="8">
        <f t="shared" si="1"/>
        <v>10.692673620673373</v>
      </c>
      <c r="R18" s="7"/>
    </row>
    <row r="19" spans="3:26">
      <c r="C19" s="1">
        <v>9.2769999999999992</v>
      </c>
      <c r="D19" s="2" t="s">
        <v>29</v>
      </c>
      <c r="E19" s="10">
        <v>0</v>
      </c>
      <c r="F19" s="10">
        <v>0</v>
      </c>
      <c r="G19" s="3">
        <f>background!L7/background!$E$7/background!$H$7</f>
        <v>2.0371545227915859E-6</v>
      </c>
      <c r="H19" s="1">
        <f>yields!$E$7</f>
        <v>7288757.2000000002</v>
      </c>
      <c r="I19" s="4">
        <f t="shared" si="0"/>
        <v>2274893008739076.5</v>
      </c>
      <c r="J19" s="1">
        <f t="shared" si="2"/>
        <v>3.4624705797215506E+19</v>
      </c>
      <c r="K19" s="1">
        <v>0.13</v>
      </c>
      <c r="L19" s="1">
        <v>0.94</v>
      </c>
      <c r="M19" s="4">
        <f>2*$J$6</f>
        <v>1.4991345535428927E-4</v>
      </c>
      <c r="N19" s="1">
        <f>yields!$H$7</f>
        <v>0.86415876175935469</v>
      </c>
      <c r="O19" s="8">
        <f t="shared" si="1"/>
        <v>0</v>
      </c>
      <c r="P19" s="8">
        <f t="shared" si="1"/>
        <v>0</v>
      </c>
      <c r="R19" s="7"/>
    </row>
    <row r="20" spans="3:26">
      <c r="C20" s="1">
        <v>12.368</v>
      </c>
      <c r="D20" s="2" t="s">
        <v>30</v>
      </c>
      <c r="E20" s="10">
        <v>32</v>
      </c>
      <c r="F20" s="10">
        <v>19</v>
      </c>
      <c r="G20" s="3">
        <f>background!M7/background!$E$7/background!$H$7</f>
        <v>9.370910804841297E-6</v>
      </c>
      <c r="H20" s="1">
        <f>yields!$E$7</f>
        <v>7288757.2000000002</v>
      </c>
      <c r="I20" s="4">
        <f t="shared" si="0"/>
        <v>2274893008739076.5</v>
      </c>
      <c r="J20" s="1">
        <f t="shared" si="2"/>
        <v>3.4624705797215506E+19</v>
      </c>
      <c r="K20" s="1">
        <v>0.13</v>
      </c>
      <c r="L20" s="1">
        <v>0.94</v>
      </c>
      <c r="M20" s="4">
        <f>3*$J$6</f>
        <v>2.248701830314339E-4</v>
      </c>
      <c r="N20" s="1">
        <f>yields!$H$7</f>
        <v>0.86415876175935469</v>
      </c>
      <c r="O20" s="8">
        <f t="shared" si="1"/>
        <v>17.108277793077399</v>
      </c>
      <c r="P20" s="8">
        <f t="shared" si="1"/>
        <v>10.158039939639705</v>
      </c>
      <c r="R20" s="7"/>
    </row>
    <row r="21" spans="3:26">
      <c r="C21" s="1">
        <v>15.458</v>
      </c>
      <c r="D21" s="2" t="s">
        <v>31</v>
      </c>
      <c r="E21" s="10">
        <v>53</v>
      </c>
      <c r="F21" s="10">
        <v>14</v>
      </c>
      <c r="G21" s="3">
        <f>background!N7/background!$E$7/background!$H$7</f>
        <v>2.4445854273499034E-6</v>
      </c>
      <c r="H21" s="1">
        <f>yields!$E$7</f>
        <v>7288757.2000000002</v>
      </c>
      <c r="I21" s="4">
        <f t="shared" si="0"/>
        <v>2274893008739076.5</v>
      </c>
      <c r="J21" s="1">
        <f t="shared" si="2"/>
        <v>3.4624705797215506E+19</v>
      </c>
      <c r="K21" s="1">
        <v>0.13</v>
      </c>
      <c r="L21" s="1">
        <v>0.94</v>
      </c>
      <c r="M21" s="4">
        <f>3*$J$6</f>
        <v>2.248701830314339E-4</v>
      </c>
      <c r="N21" s="1">
        <f>yields!$H$7</f>
        <v>0.86415876175935469</v>
      </c>
      <c r="O21" s="8">
        <f t="shared" si="1"/>
        <v>28.335585094784442</v>
      </c>
      <c r="P21" s="8">
        <f t="shared" si="1"/>
        <v>7.4848715344713614</v>
      </c>
      <c r="R21" s="7"/>
    </row>
    <row r="22" spans="3:26">
      <c r="C22" s="1">
        <v>18.547000000000001</v>
      </c>
      <c r="D22" s="2" t="s">
        <v>32</v>
      </c>
      <c r="E22" s="10">
        <v>0</v>
      </c>
      <c r="F22" s="10">
        <v>0</v>
      </c>
      <c r="G22" s="3">
        <f>background!O7/background!$E$7/background!$H$7</f>
        <v>0</v>
      </c>
      <c r="H22" s="1">
        <f>yields!$E$7</f>
        <v>7288757.2000000002</v>
      </c>
      <c r="I22" s="4">
        <f t="shared" si="0"/>
        <v>2274893008739076.5</v>
      </c>
      <c r="J22" s="1">
        <f t="shared" si="2"/>
        <v>3.4624705797215506E+19</v>
      </c>
      <c r="K22" s="1">
        <v>0.13</v>
      </c>
      <c r="L22" s="1">
        <v>0.94</v>
      </c>
      <c r="M22" s="4">
        <f>1*$J$6</f>
        <v>7.4956727677144634E-5</v>
      </c>
      <c r="N22" s="1">
        <f>yields!$H$7</f>
        <v>0.86415876175935469</v>
      </c>
      <c r="O22" s="8">
        <f t="shared" si="1"/>
        <v>0</v>
      </c>
      <c r="P22" s="8">
        <f t="shared" si="1"/>
        <v>0</v>
      </c>
      <c r="R22" s="4"/>
    </row>
    <row r="24" spans="3:26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3:26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3:26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3:26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3:26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3:26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3:26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3:26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3:26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2:26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2:26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2:26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2:26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2:26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2:26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2:26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2:26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2:26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2:26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2:26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2:26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2:26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2:26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9" spans="5:7">
      <c r="E49" s="2"/>
      <c r="F49" s="2"/>
      <c r="G49" s="2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3B00-F31A-3049-97D2-FC9C9A08F2A0}">
  <dimension ref="C3:Z49"/>
  <sheetViews>
    <sheetView topLeftCell="N12" zoomScale="224" zoomScaleNormal="90" workbookViewId="0">
      <selection activeCell="E21" sqref="E21"/>
    </sheetView>
  </sheetViews>
  <sheetFormatPr baseColWidth="10" defaultColWidth="8.83203125" defaultRowHeight="15"/>
  <cols>
    <col min="1" max="2" width="10.6640625" customWidth="1"/>
    <col min="3" max="3" width="10.6640625" style="1" customWidth="1"/>
    <col min="4" max="4" width="16.1640625" style="1" customWidth="1"/>
    <col min="5" max="6" width="10.6640625" style="1" customWidth="1"/>
    <col min="7" max="7" width="11.5" style="1" customWidth="1"/>
    <col min="8" max="8" width="10.6640625" style="1" customWidth="1"/>
    <col min="9" max="9" width="15" style="1" customWidth="1"/>
    <col min="10" max="10" width="12.1640625" style="1" customWidth="1"/>
    <col min="11" max="12" width="13" style="1" customWidth="1"/>
    <col min="13" max="14" width="10.6640625" style="1" customWidth="1"/>
    <col min="15" max="15" width="19.1640625" style="1" customWidth="1"/>
    <col min="16" max="16" width="13.1640625" style="1" customWidth="1"/>
    <col min="17" max="18" width="10.6640625" style="1" customWidth="1"/>
    <col min="19" max="19" width="15.1640625" style="1" customWidth="1"/>
    <col min="20" max="20" width="14.5" style="1" customWidth="1"/>
    <col min="21" max="26" width="10.6640625" style="1" customWidth="1"/>
    <col min="27" max="1025" width="10.6640625" customWidth="1"/>
  </cols>
  <sheetData>
    <row r="3" spans="3:21">
      <c r="D3" s="2" t="s">
        <v>0</v>
      </c>
    </row>
    <row r="4" spans="3:21">
      <c r="D4" s="1" t="s">
        <v>1</v>
      </c>
      <c r="E4" s="3">
        <v>1E-10</v>
      </c>
      <c r="F4" s="3"/>
      <c r="G4" s="3"/>
      <c r="I4" s="1" t="s">
        <v>2</v>
      </c>
      <c r="J4" s="1">
        <f>2.54*5/2</f>
        <v>6.35</v>
      </c>
    </row>
    <row r="5" spans="3:21">
      <c r="D5" s="1" t="s">
        <v>3</v>
      </c>
      <c r="E5" s="3">
        <v>1.602E-19</v>
      </c>
      <c r="F5" s="3"/>
      <c r="G5" s="3"/>
      <c r="I5" s="1" t="s">
        <v>4</v>
      </c>
      <c r="J5" s="1">
        <v>1300</v>
      </c>
    </row>
    <row r="6" spans="3:21">
      <c r="D6" s="1" t="s">
        <v>5</v>
      </c>
      <c r="E6" s="1">
        <v>2</v>
      </c>
      <c r="I6" s="1" t="s">
        <v>6</v>
      </c>
      <c r="J6" s="4">
        <f>PI()*$J$4^2/$J$5^2</f>
        <v>7.4956727677144634E-5</v>
      </c>
    </row>
    <row r="7" spans="3:21" ht="16">
      <c r="D7" s="1" t="s">
        <v>7</v>
      </c>
      <c r="E7" s="1">
        <v>0.62</v>
      </c>
      <c r="T7" s="9"/>
      <c r="U7" s="9"/>
    </row>
    <row r="8" spans="3:21">
      <c r="D8" s="1" t="s">
        <v>8</v>
      </c>
    </row>
    <row r="10" spans="3:21">
      <c r="D10" s="1" t="s">
        <v>9</v>
      </c>
      <c r="E10" s="1">
        <v>16</v>
      </c>
    </row>
    <row r="11" spans="3:21">
      <c r="D11" s="1" t="s">
        <v>12</v>
      </c>
      <c r="E11" s="1">
        <f>2.54*0.5</f>
        <v>1.27</v>
      </c>
    </row>
    <row r="13" spans="3:21">
      <c r="E13" s="2" t="s">
        <v>13</v>
      </c>
      <c r="F13" s="2"/>
      <c r="G13" s="2"/>
    </row>
    <row r="14" spans="3:21">
      <c r="L14" s="1" t="s">
        <v>14</v>
      </c>
    </row>
    <row r="15" spans="3:21">
      <c r="C15" s="1" t="s">
        <v>10</v>
      </c>
      <c r="E15" s="2" t="s">
        <v>15</v>
      </c>
      <c r="F15" s="2" t="s">
        <v>58</v>
      </c>
      <c r="G15" s="2" t="s">
        <v>16</v>
      </c>
      <c r="H15" s="2" t="s">
        <v>17</v>
      </c>
      <c r="I15" s="2" t="s">
        <v>18</v>
      </c>
      <c r="J15" s="2" t="s">
        <v>19</v>
      </c>
      <c r="K15" s="2" t="s">
        <v>20</v>
      </c>
      <c r="L15" s="2" t="s">
        <v>21</v>
      </c>
      <c r="M15" s="2" t="s">
        <v>22</v>
      </c>
      <c r="N15" s="2" t="s">
        <v>23</v>
      </c>
      <c r="O15" s="2" t="s">
        <v>24</v>
      </c>
      <c r="P15" s="2" t="s">
        <v>25</v>
      </c>
      <c r="Q15" s="2"/>
    </row>
    <row r="16" spans="3:21">
      <c r="C16" s="1">
        <v>0</v>
      </c>
      <c r="D16" s="2" t="s">
        <v>26</v>
      </c>
      <c r="E16" s="10">
        <v>65</v>
      </c>
      <c r="F16" s="10">
        <v>42</v>
      </c>
      <c r="G16" s="3">
        <f>background!I7/background!$E$7/background!$H$7</f>
        <v>1.6297236182332687E-5</v>
      </c>
      <c r="H16" s="1">
        <f>yields!$E$7</f>
        <v>7288757.2000000002</v>
      </c>
      <c r="I16" s="4">
        <f t="shared" ref="I16:I22" si="0">H16*$E$4/$E$5/$E$6</f>
        <v>2274893008739076.5</v>
      </c>
      <c r="J16" s="1">
        <f>$E$10/14.7*101325/8.314/293/100^3*6.02E+23*$E$11</f>
        <v>3.4613206393098199E+19</v>
      </c>
      <c r="K16" s="1">
        <v>0.13</v>
      </c>
      <c r="L16" s="1">
        <v>0.94</v>
      </c>
      <c r="M16" s="4">
        <f>3*$J$6</f>
        <v>2.248701830314339E-4</v>
      </c>
      <c r="N16" s="1">
        <f>yields!$H$7</f>
        <v>0.86415876175935469</v>
      </c>
      <c r="O16" s="8">
        <f t="shared" ref="O16:P22" si="1">(E16)/($I16*$J16*$K16*$L16*$M16*$N16)*10^30</f>
        <v>34.762734512792179</v>
      </c>
      <c r="P16" s="8">
        <f t="shared" si="1"/>
        <v>22.462074608265713</v>
      </c>
      <c r="Q16" s="8"/>
      <c r="R16" s="7"/>
    </row>
    <row r="17" spans="3:26">
      <c r="C17" s="1">
        <v>3.093</v>
      </c>
      <c r="D17" s="2" t="s">
        <v>27</v>
      </c>
      <c r="E17" s="10">
        <v>18</v>
      </c>
      <c r="F17" s="10">
        <v>36</v>
      </c>
      <c r="G17" s="3">
        <f>background!J7/background!$E$7/background!$H$7</f>
        <v>5.3780879401697868E-5</v>
      </c>
      <c r="H17" s="1">
        <f>yields!$E$7</f>
        <v>7288757.2000000002</v>
      </c>
      <c r="I17" s="4">
        <f t="shared" si="0"/>
        <v>2274893008739076.5</v>
      </c>
      <c r="J17" s="1">
        <f t="shared" ref="J17:J22" si="2">$E$10/14.7*101325/8.314*6.022E+23/293/100^3*$E$11</f>
        <v>3.4624705797215506E+19</v>
      </c>
      <c r="K17" s="1">
        <v>0.13</v>
      </c>
      <c r="L17" s="1">
        <v>0.94</v>
      </c>
      <c r="M17" s="4">
        <f>3*$J$6</f>
        <v>2.248701830314339E-4</v>
      </c>
      <c r="N17" s="1">
        <f>yields!$H$7</f>
        <v>0.86415876175935469</v>
      </c>
      <c r="O17" s="8">
        <f t="shared" si="1"/>
        <v>9.6234062586060354</v>
      </c>
      <c r="P17" s="8">
        <f t="shared" si="1"/>
        <v>19.246812517212071</v>
      </c>
      <c r="R17" s="7"/>
    </row>
    <row r="18" spans="3:26">
      <c r="C18" s="1">
        <v>6.1849999999999996</v>
      </c>
      <c r="D18" s="2" t="s">
        <v>28</v>
      </c>
      <c r="E18" s="10">
        <v>36</v>
      </c>
      <c r="F18" s="10">
        <v>36</v>
      </c>
      <c r="G18" s="3">
        <f>background!K7/background!$E$7/background!$H$7</f>
        <v>7.3337562820497094E-6</v>
      </c>
      <c r="H18" s="1">
        <f>yields!$E$7</f>
        <v>7288757.2000000002</v>
      </c>
      <c r="I18" s="4">
        <f t="shared" si="0"/>
        <v>2274893008739076.5</v>
      </c>
      <c r="J18" s="1">
        <f t="shared" si="2"/>
        <v>3.4624705797215506E+19</v>
      </c>
      <c r="K18" s="1">
        <v>0.13</v>
      </c>
      <c r="L18" s="1">
        <v>0.94</v>
      </c>
      <c r="M18" s="4">
        <f>3*$J$6</f>
        <v>2.248701830314339E-4</v>
      </c>
      <c r="N18" s="1">
        <f>yields!$H$7</f>
        <v>0.86415876175935469</v>
      </c>
      <c r="O18" s="8">
        <f t="shared" si="1"/>
        <v>19.246812517212071</v>
      </c>
      <c r="P18" s="8">
        <f t="shared" si="1"/>
        <v>19.246812517212071</v>
      </c>
      <c r="R18" s="7"/>
    </row>
    <row r="19" spans="3:26">
      <c r="C19" s="1">
        <v>9.2769999999999992</v>
      </c>
      <c r="D19" s="2" t="s">
        <v>29</v>
      </c>
      <c r="E19" s="10">
        <v>71</v>
      </c>
      <c r="F19" s="10">
        <v>26</v>
      </c>
      <c r="G19" s="3">
        <f>background!L7/background!$E$7/background!$H$7</f>
        <v>2.0371545227915859E-6</v>
      </c>
      <c r="H19" s="1">
        <f>yields!$E$7</f>
        <v>7288757.2000000002</v>
      </c>
      <c r="I19" s="4">
        <f t="shared" si="0"/>
        <v>2274893008739076.5</v>
      </c>
      <c r="J19" s="1">
        <f t="shared" si="2"/>
        <v>3.4624705797215506E+19</v>
      </c>
      <c r="K19" s="1">
        <v>0.13</v>
      </c>
      <c r="L19" s="1">
        <v>0.94</v>
      </c>
      <c r="M19" s="4">
        <f>2*$J$6</f>
        <v>1.4991345535428927E-4</v>
      </c>
      <c r="N19" s="1">
        <f>yields!$H$7</f>
        <v>0.86415876175935469</v>
      </c>
      <c r="O19" s="8">
        <f t="shared" si="1"/>
        <v>56.93848703008571</v>
      </c>
      <c r="P19" s="8">
        <f t="shared" si="1"/>
        <v>20.850713560313075</v>
      </c>
      <c r="R19" s="7"/>
    </row>
    <row r="20" spans="3:26">
      <c r="C20" s="1">
        <v>12.368</v>
      </c>
      <c r="D20" s="2" t="s">
        <v>30</v>
      </c>
      <c r="E20" s="10">
        <v>47</v>
      </c>
      <c r="F20" s="10">
        <v>39</v>
      </c>
      <c r="G20" s="3">
        <f>background!M7/background!$E$7/background!$H$7</f>
        <v>9.370910804841297E-6</v>
      </c>
      <c r="H20" s="1">
        <f>yields!$E$7</f>
        <v>7288757.2000000002</v>
      </c>
      <c r="I20" s="4">
        <f t="shared" si="0"/>
        <v>2274893008739076.5</v>
      </c>
      <c r="J20" s="1">
        <f t="shared" si="2"/>
        <v>3.4624705797215506E+19</v>
      </c>
      <c r="K20" s="1">
        <v>0.13</v>
      </c>
      <c r="L20" s="1">
        <v>0.94</v>
      </c>
      <c r="M20" s="4">
        <f>3*$J$6</f>
        <v>2.248701830314339E-4</v>
      </c>
      <c r="N20" s="1">
        <f>yields!$H$7</f>
        <v>0.86415876175935469</v>
      </c>
      <c r="O20" s="8">
        <f t="shared" si="1"/>
        <v>25.127783008582426</v>
      </c>
      <c r="P20" s="8">
        <f t="shared" si="1"/>
        <v>20.850713560313078</v>
      </c>
      <c r="R20" s="7"/>
    </row>
    <row r="21" spans="3:26">
      <c r="C21" s="1">
        <v>15.458</v>
      </c>
      <c r="D21" s="2" t="s">
        <v>31</v>
      </c>
      <c r="E21" s="10">
        <v>0</v>
      </c>
      <c r="F21" s="10">
        <v>0</v>
      </c>
      <c r="G21" s="3">
        <f>background!N7/background!$E$7/background!$H$7</f>
        <v>2.4445854273499034E-6</v>
      </c>
      <c r="H21" s="1">
        <f>yields!$E$7</f>
        <v>7288757.2000000002</v>
      </c>
      <c r="I21" s="4">
        <f t="shared" si="0"/>
        <v>2274893008739076.5</v>
      </c>
      <c r="J21" s="1">
        <f t="shared" si="2"/>
        <v>3.4624705797215506E+19</v>
      </c>
      <c r="K21" s="1">
        <v>0.13</v>
      </c>
      <c r="L21" s="1">
        <v>0.94</v>
      </c>
      <c r="M21" s="4">
        <f>3*$J$6</f>
        <v>2.248701830314339E-4</v>
      </c>
      <c r="N21" s="1">
        <f>yields!$H$7</f>
        <v>0.86415876175935469</v>
      </c>
      <c r="O21" s="8">
        <f t="shared" si="1"/>
        <v>0</v>
      </c>
      <c r="P21" s="8">
        <f t="shared" si="1"/>
        <v>0</v>
      </c>
      <c r="R21" s="7"/>
    </row>
    <row r="22" spans="3:26">
      <c r="C22" s="1">
        <v>18.547000000000001</v>
      </c>
      <c r="D22" s="2" t="s">
        <v>32</v>
      </c>
      <c r="E22" s="10">
        <v>3</v>
      </c>
      <c r="F22" s="10">
        <v>9</v>
      </c>
      <c r="G22" s="3">
        <f>background!O7/background!$E$7/background!$H$7</f>
        <v>0</v>
      </c>
      <c r="H22" s="1">
        <f>yields!$E$7</f>
        <v>7288757.2000000002</v>
      </c>
      <c r="I22" s="4">
        <f t="shared" si="0"/>
        <v>2274893008739076.5</v>
      </c>
      <c r="J22" s="1">
        <f t="shared" si="2"/>
        <v>3.4624705797215506E+19</v>
      </c>
      <c r="K22" s="1">
        <v>0.13</v>
      </c>
      <c r="L22" s="1">
        <v>0.94</v>
      </c>
      <c r="M22" s="4">
        <f>1*$J$6</f>
        <v>7.4956727677144634E-5</v>
      </c>
      <c r="N22" s="1">
        <f>yields!$H$7</f>
        <v>0.86415876175935469</v>
      </c>
      <c r="O22" s="8">
        <f t="shared" si="1"/>
        <v>4.8117031293030177</v>
      </c>
      <c r="P22" s="8">
        <f t="shared" si="1"/>
        <v>14.435109387909053</v>
      </c>
      <c r="R22" s="4"/>
    </row>
    <row r="24" spans="3:26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3:26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3:26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3:26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3:26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3:26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3:26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3:26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3:26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2:26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2:26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2:26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2:26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2:26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2:26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2:26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2:26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2:26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2:26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2:26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2:26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2:26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2:26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9" spans="5:7">
      <c r="E49" s="2"/>
      <c r="F49" s="2"/>
      <c r="G49" s="2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0DA5-CCFE-C141-9E62-12E9A1A5D172}">
  <dimension ref="C3:Z49"/>
  <sheetViews>
    <sheetView topLeftCell="M10" zoomScale="187" zoomScaleNormal="90" workbookViewId="0">
      <selection activeCell="G14" sqref="G14"/>
    </sheetView>
  </sheetViews>
  <sheetFormatPr baseColWidth="10" defaultColWidth="8.83203125" defaultRowHeight="15"/>
  <cols>
    <col min="1" max="2" width="10.6640625" customWidth="1"/>
    <col min="3" max="3" width="10.6640625" style="1" customWidth="1"/>
    <col min="4" max="4" width="16.1640625" style="1" customWidth="1"/>
    <col min="5" max="6" width="10.6640625" style="1" customWidth="1"/>
    <col min="7" max="7" width="11.5" style="1" customWidth="1"/>
    <col min="8" max="8" width="10.6640625" style="1" customWidth="1"/>
    <col min="9" max="9" width="15" style="1" customWidth="1"/>
    <col min="10" max="10" width="12.1640625" style="1" customWidth="1"/>
    <col min="11" max="12" width="13" style="1" customWidth="1"/>
    <col min="13" max="14" width="10.6640625" style="1" customWidth="1"/>
    <col min="15" max="15" width="19.1640625" style="1" customWidth="1"/>
    <col min="16" max="16" width="13.1640625" style="1" customWidth="1"/>
    <col min="17" max="18" width="10.6640625" style="1" customWidth="1"/>
    <col min="19" max="19" width="15.1640625" style="1" customWidth="1"/>
    <col min="20" max="20" width="14.5" style="1" customWidth="1"/>
    <col min="21" max="26" width="10.6640625" style="1" customWidth="1"/>
    <col min="27" max="1025" width="10.6640625" customWidth="1"/>
  </cols>
  <sheetData>
    <row r="3" spans="3:21">
      <c r="D3" s="2" t="s">
        <v>0</v>
      </c>
    </row>
    <row r="4" spans="3:21">
      <c r="D4" s="1" t="s">
        <v>1</v>
      </c>
      <c r="E4" s="3">
        <v>1E-10</v>
      </c>
      <c r="F4" s="3"/>
      <c r="G4" s="3"/>
      <c r="I4" s="1" t="s">
        <v>2</v>
      </c>
      <c r="J4" s="1">
        <f>2.54*5/2</f>
        <v>6.35</v>
      </c>
    </row>
    <row r="5" spans="3:21">
      <c r="D5" s="1" t="s">
        <v>3</v>
      </c>
      <c r="E5" s="3">
        <v>1.602E-19</v>
      </c>
      <c r="F5" s="3"/>
      <c r="G5" s="3"/>
      <c r="I5" s="1" t="s">
        <v>4</v>
      </c>
      <c r="J5" s="1">
        <v>1300</v>
      </c>
    </row>
    <row r="6" spans="3:21">
      <c r="D6" s="1" t="s">
        <v>5</v>
      </c>
      <c r="E6" s="1">
        <v>2</v>
      </c>
      <c r="I6" s="1" t="s">
        <v>6</v>
      </c>
      <c r="J6" s="4">
        <f>PI()*$J$4^2/$J$5^2</f>
        <v>7.4956727677144634E-5</v>
      </c>
    </row>
    <row r="7" spans="3:21" ht="16">
      <c r="D7" s="1" t="s">
        <v>7</v>
      </c>
      <c r="E7" s="1">
        <v>0.62</v>
      </c>
      <c r="T7" s="9"/>
      <c r="U7" s="9"/>
    </row>
    <row r="8" spans="3:21">
      <c r="D8" s="1" t="s">
        <v>8</v>
      </c>
    </row>
    <row r="10" spans="3:21">
      <c r="D10" s="1" t="s">
        <v>9</v>
      </c>
      <c r="E10" s="1">
        <v>16</v>
      </c>
    </row>
    <row r="11" spans="3:21">
      <c r="D11" s="1" t="s">
        <v>12</v>
      </c>
      <c r="E11" s="1">
        <f>2.54*0.5</f>
        <v>1.27</v>
      </c>
    </row>
    <row r="13" spans="3:21">
      <c r="E13" s="2" t="s">
        <v>13</v>
      </c>
      <c r="F13" s="2"/>
      <c r="G13" s="2"/>
    </row>
    <row r="14" spans="3:21">
      <c r="L14" s="1" t="s">
        <v>14</v>
      </c>
    </row>
    <row r="15" spans="3:21">
      <c r="C15" s="1" t="s">
        <v>10</v>
      </c>
      <c r="E15" s="2" t="s">
        <v>15</v>
      </c>
      <c r="F15" s="2" t="s">
        <v>58</v>
      </c>
      <c r="G15" s="2" t="s">
        <v>16</v>
      </c>
      <c r="H15" s="2" t="s">
        <v>17</v>
      </c>
      <c r="I15" s="2" t="s">
        <v>18</v>
      </c>
      <c r="J15" s="2" t="s">
        <v>19</v>
      </c>
      <c r="K15" s="2" t="s">
        <v>20</v>
      </c>
      <c r="L15" s="2" t="s">
        <v>21</v>
      </c>
      <c r="M15" s="2" t="s">
        <v>22</v>
      </c>
      <c r="N15" s="2" t="s">
        <v>23</v>
      </c>
      <c r="O15" s="2" t="s">
        <v>24</v>
      </c>
      <c r="P15" s="2" t="s">
        <v>25</v>
      </c>
      <c r="Q15" s="2"/>
    </row>
    <row r="16" spans="3:21">
      <c r="C16" s="1">
        <v>0</v>
      </c>
      <c r="D16" s="2" t="s">
        <v>26</v>
      </c>
      <c r="E16" s="10">
        <v>117</v>
      </c>
      <c r="F16" s="10">
        <v>38</v>
      </c>
      <c r="G16" s="3">
        <f>background!I7/background!$E$7/background!$H$7</f>
        <v>1.6297236182332687E-5</v>
      </c>
      <c r="H16" s="1">
        <f>yields!$E$7</f>
        <v>7288757.2000000002</v>
      </c>
      <c r="I16" s="4">
        <f t="shared" ref="I16:I22" si="0">H16*$E$4/$E$5/$E$6</f>
        <v>2274893008739076.5</v>
      </c>
      <c r="J16" s="1">
        <f>$E$10/14.7*101325/8.314/293/100^3*6.02E+23*$E$11</f>
        <v>3.4613206393098199E+19</v>
      </c>
      <c r="K16" s="1">
        <v>0.13</v>
      </c>
      <c r="L16" s="1">
        <v>0.94</v>
      </c>
      <c r="M16" s="4">
        <f>3*$J$6</f>
        <v>2.248701830314339E-4</v>
      </c>
      <c r="N16" s="1">
        <f>yields!$H$7</f>
        <v>0.86415876175935469</v>
      </c>
      <c r="O16" s="8">
        <f t="shared" ref="O16:P22" si="1">(E16)/($I16*$J16*$K16*$L16*$M16*$N16)*10^30</f>
        <v>62.572922123025911</v>
      </c>
      <c r="P16" s="8">
        <f t="shared" si="1"/>
        <v>20.322829407478501</v>
      </c>
      <c r="Q16" s="8"/>
      <c r="R16" s="7"/>
    </row>
    <row r="17" spans="3:26">
      <c r="C17" s="1">
        <v>3.093</v>
      </c>
      <c r="D17" s="2" t="s">
        <v>27</v>
      </c>
      <c r="E17" s="10">
        <v>149</v>
      </c>
      <c r="F17" s="10">
        <v>29</v>
      </c>
      <c r="G17" s="3">
        <f>background!J7/background!$E$7/background!$H$7</f>
        <v>5.3780879401697868E-5</v>
      </c>
      <c r="H17" s="1">
        <f>yields!$E$7</f>
        <v>7288757.2000000002</v>
      </c>
      <c r="I17" s="4">
        <f t="shared" si="0"/>
        <v>2274893008739076.5</v>
      </c>
      <c r="J17" s="1">
        <f t="shared" ref="J17:J22" si="2">$E$10/14.7*101325/8.314*6.022E+23/293/100^3*$E$11</f>
        <v>3.4624705797215506E+19</v>
      </c>
      <c r="K17" s="1">
        <v>0.13</v>
      </c>
      <c r="L17" s="1">
        <v>0.94</v>
      </c>
      <c r="M17" s="4">
        <f>3*$J$6</f>
        <v>2.248701830314339E-4</v>
      </c>
      <c r="N17" s="1">
        <f>yields!$H$7</f>
        <v>0.86415876175935469</v>
      </c>
      <c r="O17" s="8">
        <f t="shared" si="1"/>
        <v>79.660418474016637</v>
      </c>
      <c r="P17" s="8">
        <f t="shared" si="1"/>
        <v>15.504376749976391</v>
      </c>
      <c r="R17" s="7"/>
    </row>
    <row r="18" spans="3:26">
      <c r="C18" s="1">
        <v>6.1849999999999996</v>
      </c>
      <c r="D18" s="2" t="s">
        <v>28</v>
      </c>
      <c r="E18" s="10">
        <v>145</v>
      </c>
      <c r="F18" s="10">
        <v>34</v>
      </c>
      <c r="G18" s="3">
        <f>background!K7/background!$E$7/background!$H$7</f>
        <v>7.3337562820497094E-6</v>
      </c>
      <c r="H18" s="1">
        <f>yields!$E$7</f>
        <v>7288757.2000000002</v>
      </c>
      <c r="I18" s="4">
        <f t="shared" si="0"/>
        <v>2274893008739076.5</v>
      </c>
      <c r="J18" s="1">
        <f t="shared" si="2"/>
        <v>3.4624705797215506E+19</v>
      </c>
      <c r="K18" s="1">
        <v>0.13</v>
      </c>
      <c r="L18" s="1">
        <v>0.94</v>
      </c>
      <c r="M18" s="4">
        <f>3*$J$6</f>
        <v>2.248701830314339E-4</v>
      </c>
      <c r="N18" s="1">
        <f>yields!$H$7</f>
        <v>0.86415876175935469</v>
      </c>
      <c r="O18" s="8">
        <f t="shared" si="1"/>
        <v>77.521883749881965</v>
      </c>
      <c r="P18" s="8">
        <f t="shared" si="1"/>
        <v>18.177545155144735</v>
      </c>
      <c r="R18" s="7"/>
    </row>
    <row r="19" spans="3:26">
      <c r="C19" s="1">
        <v>9.2769999999999992</v>
      </c>
      <c r="D19" s="2" t="s">
        <v>29</v>
      </c>
      <c r="E19" s="10">
        <v>14</v>
      </c>
      <c r="F19" s="10">
        <v>24</v>
      </c>
      <c r="G19" s="3">
        <f>background!L7/background!$E$7/background!$H$7</f>
        <v>2.0371545227915859E-6</v>
      </c>
      <c r="H19" s="1">
        <f>yields!$E$7</f>
        <v>7288757.2000000002</v>
      </c>
      <c r="I19" s="4">
        <f t="shared" si="0"/>
        <v>2274893008739076.5</v>
      </c>
      <c r="J19" s="1">
        <f t="shared" si="2"/>
        <v>3.4624705797215506E+19</v>
      </c>
      <c r="K19" s="1">
        <v>0.13</v>
      </c>
      <c r="L19" s="1">
        <v>0.94</v>
      </c>
      <c r="M19" s="4">
        <f>2*$J$6</f>
        <v>1.4991345535428927E-4</v>
      </c>
      <c r="N19" s="1">
        <f>yields!$H$7</f>
        <v>0.86415876175935469</v>
      </c>
      <c r="O19" s="8">
        <f t="shared" si="1"/>
        <v>11.227307301707043</v>
      </c>
      <c r="P19" s="8">
        <f t="shared" si="1"/>
        <v>19.246812517212071</v>
      </c>
      <c r="R19" s="7"/>
    </row>
    <row r="20" spans="3:26">
      <c r="C20" s="1">
        <v>12.368</v>
      </c>
      <c r="D20" s="2" t="s">
        <v>30</v>
      </c>
      <c r="E20" s="10">
        <v>70</v>
      </c>
      <c r="F20" s="10">
        <v>34</v>
      </c>
      <c r="G20" s="3">
        <f>background!M7/background!$E$7/background!$H$7</f>
        <v>9.370910804841297E-6</v>
      </c>
      <c r="H20" s="1">
        <f>yields!$E$7</f>
        <v>7288757.2000000002</v>
      </c>
      <c r="I20" s="4">
        <f t="shared" si="0"/>
        <v>2274893008739076.5</v>
      </c>
      <c r="J20" s="1">
        <f t="shared" si="2"/>
        <v>3.4624705797215506E+19</v>
      </c>
      <c r="K20" s="1">
        <v>0.13</v>
      </c>
      <c r="L20" s="1">
        <v>0.94</v>
      </c>
      <c r="M20" s="4">
        <f>3*$J$6</f>
        <v>2.248701830314339E-4</v>
      </c>
      <c r="N20" s="1">
        <f>yields!$H$7</f>
        <v>0.86415876175935469</v>
      </c>
      <c r="O20" s="8">
        <f t="shared" si="1"/>
        <v>37.424357672356805</v>
      </c>
      <c r="P20" s="8">
        <f t="shared" si="1"/>
        <v>18.177545155144735</v>
      </c>
      <c r="R20" s="7"/>
    </row>
    <row r="21" spans="3:26">
      <c r="C21" s="1">
        <v>15.458</v>
      </c>
      <c r="D21" s="2" t="s">
        <v>31</v>
      </c>
      <c r="E21" s="10">
        <v>99</v>
      </c>
      <c r="F21" s="10">
        <v>16</v>
      </c>
      <c r="G21" s="3">
        <f>background!N7/background!$E$7/background!$H$7</f>
        <v>2.4445854273499034E-6</v>
      </c>
      <c r="H21" s="1">
        <f>yields!$E$7</f>
        <v>7288757.2000000002</v>
      </c>
      <c r="I21" s="4">
        <f t="shared" si="0"/>
        <v>2274893008739076.5</v>
      </c>
      <c r="J21" s="1">
        <f t="shared" si="2"/>
        <v>3.4624705797215506E+19</v>
      </c>
      <c r="K21" s="1">
        <v>0.13</v>
      </c>
      <c r="L21" s="1">
        <v>0.94</v>
      </c>
      <c r="M21" s="4">
        <f>3*$J$6</f>
        <v>2.248701830314339E-4</v>
      </c>
      <c r="N21" s="1">
        <f>yields!$H$7</f>
        <v>0.86415876175935469</v>
      </c>
      <c r="O21" s="8">
        <f t="shared" si="1"/>
        <v>52.928734422333193</v>
      </c>
      <c r="P21" s="8">
        <f t="shared" si="1"/>
        <v>8.5541388965386993</v>
      </c>
      <c r="R21" s="7"/>
    </row>
    <row r="22" spans="3:26">
      <c r="C22" s="1">
        <v>18.547000000000001</v>
      </c>
      <c r="D22" s="2" t="s">
        <v>32</v>
      </c>
      <c r="E22" s="10">
        <v>11</v>
      </c>
      <c r="F22" s="10">
        <v>9</v>
      </c>
      <c r="G22" s="3">
        <f>background!O7/background!$E$7/background!$H$7</f>
        <v>0</v>
      </c>
      <c r="H22" s="1">
        <f>yields!$E$7</f>
        <v>7288757.2000000002</v>
      </c>
      <c r="I22" s="4">
        <f t="shared" si="0"/>
        <v>2274893008739076.5</v>
      </c>
      <c r="J22" s="1">
        <f t="shared" si="2"/>
        <v>3.4624705797215506E+19</v>
      </c>
      <c r="K22" s="1">
        <v>0.13</v>
      </c>
      <c r="L22" s="1">
        <v>0.94</v>
      </c>
      <c r="M22" s="4">
        <f>1*$J$6</f>
        <v>7.4956727677144634E-5</v>
      </c>
      <c r="N22" s="1">
        <f>yields!$H$7</f>
        <v>0.86415876175935469</v>
      </c>
      <c r="O22" s="8">
        <f t="shared" si="1"/>
        <v>17.642911474111067</v>
      </c>
      <c r="P22" s="8">
        <f t="shared" si="1"/>
        <v>14.435109387909053</v>
      </c>
      <c r="R22" s="4"/>
    </row>
    <row r="24" spans="3:26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3:26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3:26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3:26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3:26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3:26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3:26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3:26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3:26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2:26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2:26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2:26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2:26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2:26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2:26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2:26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2:26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2:26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2:26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2:26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2:26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2:26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2:26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9" spans="5:7">
      <c r="E49" s="2"/>
      <c r="F49" s="2"/>
      <c r="G49" s="2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Y28"/>
  <sheetViews>
    <sheetView topLeftCell="L5" zoomScale="125" zoomScaleNormal="111" workbookViewId="0">
      <selection activeCell="F22" sqref="F22"/>
    </sheetView>
  </sheetViews>
  <sheetFormatPr baseColWidth="10" defaultColWidth="8.83203125" defaultRowHeight="15"/>
  <cols>
    <col min="1" max="2" width="10.6640625" customWidth="1"/>
    <col min="3" max="3" width="10.6640625" style="1" customWidth="1"/>
    <col min="4" max="4" width="16.1640625" style="1" customWidth="1"/>
    <col min="5" max="7" width="10.6640625" style="1" customWidth="1"/>
    <col min="8" max="8" width="15" style="1" customWidth="1"/>
    <col min="9" max="9" width="12.1640625" style="1" customWidth="1"/>
    <col min="10" max="11" width="13" style="1" customWidth="1"/>
    <col min="12" max="13" width="10.6640625" style="1" customWidth="1"/>
    <col min="14" max="14" width="19.1640625" style="1" customWidth="1"/>
    <col min="15" max="15" width="13.1640625" style="1" customWidth="1"/>
    <col min="16" max="17" width="10.6640625" style="1" customWidth="1"/>
    <col min="18" max="18" width="15.1640625" style="1" customWidth="1"/>
    <col min="19" max="19" width="14.5" style="1" customWidth="1"/>
    <col min="20" max="25" width="10.6640625" style="1" customWidth="1"/>
    <col min="26" max="1024" width="10.6640625" customWidth="1"/>
  </cols>
  <sheetData>
    <row r="3" spans="3:24">
      <c r="D3" s="2" t="s">
        <v>0</v>
      </c>
    </row>
    <row r="4" spans="3:24">
      <c r="D4" s="1" t="s">
        <v>1</v>
      </c>
      <c r="E4" s="3">
        <v>1E-10</v>
      </c>
      <c r="F4" s="3"/>
      <c r="H4" s="1" t="s">
        <v>2</v>
      </c>
      <c r="I4" s="1">
        <f>2.54*5/2</f>
        <v>6.35</v>
      </c>
    </row>
    <row r="5" spans="3:24">
      <c r="D5" s="1" t="s">
        <v>3</v>
      </c>
      <c r="E5" s="3">
        <v>1.602E-19</v>
      </c>
      <c r="F5" s="3"/>
      <c r="H5" s="1" t="s">
        <v>4</v>
      </c>
      <c r="I5" s="1">
        <v>1300</v>
      </c>
    </row>
    <row r="6" spans="3:24">
      <c r="D6" s="1" t="s">
        <v>5</v>
      </c>
      <c r="E6" s="1">
        <v>2</v>
      </c>
      <c r="H6" s="1" t="s">
        <v>6</v>
      </c>
      <c r="I6" s="4">
        <f>PI()*$I$4^2/$I$5^2</f>
        <v>7.4956727677144634E-5</v>
      </c>
      <c r="S6" s="1" t="s">
        <v>59</v>
      </c>
      <c r="T6" s="1" t="s">
        <v>60</v>
      </c>
    </row>
    <row r="7" spans="3:24" ht="16">
      <c r="D7" s="1" t="s">
        <v>7</v>
      </c>
      <c r="E7" s="1">
        <v>0.62</v>
      </c>
      <c r="S7" s="9"/>
      <c r="T7" s="9"/>
    </row>
    <row r="8" spans="3:24">
      <c r="D8" s="1" t="s">
        <v>8</v>
      </c>
    </row>
    <row r="10" spans="3:24">
      <c r="D10" s="1" t="s">
        <v>9</v>
      </c>
      <c r="E10" s="1">
        <v>16</v>
      </c>
      <c r="W10" s="1" t="s">
        <v>10</v>
      </c>
      <c r="X10" s="1" t="s">
        <v>11</v>
      </c>
    </row>
    <row r="11" spans="3:24">
      <c r="D11" s="1" t="s">
        <v>12</v>
      </c>
      <c r="E11" s="1">
        <f>2.54*0.5</f>
        <v>1.27</v>
      </c>
      <c r="W11" s="1">
        <v>0</v>
      </c>
      <c r="X11" s="1">
        <v>780</v>
      </c>
    </row>
    <row r="12" spans="3:24">
      <c r="W12" s="1">
        <v>7.5</v>
      </c>
      <c r="X12" s="1">
        <v>500</v>
      </c>
    </row>
    <row r="13" spans="3:24">
      <c r="E13" s="2" t="s">
        <v>13</v>
      </c>
      <c r="F13" s="2"/>
      <c r="W13" s="1">
        <v>15</v>
      </c>
      <c r="X13" s="1">
        <v>200</v>
      </c>
    </row>
    <row r="14" spans="3:24">
      <c r="K14" s="1" t="s">
        <v>14</v>
      </c>
      <c r="W14" s="1">
        <v>22.5</v>
      </c>
      <c r="X14" s="1">
        <v>20</v>
      </c>
    </row>
    <row r="15" spans="3:24">
      <c r="C15" s="1" t="s">
        <v>10</v>
      </c>
      <c r="E15" s="2" t="s">
        <v>15</v>
      </c>
      <c r="F15" s="2" t="s">
        <v>58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 t="s">
        <v>23</v>
      </c>
      <c r="N15" s="2" t="s">
        <v>24</v>
      </c>
      <c r="O15" s="2" t="s">
        <v>25</v>
      </c>
      <c r="P15" s="2"/>
    </row>
    <row r="16" spans="3:24">
      <c r="C16" s="1">
        <v>0</v>
      </c>
      <c r="D16" s="2" t="s">
        <v>26</v>
      </c>
      <c r="E16" s="10">
        <v>1480</v>
      </c>
      <c r="F16" s="10">
        <v>42</v>
      </c>
      <c r="G16" s="1">
        <f>yields!$E$7</f>
        <v>7288757.2000000002</v>
      </c>
      <c r="H16" s="4">
        <f t="shared" ref="H16:H22" si="0">G16*$E$4/$E$5/$E$6</f>
        <v>2274893008739076.5</v>
      </c>
      <c r="I16" s="1">
        <f>$E$10/14.7*101325/8.314/293/100^3*6.02E+23*$E$11</f>
        <v>3.4613206393098199E+19</v>
      </c>
      <c r="J16" s="1">
        <v>0.13</v>
      </c>
      <c r="K16" s="1">
        <v>0.94</v>
      </c>
      <c r="L16" s="4">
        <f>3*$I$6</f>
        <v>2.248701830314339E-4</v>
      </c>
      <c r="M16" s="1">
        <f>yields!$H$7</f>
        <v>0.86415876175935469</v>
      </c>
      <c r="N16" s="8">
        <f t="shared" ref="N16:O22" si="1">(E16)/($H16*$I16*$J16*$K16*$L16*$M16)*10^30</f>
        <v>791.52072429126792</v>
      </c>
      <c r="O16" s="8">
        <f t="shared" si="1"/>
        <v>22.462074608265713</v>
      </c>
      <c r="P16" s="8"/>
      <c r="Q16" s="7"/>
    </row>
    <row r="17" spans="3:25">
      <c r="C17" s="1">
        <v>3.093</v>
      </c>
      <c r="D17" s="2" t="s">
        <v>27</v>
      </c>
      <c r="E17" s="10">
        <v>1176</v>
      </c>
      <c r="F17" s="10">
        <v>36</v>
      </c>
      <c r="G17" s="1">
        <f>yields!$E$7</f>
        <v>7288757.2000000002</v>
      </c>
      <c r="H17" s="4">
        <f t="shared" si="0"/>
        <v>2274893008739076.5</v>
      </c>
      <c r="I17" s="1">
        <f t="shared" ref="I17:I22" si="2">$E$10/14.7*101325/8.314*6.022E+23/293/100^3*$E$11</f>
        <v>3.4624705797215506E+19</v>
      </c>
      <c r="J17" s="1">
        <v>0.13</v>
      </c>
      <c r="K17" s="1">
        <v>0.94</v>
      </c>
      <c r="L17" s="4">
        <f>3*$I$6</f>
        <v>2.248701830314339E-4</v>
      </c>
      <c r="M17" s="1">
        <f>yields!$H$7</f>
        <v>0.86415876175935469</v>
      </c>
      <c r="N17" s="8">
        <f t="shared" si="1"/>
        <v>628.72920889559441</v>
      </c>
      <c r="O17" s="8">
        <f t="shared" si="1"/>
        <v>19.246812517212071</v>
      </c>
      <c r="Q17" s="7"/>
    </row>
    <row r="18" spans="3:25">
      <c r="C18" s="1">
        <v>6.1849999999999996</v>
      </c>
      <c r="D18" s="2" t="s">
        <v>28</v>
      </c>
      <c r="E18" s="10">
        <v>1130</v>
      </c>
      <c r="F18" s="10">
        <v>37</v>
      </c>
      <c r="G18" s="1">
        <f>yields!$E$7</f>
        <v>7288757.2000000002</v>
      </c>
      <c r="H18" s="4">
        <f t="shared" si="0"/>
        <v>2274893008739076.5</v>
      </c>
      <c r="I18" s="1">
        <f t="shared" si="2"/>
        <v>3.4624705797215506E+19</v>
      </c>
      <c r="J18" s="1">
        <v>0.13</v>
      </c>
      <c r="K18" s="1">
        <v>0.94</v>
      </c>
      <c r="L18" s="4">
        <f>3*$I$6</f>
        <v>2.248701830314339E-4</v>
      </c>
      <c r="M18" s="1">
        <f>yields!$H$7</f>
        <v>0.86415876175935469</v>
      </c>
      <c r="N18" s="8">
        <f t="shared" si="1"/>
        <v>604.13605956804565</v>
      </c>
      <c r="O18" s="8">
        <f t="shared" si="1"/>
        <v>19.781446198245742</v>
      </c>
      <c r="Q18" s="7"/>
    </row>
    <row r="19" spans="3:25">
      <c r="C19" s="1">
        <v>9.2769999999999992</v>
      </c>
      <c r="D19" s="2" t="s">
        <v>29</v>
      </c>
      <c r="E19" s="10">
        <v>591</v>
      </c>
      <c r="F19" s="10">
        <v>26</v>
      </c>
      <c r="G19" s="1">
        <f>yields!$E$7</f>
        <v>7288757.2000000002</v>
      </c>
      <c r="H19" s="4">
        <f t="shared" si="0"/>
        <v>2274893008739076.5</v>
      </c>
      <c r="I19" s="1">
        <f t="shared" si="2"/>
        <v>3.4624705797215506E+19</v>
      </c>
      <c r="J19" s="1">
        <v>0.13</v>
      </c>
      <c r="K19" s="1">
        <v>0.94</v>
      </c>
      <c r="L19" s="4">
        <f>2*$I$6</f>
        <v>1.4991345535428927E-4</v>
      </c>
      <c r="M19" s="1">
        <f>yields!$H$7</f>
        <v>0.86415876175935469</v>
      </c>
      <c r="N19" s="8">
        <f t="shared" si="1"/>
        <v>473.95275823634728</v>
      </c>
      <c r="O19" s="8">
        <f t="shared" si="1"/>
        <v>20.850713560313075</v>
      </c>
      <c r="Q19" s="7"/>
    </row>
    <row r="20" spans="3:25">
      <c r="C20" s="1">
        <v>12.368</v>
      </c>
      <c r="D20" s="2" t="s">
        <v>30</v>
      </c>
      <c r="E20" s="10">
        <v>711</v>
      </c>
      <c r="F20" s="10">
        <v>31</v>
      </c>
      <c r="G20" s="1">
        <f>yields!$E$7</f>
        <v>7288757.2000000002</v>
      </c>
      <c r="H20" s="4">
        <f t="shared" si="0"/>
        <v>2274893008739076.5</v>
      </c>
      <c r="I20" s="1">
        <f t="shared" si="2"/>
        <v>3.4624705797215506E+19</v>
      </c>
      <c r="J20" s="1">
        <v>0.13</v>
      </c>
      <c r="K20" s="1">
        <v>0.94</v>
      </c>
      <c r="L20" s="4">
        <f>3*$I$6</f>
        <v>2.248701830314339E-4</v>
      </c>
      <c r="M20" s="1">
        <f>yields!$H$7</f>
        <v>0.86415876175935469</v>
      </c>
      <c r="N20" s="8">
        <f t="shared" si="1"/>
        <v>380.12454721493845</v>
      </c>
      <c r="O20" s="8">
        <f t="shared" si="1"/>
        <v>16.573644112043727</v>
      </c>
      <c r="Q20" s="7"/>
    </row>
    <row r="21" spans="3:25">
      <c r="C21" s="1">
        <v>15.458</v>
      </c>
      <c r="D21" s="2" t="s">
        <v>31</v>
      </c>
      <c r="E21" s="10">
        <v>349</v>
      </c>
      <c r="F21" s="10">
        <v>22</v>
      </c>
      <c r="G21" s="1">
        <f>yields!$E$7</f>
        <v>7288757.2000000002</v>
      </c>
      <c r="H21" s="4">
        <f t="shared" si="0"/>
        <v>2274893008739076.5</v>
      </c>
      <c r="I21" s="1">
        <f t="shared" si="2"/>
        <v>3.4624705797215506E+19</v>
      </c>
      <c r="J21" s="1">
        <v>0.13</v>
      </c>
      <c r="K21" s="1">
        <v>0.94</v>
      </c>
      <c r="L21" s="4">
        <f>3*$I$6</f>
        <v>2.248701830314339E-4</v>
      </c>
      <c r="M21" s="1">
        <f>yields!$H$7</f>
        <v>0.86415876175935469</v>
      </c>
      <c r="N21" s="8">
        <f t="shared" si="1"/>
        <v>186.58715468075039</v>
      </c>
      <c r="O21" s="8">
        <f t="shared" si="1"/>
        <v>11.761940982740711</v>
      </c>
      <c r="Q21" s="7"/>
    </row>
    <row r="22" spans="3:25">
      <c r="C22" s="1">
        <v>18.547000000000001</v>
      </c>
      <c r="D22" s="2" t="s">
        <v>32</v>
      </c>
      <c r="E22" s="10">
        <v>61</v>
      </c>
      <c r="F22" s="10">
        <v>10</v>
      </c>
      <c r="G22" s="1">
        <f>yields!$E$7</f>
        <v>7288757.2000000002</v>
      </c>
      <c r="H22" s="4">
        <f t="shared" si="0"/>
        <v>2274893008739076.5</v>
      </c>
      <c r="I22" s="1">
        <f t="shared" si="2"/>
        <v>3.4624705797215506E+19</v>
      </c>
      <c r="J22" s="1">
        <v>0.13</v>
      </c>
      <c r="K22" s="1">
        <v>0.94</v>
      </c>
      <c r="L22" s="4">
        <f>1*$I$6</f>
        <v>7.4956727677144634E-5</v>
      </c>
      <c r="M22" s="1">
        <f>yields!$H$7</f>
        <v>0.86415876175935469</v>
      </c>
      <c r="N22" s="8">
        <f t="shared" si="1"/>
        <v>97.837963629161365</v>
      </c>
      <c r="O22" s="8">
        <f t="shared" si="1"/>
        <v>16.039010431010063</v>
      </c>
      <c r="Q22" s="4"/>
    </row>
    <row r="26" spans="3:25">
      <c r="W26" s="1" t="s">
        <v>10</v>
      </c>
      <c r="X26" s="1" t="s">
        <v>11</v>
      </c>
    </row>
    <row r="27" spans="3:25">
      <c r="E27" s="2"/>
      <c r="F27" s="2"/>
      <c r="W27" s="1">
        <v>0</v>
      </c>
      <c r="X27" s="1">
        <v>810</v>
      </c>
      <c r="Y27" s="1">
        <v>170</v>
      </c>
    </row>
    <row r="28" spans="3:25">
      <c r="W28" s="1">
        <v>15</v>
      </c>
      <c r="X28" s="1">
        <v>90</v>
      </c>
      <c r="Y28" s="1">
        <f>0.2*X28</f>
        <v>18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Y49"/>
  <sheetViews>
    <sheetView topLeftCell="J5" zoomScale="109" workbookViewId="0">
      <selection activeCell="O16" sqref="O16:O22"/>
    </sheetView>
  </sheetViews>
  <sheetFormatPr baseColWidth="10" defaultColWidth="8.83203125" defaultRowHeight="15"/>
  <cols>
    <col min="1" max="2" width="10.6640625" customWidth="1"/>
    <col min="3" max="3" width="10.6640625" style="1" customWidth="1"/>
    <col min="4" max="4" width="16.1640625" style="1" customWidth="1"/>
    <col min="5" max="5" width="10.6640625" style="1" customWidth="1"/>
    <col min="6" max="6" width="11.5" style="1" customWidth="1"/>
    <col min="7" max="7" width="10.6640625" style="1" customWidth="1"/>
    <col min="8" max="8" width="15" style="1" customWidth="1"/>
    <col min="9" max="9" width="12.1640625" style="1" customWidth="1"/>
    <col min="10" max="11" width="13" style="1" customWidth="1"/>
    <col min="12" max="13" width="10.6640625" style="1" customWidth="1"/>
    <col min="14" max="14" width="19.1640625" style="1" customWidth="1"/>
    <col min="15" max="15" width="13.1640625" style="1" customWidth="1"/>
    <col min="16" max="25" width="10.6640625" style="1" customWidth="1"/>
    <col min="26" max="1024" width="10.6640625" customWidth="1"/>
  </cols>
  <sheetData>
    <row r="3" spans="3:24">
      <c r="D3" s="2" t="s">
        <v>0</v>
      </c>
    </row>
    <row r="4" spans="3:24">
      <c r="D4" s="1" t="s">
        <v>1</v>
      </c>
      <c r="E4" s="3">
        <v>1E-10</v>
      </c>
      <c r="F4" s="3"/>
      <c r="H4" s="1" t="s">
        <v>2</v>
      </c>
      <c r="I4" s="1">
        <f>2.54*5/2</f>
        <v>6.35</v>
      </c>
    </row>
    <row r="5" spans="3:24">
      <c r="D5" s="1" t="s">
        <v>3</v>
      </c>
      <c r="E5" s="3">
        <v>1.602E-19</v>
      </c>
      <c r="F5" s="3"/>
      <c r="H5" s="1" t="s">
        <v>4</v>
      </c>
      <c r="I5" s="1">
        <v>1300</v>
      </c>
    </row>
    <row r="6" spans="3:24">
      <c r="D6" s="1" t="s">
        <v>5</v>
      </c>
      <c r="E6" s="1">
        <v>2</v>
      </c>
      <c r="H6" s="1" t="s">
        <v>6</v>
      </c>
      <c r="I6" s="4">
        <f>PI()*$I$4^2/$I$5^2</f>
        <v>7.4956727677144634E-5</v>
      </c>
    </row>
    <row r="7" spans="3:24">
      <c r="D7" s="1" t="s">
        <v>7</v>
      </c>
      <c r="E7" s="1">
        <v>0.62</v>
      </c>
      <c r="P7" s="1">
        <f>P16/E16</f>
        <v>6.5801589143961753E-2</v>
      </c>
    </row>
    <row r="8" spans="3:24">
      <c r="D8" s="1" t="s">
        <v>8</v>
      </c>
    </row>
    <row r="10" spans="3:24">
      <c r="D10" s="1" t="s">
        <v>9</v>
      </c>
      <c r="E10" s="1">
        <v>16</v>
      </c>
      <c r="W10" s="1" t="s">
        <v>10</v>
      </c>
      <c r="X10" s="1" t="s">
        <v>11</v>
      </c>
    </row>
    <row r="11" spans="3:24">
      <c r="D11" s="1" t="s">
        <v>12</v>
      </c>
      <c r="E11" s="1">
        <f>2.54*0.5</f>
        <v>1.27</v>
      </c>
      <c r="W11" s="1">
        <v>0</v>
      </c>
      <c r="X11" s="1">
        <v>780</v>
      </c>
    </row>
    <row r="12" spans="3:24">
      <c r="W12" s="1">
        <v>7.5</v>
      </c>
      <c r="X12" s="1">
        <v>500</v>
      </c>
    </row>
    <row r="13" spans="3:24">
      <c r="E13" s="2" t="s">
        <v>13</v>
      </c>
      <c r="F13" s="2"/>
      <c r="W13" s="1">
        <v>15</v>
      </c>
      <c r="X13" s="1">
        <v>200</v>
      </c>
    </row>
    <row r="14" spans="3:24">
      <c r="K14" s="1" t="s">
        <v>14</v>
      </c>
      <c r="W14" s="1">
        <v>22.5</v>
      </c>
      <c r="X14" s="1">
        <v>20</v>
      </c>
    </row>
    <row r="15" spans="3:24">
      <c r="C15" s="1" t="s">
        <v>10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 t="s">
        <v>23</v>
      </c>
      <c r="N15" s="2" t="s">
        <v>24</v>
      </c>
      <c r="O15" s="2" t="s">
        <v>25</v>
      </c>
      <c r="P15" s="2"/>
    </row>
    <row r="16" spans="3:24">
      <c r="C16" s="1">
        <v>0</v>
      </c>
      <c r="D16" s="2" t="s">
        <v>26</v>
      </c>
      <c r="E16" s="1">
        <f>yields!I7</f>
        <v>1560</v>
      </c>
      <c r="F16" s="3">
        <f>background!I7/background!$E$7/background!$H$7</f>
        <v>1.6297236182332687E-5</v>
      </c>
      <c r="G16" s="1">
        <f>yields!$E$7</f>
        <v>7288757.2000000002</v>
      </c>
      <c r="H16" s="4">
        <f t="shared" ref="H16:H22" si="0">G16*$E$4/$E$5/$E$6</f>
        <v>2274893008739076.5</v>
      </c>
      <c r="I16" s="1">
        <f>$E$10/14.7*101325/8.314/293/100^3*6.02E+23*$E$11</f>
        <v>3.4613206393098199E+19</v>
      </c>
      <c r="J16" s="1">
        <v>0.13</v>
      </c>
      <c r="K16" s="1">
        <v>0.94</v>
      </c>
      <c r="L16" s="4">
        <f>3*$I$6</f>
        <v>2.248701830314339E-4</v>
      </c>
      <c r="M16" s="1">
        <f>yields!$H$7</f>
        <v>0.86415876175935469</v>
      </c>
      <c r="N16" s="8">
        <f>(E16-F16*G16*M16)/(H16*I16*J16*K16*L16*M16)*10^30</f>
        <v>779.4069921326593</v>
      </c>
      <c r="O16" s="8">
        <f>N16*yields!P7</f>
        <v>19.733403597825344</v>
      </c>
      <c r="P16" s="8">
        <f>F16*G16*M16</f>
        <v>102.65047906458032</v>
      </c>
      <c r="Q16" s="1">
        <f>N16*(1274/1415)</f>
        <v>701.74170175053564</v>
      </c>
      <c r="R16" s="1">
        <f>SQRT(POWER(SQRT(1560),2)+POWER(SQRT(40*3.76),2))/(E16-40*3.76)</f>
        <v>2.9339516516601209E-2</v>
      </c>
      <c r="S16" s="1">
        <f>N16*R16</f>
        <v>22.867424318830626</v>
      </c>
      <c r="T16" s="1">
        <f>(N16-Q16)/O16</f>
        <v>3.9357270527159596</v>
      </c>
    </row>
    <row r="17" spans="3:25">
      <c r="C17" s="1">
        <v>3.093</v>
      </c>
      <c r="D17" s="2" t="s">
        <v>27</v>
      </c>
      <c r="E17" s="1">
        <f>yields!J7</f>
        <v>1860</v>
      </c>
      <c r="F17" s="3">
        <f>background!J7/background!$E$7/background!$H$7</f>
        <v>5.3780879401697868E-5</v>
      </c>
      <c r="G17" s="1">
        <f>yields!$E$7</f>
        <v>7288757.2000000002</v>
      </c>
      <c r="H17" s="4">
        <f t="shared" si="0"/>
        <v>2274893008739076.5</v>
      </c>
      <c r="I17" s="1">
        <f t="shared" ref="I17:I22" si="1">$E$10/14.7*101325/8.314*6.022E+23/293/100^3*$E$11</f>
        <v>3.4624705797215506E+19</v>
      </c>
      <c r="J17" s="1">
        <v>0.13</v>
      </c>
      <c r="K17" s="1">
        <v>0.94</v>
      </c>
      <c r="L17" s="4">
        <f>3*$I$6</f>
        <v>2.248701830314339E-4</v>
      </c>
      <c r="M17" s="1">
        <f>yields!$H$7</f>
        <v>0.86415876175935469</v>
      </c>
      <c r="N17" s="8">
        <f t="shared" ref="N17:N22" si="2">(E17-F17*G17*M17)/(H17*I17*J17*K17*L17*M17)*10^30</f>
        <v>813.3133152314756</v>
      </c>
      <c r="O17" s="8">
        <f>N17*yields!Q7</f>
        <v>18.858250935624309</v>
      </c>
    </row>
    <row r="18" spans="3:25">
      <c r="C18" s="1">
        <v>6.1849999999999996</v>
      </c>
      <c r="D18" s="2" t="s">
        <v>28</v>
      </c>
      <c r="E18" s="1">
        <f>yields!K7</f>
        <v>1117</v>
      </c>
      <c r="F18" s="3">
        <f>background!K7/background!$E$7/background!$H$7</f>
        <v>7.3337562820497094E-6</v>
      </c>
      <c r="G18" s="1">
        <f>yields!$E$7</f>
        <v>7288757.2000000002</v>
      </c>
      <c r="H18" s="4">
        <f t="shared" si="0"/>
        <v>2274893008739076.5</v>
      </c>
      <c r="I18" s="1">
        <f t="shared" si="1"/>
        <v>3.4624705797215506E+19</v>
      </c>
      <c r="J18" s="1">
        <v>0.13</v>
      </c>
      <c r="K18" s="1">
        <v>0.94</v>
      </c>
      <c r="L18" s="4">
        <f>3*$I$6</f>
        <v>2.248701830314339E-4</v>
      </c>
      <c r="M18" s="1">
        <f>yields!$H$7</f>
        <v>0.86415876175935469</v>
      </c>
      <c r="N18" s="8">
        <f t="shared" si="2"/>
        <v>572.48964014763328</v>
      </c>
      <c r="O18" s="8">
        <f>N18*yields!R7</f>
        <v>17.129356396571296</v>
      </c>
    </row>
    <row r="19" spans="3:25">
      <c r="C19" s="1">
        <v>9.2769999999999992</v>
      </c>
      <c r="D19" s="2" t="s">
        <v>29</v>
      </c>
      <c r="E19" s="1">
        <f>yields!L7</f>
        <v>625</v>
      </c>
      <c r="F19" s="3">
        <f>background!L7/background!$E$7/background!$H$7</f>
        <v>2.0371545227915859E-6</v>
      </c>
      <c r="G19" s="1">
        <f>yields!$E$7</f>
        <v>7288757.2000000002</v>
      </c>
      <c r="H19" s="4">
        <f t="shared" si="0"/>
        <v>2274893008739076.5</v>
      </c>
      <c r="I19" s="1">
        <f t="shared" si="1"/>
        <v>3.4624705797215506E+19</v>
      </c>
      <c r="J19" s="1">
        <v>0.13</v>
      </c>
      <c r="K19" s="1">
        <v>0.94</v>
      </c>
      <c r="L19" s="4">
        <f>2*$I$6</f>
        <v>1.4991345535428927E-4</v>
      </c>
      <c r="M19" s="1">
        <f>yields!$H$7</f>
        <v>0.86415876175935469</v>
      </c>
      <c r="N19" s="8">
        <f t="shared" si="2"/>
        <v>490.92900031615824</v>
      </c>
      <c r="O19" s="8">
        <f>N19*yields!S7</f>
        <v>19.63716001264633</v>
      </c>
    </row>
    <row r="20" spans="3:25">
      <c r="C20" s="1">
        <v>12.368</v>
      </c>
      <c r="D20" s="2" t="s">
        <v>30</v>
      </c>
      <c r="E20" s="1">
        <f>yields!M7</f>
        <v>716</v>
      </c>
      <c r="F20" s="3">
        <f>background!M7/background!$E$7/background!$H$7</f>
        <v>9.370910804841297E-6</v>
      </c>
      <c r="G20" s="1">
        <f>yields!$E$7</f>
        <v>7288757.2000000002</v>
      </c>
      <c r="H20" s="4">
        <f t="shared" si="0"/>
        <v>2274893008739076.5</v>
      </c>
      <c r="I20" s="1">
        <f t="shared" si="1"/>
        <v>3.4624705797215506E+19</v>
      </c>
      <c r="J20" s="1">
        <v>0.13</v>
      </c>
      <c r="K20" s="1">
        <v>0.94</v>
      </c>
      <c r="L20" s="4">
        <f>3*$I$6</f>
        <v>2.248701830314339E-4</v>
      </c>
      <c r="M20" s="1">
        <f>yields!$H$7</f>
        <v>0.86415876175935469</v>
      </c>
      <c r="N20" s="8">
        <f t="shared" si="2"/>
        <v>351.24148361786121</v>
      </c>
      <c r="O20" s="8">
        <f>N20*yields!T7</f>
        <v>13.126510544312183</v>
      </c>
    </row>
    <row r="21" spans="3:25">
      <c r="C21" s="1">
        <v>15.458</v>
      </c>
      <c r="D21" s="2" t="s">
        <v>31</v>
      </c>
      <c r="E21" s="1">
        <f>yields!N7</f>
        <v>371</v>
      </c>
      <c r="F21" s="3">
        <f>background!N7/background!$E$7/background!$H$7</f>
        <v>2.4445854273499034E-6</v>
      </c>
      <c r="G21" s="1">
        <f>yields!$E$7</f>
        <v>7288757.2000000002</v>
      </c>
      <c r="H21" s="4">
        <f t="shared" si="0"/>
        <v>2274893008739076.5</v>
      </c>
      <c r="I21" s="1">
        <f t="shared" si="1"/>
        <v>3.4624705797215506E+19</v>
      </c>
      <c r="J21" s="1">
        <v>0.13</v>
      </c>
      <c r="K21" s="1">
        <v>0.94</v>
      </c>
      <c r="L21" s="4">
        <f>3*$I$6</f>
        <v>2.248701830314339E-4</v>
      </c>
      <c r="M21" s="1">
        <f>yields!$H$7</f>
        <v>0.86415876175935469</v>
      </c>
      <c r="N21" s="8">
        <f t="shared" si="2"/>
        <v>190.11703514116616</v>
      </c>
      <c r="O21" s="8">
        <f>N21*yields!U7</f>
        <v>9.8703846631508956</v>
      </c>
    </row>
    <row r="22" spans="3:25">
      <c r="C22" s="1">
        <v>18.547000000000001</v>
      </c>
      <c r="D22" s="2" t="s">
        <v>32</v>
      </c>
      <c r="E22" s="1">
        <f>yields!O7</f>
        <v>77</v>
      </c>
      <c r="F22" s="3">
        <f>background!O7/background!$E$7/background!$H$7</f>
        <v>0</v>
      </c>
      <c r="G22" s="1">
        <f>yields!$E$7</f>
        <v>7288757.2000000002</v>
      </c>
      <c r="H22" s="4">
        <f t="shared" si="0"/>
        <v>2274893008739076.5</v>
      </c>
      <c r="I22" s="1">
        <f t="shared" si="1"/>
        <v>3.4624705797215506E+19</v>
      </c>
      <c r="J22" s="1">
        <v>0.13</v>
      </c>
      <c r="K22" s="1">
        <v>0.94</v>
      </c>
      <c r="L22" s="4">
        <f>1*$I$6</f>
        <v>7.4956727677144634E-5</v>
      </c>
      <c r="M22" s="1">
        <f>yields!$H$7</f>
        <v>0.86415876175935469</v>
      </c>
      <c r="N22" s="8">
        <f t="shared" si="2"/>
        <v>123.50038031877747</v>
      </c>
      <c r="O22" s="8">
        <f>N22*yields!V7</f>
        <v>14.074174534112405</v>
      </c>
    </row>
    <row r="25" spans="3:25">
      <c r="E25" s="2" t="s">
        <v>33</v>
      </c>
      <c r="F25" s="2"/>
    </row>
    <row r="26" spans="3:25">
      <c r="W26" s="1" t="s">
        <v>10</v>
      </c>
      <c r="X26" s="1" t="s">
        <v>11</v>
      </c>
    </row>
    <row r="27" spans="3:25"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  <c r="W27" s="1">
        <v>0</v>
      </c>
      <c r="X27" s="1">
        <v>810</v>
      </c>
      <c r="Y27" s="1">
        <v>170</v>
      </c>
    </row>
    <row r="28" spans="3:25">
      <c r="C28" s="1">
        <v>0</v>
      </c>
      <c r="D28" s="2" t="s">
        <v>26</v>
      </c>
      <c r="E28" s="1">
        <f>yields!I17</f>
        <v>2111</v>
      </c>
      <c r="F28" s="3">
        <f>background!I17/background!$E$17/background!$H$17</f>
        <v>3.7084325850524724E-5</v>
      </c>
      <c r="G28" s="1">
        <f>yields!$E$17</f>
        <v>7851600.0199999996</v>
      </c>
      <c r="H28" s="4">
        <f t="shared" ref="H28:H34" si="3">G28*$E$4/$E$5/$E$6</f>
        <v>2450561803995006.5</v>
      </c>
      <c r="I28" s="1">
        <f>$E$10/14.7*101325/8.314/293/100^3*6.02E+23*$E$11</f>
        <v>3.4613206393098199E+19</v>
      </c>
      <c r="J28" s="1">
        <v>0.13</v>
      </c>
      <c r="K28" s="1">
        <v>0.94</v>
      </c>
      <c r="L28" s="4">
        <f t="shared" ref="L28:L33" si="4">3*$I$6</f>
        <v>2.248701830314339E-4</v>
      </c>
      <c r="M28" s="1">
        <f>yields!$H$17</f>
        <v>0.8263735223405243</v>
      </c>
      <c r="N28" s="1">
        <f t="shared" ref="N28:N34" si="5">(E28-F28*G28*M28)/(H28*I28*J28*K28*L28*M28)*10^30</f>
        <v>971.05483791293943</v>
      </c>
      <c r="O28" s="1">
        <f>N28*yields!P17</f>
        <v>21.134872861991084</v>
      </c>
      <c r="W28" s="1">
        <v>15</v>
      </c>
      <c r="X28" s="1">
        <v>90</v>
      </c>
      <c r="Y28" s="1">
        <f>0.2*X28</f>
        <v>18</v>
      </c>
    </row>
    <row r="29" spans="3:25">
      <c r="C29" s="1">
        <v>3.1030000000000002</v>
      </c>
      <c r="D29" s="2" t="s">
        <v>27</v>
      </c>
      <c r="E29" s="1">
        <f>yields!J17</f>
        <v>2000</v>
      </c>
      <c r="F29" s="3">
        <f>background!J17/background!$E$17/background!$H$17</f>
        <v>6.3833675644345834E-5</v>
      </c>
      <c r="G29" s="1">
        <f>yields!$E$17</f>
        <v>7851600.0199999996</v>
      </c>
      <c r="H29" s="4">
        <f t="shared" si="3"/>
        <v>2450561803995006.5</v>
      </c>
      <c r="I29" s="1">
        <f t="shared" ref="I29:I34" si="6">$E$10/14.7*101325/8.314*6.022E+23/293/100^3*$E$11</f>
        <v>3.4624705797215506E+19</v>
      </c>
      <c r="J29" s="1">
        <v>0.13</v>
      </c>
      <c r="K29" s="1">
        <v>0.94</v>
      </c>
      <c r="L29" s="4">
        <f t="shared" si="4"/>
        <v>2.248701830314339E-4</v>
      </c>
      <c r="M29" s="1">
        <f>yields!$H$17</f>
        <v>0.8263735223405243</v>
      </c>
      <c r="N29" s="1">
        <f t="shared" si="5"/>
        <v>823.04559731897211</v>
      </c>
      <c r="O29" s="1">
        <f>N29*yields!Q19</f>
        <v>35.094782188347224</v>
      </c>
    </row>
    <row r="30" spans="3:25">
      <c r="C30" s="1">
        <v>6.2069999999999999</v>
      </c>
      <c r="D30" s="2" t="s">
        <v>28</v>
      </c>
      <c r="E30" s="1">
        <f>yields!K17</f>
        <v>1369</v>
      </c>
      <c r="F30" s="3">
        <f>background!K17/background!$E$17/background!$H$17</f>
        <v>1.367864478093125E-5</v>
      </c>
      <c r="G30" s="1">
        <f>yields!$E$17</f>
        <v>7851600.0199999996</v>
      </c>
      <c r="H30" s="4">
        <f t="shared" si="3"/>
        <v>2450561803995006.5</v>
      </c>
      <c r="I30" s="1">
        <f t="shared" si="6"/>
        <v>3.4624705797215506E+19</v>
      </c>
      <c r="J30" s="1">
        <v>0.13</v>
      </c>
      <c r="K30" s="1">
        <v>0.94</v>
      </c>
      <c r="L30" s="4">
        <f t="shared" si="4"/>
        <v>2.248701830314339E-4</v>
      </c>
      <c r="M30" s="1">
        <f>yields!$H$17</f>
        <v>0.8263735223405243</v>
      </c>
      <c r="N30" s="1">
        <f t="shared" si="5"/>
        <v>664.45093511330117</v>
      </c>
      <c r="O30" s="1">
        <f>N30*yields!R19</f>
        <v>35.824793495442592</v>
      </c>
    </row>
    <row r="31" spans="3:25">
      <c r="C31" s="1">
        <v>9.3089999999999993</v>
      </c>
      <c r="D31" s="2" t="s">
        <v>29</v>
      </c>
      <c r="E31" s="1">
        <f>yields!L17</f>
        <v>686</v>
      </c>
      <c r="F31" s="3">
        <f>background!L17/background!$E$17/background!$H$17</f>
        <v>9.1190965206208334E-6</v>
      </c>
      <c r="G31" s="1">
        <f>yields!$E$17</f>
        <v>7851600.0199999996</v>
      </c>
      <c r="H31" s="4">
        <f t="shared" si="3"/>
        <v>2450561803995006.5</v>
      </c>
      <c r="I31" s="1">
        <f t="shared" si="6"/>
        <v>3.4624705797215506E+19</v>
      </c>
      <c r="J31" s="1">
        <v>0.13</v>
      </c>
      <c r="K31" s="1">
        <v>0.94</v>
      </c>
      <c r="L31" s="4">
        <f t="shared" si="4"/>
        <v>2.248701830314339E-4</v>
      </c>
      <c r="M31" s="1">
        <f>yields!$H$17</f>
        <v>0.8263735223405243</v>
      </c>
      <c r="N31" s="1">
        <f t="shared" si="5"/>
        <v>325.32690616374305</v>
      </c>
      <c r="O31" s="1">
        <f>N31*yields!S19</f>
        <v>22.889921241151164</v>
      </c>
    </row>
    <row r="32" spans="3:25">
      <c r="C32" s="1">
        <v>12.411</v>
      </c>
      <c r="D32" s="2" t="s">
        <v>30</v>
      </c>
      <c r="E32" s="1">
        <f>yields!M17</f>
        <v>606</v>
      </c>
      <c r="F32" s="3">
        <f>background!M17/background!$E$17/background!$H$17</f>
        <v>1.7326283389179585E-5</v>
      </c>
      <c r="G32" s="1">
        <f>yields!$E$17</f>
        <v>7851600.0199999996</v>
      </c>
      <c r="H32" s="4">
        <f t="shared" si="3"/>
        <v>2450561803995006.5</v>
      </c>
      <c r="I32" s="1">
        <f t="shared" si="6"/>
        <v>3.4624705797215506E+19</v>
      </c>
      <c r="J32" s="1">
        <v>0.13</v>
      </c>
      <c r="K32" s="1">
        <v>0.94</v>
      </c>
      <c r="L32" s="4">
        <f t="shared" si="4"/>
        <v>2.248701830314339E-4</v>
      </c>
      <c r="M32" s="1">
        <f>yields!$H$17</f>
        <v>0.8263735223405243</v>
      </c>
      <c r="N32" s="1">
        <f t="shared" si="5"/>
        <v>256.16934050486282</v>
      </c>
      <c r="O32" s="1">
        <f>N32*yields!T19</f>
        <v>20.576016576571163</v>
      </c>
    </row>
    <row r="33" spans="3:15">
      <c r="C33" s="1">
        <v>15.512</v>
      </c>
      <c r="D33" s="2" t="s">
        <v>31</v>
      </c>
      <c r="E33" s="1">
        <f>yields!N17</f>
        <v>236</v>
      </c>
      <c r="F33" s="3">
        <f>background!N17/background!$E$17/background!$H$17</f>
        <v>5.1674880283518061E-6</v>
      </c>
      <c r="G33" s="1">
        <f>yields!$E$17</f>
        <v>7851600.0199999996</v>
      </c>
      <c r="H33" s="4">
        <f t="shared" si="3"/>
        <v>2450561803995006.5</v>
      </c>
      <c r="I33" s="1">
        <f t="shared" si="6"/>
        <v>3.4624705797215506E+19</v>
      </c>
      <c r="J33" s="1">
        <v>0.13</v>
      </c>
      <c r="K33" s="1">
        <v>0.94</v>
      </c>
      <c r="L33" s="4">
        <f t="shared" si="4"/>
        <v>2.248701830314339E-4</v>
      </c>
      <c r="M33" s="1">
        <f>yields!$H$17</f>
        <v>0.8263735223405243</v>
      </c>
      <c r="N33" s="1">
        <f t="shared" si="5"/>
        <v>105.08305480398967</v>
      </c>
      <c r="O33" s="1">
        <f>N33*yields!U19</f>
        <v>12.053853067608875</v>
      </c>
    </row>
    <row r="34" spans="3:15">
      <c r="C34" s="1">
        <v>18.611000000000001</v>
      </c>
      <c r="D34" s="2" t="s">
        <v>32</v>
      </c>
      <c r="E34" s="1">
        <f>yields!O17</f>
        <v>76</v>
      </c>
      <c r="F34" s="3">
        <f>background!O17/background!$E$17/background!$H$17</f>
        <v>3.0396988402069444E-7</v>
      </c>
      <c r="G34" s="1">
        <f>yields!$E$17</f>
        <v>7851600.0199999996</v>
      </c>
      <c r="H34" s="4">
        <f t="shared" si="3"/>
        <v>2450561803995006.5</v>
      </c>
      <c r="I34" s="1">
        <f t="shared" si="6"/>
        <v>3.4624705797215506E+19</v>
      </c>
      <c r="J34" s="1">
        <v>0.13</v>
      </c>
      <c r="K34" s="1">
        <v>0.94</v>
      </c>
      <c r="L34" s="4">
        <f>1*$I$6</f>
        <v>7.4956727677144634E-5</v>
      </c>
      <c r="M34" s="1">
        <f>yields!$H$17</f>
        <v>0.8263735223405243</v>
      </c>
      <c r="N34" s="1">
        <f t="shared" si="5"/>
        <v>115.2615605966956</v>
      </c>
      <c r="O34" s="1">
        <f>N34*yields!V19</f>
        <v>27.167410369355878</v>
      </c>
    </row>
    <row r="36" spans="3:15">
      <c r="E36" s="2" t="s">
        <v>34</v>
      </c>
      <c r="F36" s="2"/>
    </row>
    <row r="38" spans="3:15">
      <c r="E38" s="2" t="s">
        <v>15</v>
      </c>
      <c r="F38" s="2" t="s">
        <v>16</v>
      </c>
      <c r="G38" s="2" t="s">
        <v>17</v>
      </c>
      <c r="H38" s="2" t="s">
        <v>18</v>
      </c>
      <c r="I38" s="2" t="s">
        <v>19</v>
      </c>
      <c r="J38" s="2" t="s">
        <v>20</v>
      </c>
      <c r="K38" s="2" t="s">
        <v>21</v>
      </c>
      <c r="L38" s="2" t="s">
        <v>22</v>
      </c>
      <c r="M38" s="2" t="s">
        <v>23</v>
      </c>
      <c r="N38" s="2" t="s">
        <v>24</v>
      </c>
      <c r="O38" s="2" t="s">
        <v>25</v>
      </c>
    </row>
    <row r="39" spans="3:15">
      <c r="C39" s="1">
        <v>0</v>
      </c>
      <c r="D39" s="2" t="s">
        <v>26</v>
      </c>
      <c r="E39" s="1">
        <f>yields!I26</f>
        <v>956</v>
      </c>
      <c r="F39" s="3">
        <f>background!I26/background!$E$26/background!$H$26</f>
        <v>1.7402344297375485E-5</v>
      </c>
      <c r="G39" s="1">
        <f>yields!$E$26</f>
        <v>5945680.0800000001</v>
      </c>
      <c r="H39" s="4">
        <f t="shared" ref="H39:H45" si="7">G39*$E$4/$E$5/$E$6</f>
        <v>1855705393258427</v>
      </c>
      <c r="I39" s="1">
        <f>$E$10/14.7*101325/8.314/293/100^3*6.02E+23*$E$11</f>
        <v>3.4613206393098199E+19</v>
      </c>
      <c r="J39" s="1">
        <v>0.13</v>
      </c>
      <c r="K39" s="1">
        <v>0.94</v>
      </c>
      <c r="L39" s="4">
        <f t="shared" ref="L39:L44" si="8">3*$I$6</f>
        <v>2.248701830314339E-4</v>
      </c>
      <c r="M39" s="1">
        <f>yields!$H$26</f>
        <v>0.74741900851042897</v>
      </c>
      <c r="N39" s="1">
        <f t="shared" ref="N39:N45" si="9">(E39-F39*G39*M39)/(H39*I39*J39*K39*L39*M39)*10^30</f>
        <v>666.0479275739558</v>
      </c>
      <c r="O39" s="1">
        <f>N39*yields!P26</f>
        <v>21.541529459379898</v>
      </c>
    </row>
    <row r="40" spans="3:15">
      <c r="C40" s="1">
        <v>3.109</v>
      </c>
      <c r="D40" s="2" t="s">
        <v>27</v>
      </c>
      <c r="E40" s="1">
        <f>yields!J26</f>
        <v>977</v>
      </c>
      <c r="F40" s="3">
        <f>background!J26/background!$E$26/background!$H$26</f>
        <v>4.2656965899664294E-5</v>
      </c>
      <c r="G40" s="1">
        <f>yields!$E$26</f>
        <v>5945680.0800000001</v>
      </c>
      <c r="H40" s="4">
        <f t="shared" si="7"/>
        <v>1855705393258427</v>
      </c>
      <c r="I40" s="1">
        <f t="shared" ref="I40:I45" si="10">$E$10/14.7*101325/8.314*6.022E+23/293/100^3*$E$11</f>
        <v>3.4624705797215506E+19</v>
      </c>
      <c r="J40" s="1">
        <v>0.13</v>
      </c>
      <c r="K40" s="1">
        <v>0.94</v>
      </c>
      <c r="L40" s="4">
        <f t="shared" si="8"/>
        <v>2.248701830314339E-4</v>
      </c>
      <c r="M40" s="1">
        <f>yields!$H$26</f>
        <v>0.74741900851042897</v>
      </c>
      <c r="N40" s="1">
        <f t="shared" si="9"/>
        <v>596.69579949775061</v>
      </c>
      <c r="O40" s="1">
        <f>N40*yields!Q26</f>
        <v>19.089989905011709</v>
      </c>
    </row>
    <row r="41" spans="3:15">
      <c r="C41" s="1">
        <v>6.2169999999999996</v>
      </c>
      <c r="D41" s="2" t="s">
        <v>28</v>
      </c>
      <c r="E41" s="1">
        <f>yields!K26</f>
        <v>495</v>
      </c>
      <c r="F41" s="3">
        <f>background!K26/background!$E$26/background!$H$26</f>
        <v>9.8330319403869593E-6</v>
      </c>
      <c r="G41" s="1">
        <f>yields!$E$26</f>
        <v>5945680.0800000001</v>
      </c>
      <c r="H41" s="4">
        <f t="shared" si="7"/>
        <v>1855705393258427</v>
      </c>
      <c r="I41" s="1">
        <f t="shared" si="10"/>
        <v>3.4624705797215506E+19</v>
      </c>
      <c r="J41" s="1">
        <v>0.13</v>
      </c>
      <c r="K41" s="1">
        <v>0.94</v>
      </c>
      <c r="L41" s="4">
        <f t="shared" si="8"/>
        <v>2.248701830314339E-4</v>
      </c>
      <c r="M41" s="1">
        <f>yields!$H$26</f>
        <v>0.74741900851042897</v>
      </c>
      <c r="N41" s="1">
        <f t="shared" si="9"/>
        <v>341.98395844143226</v>
      </c>
      <c r="O41" s="1">
        <f>N41*yields!R26</f>
        <v>15.371035849723249</v>
      </c>
    </row>
    <row r="42" spans="3:15">
      <c r="C42" s="1">
        <v>9.3239999999999998</v>
      </c>
      <c r="D42" s="2" t="s">
        <v>29</v>
      </c>
      <c r="E42" s="1">
        <f>yields!L26</f>
        <v>259</v>
      </c>
      <c r="F42" s="3">
        <f>background!L26/background!$E$26/background!$H$26</f>
        <v>4.0322505079284655E-6</v>
      </c>
      <c r="G42" s="1">
        <f>yields!$E$26</f>
        <v>5945680.0800000001</v>
      </c>
      <c r="H42" s="4">
        <f t="shared" si="7"/>
        <v>1855705393258427</v>
      </c>
      <c r="I42" s="1">
        <f t="shared" si="10"/>
        <v>3.4624705797215506E+19</v>
      </c>
      <c r="J42" s="1">
        <v>0.13</v>
      </c>
      <c r="K42" s="1">
        <v>0.94</v>
      </c>
      <c r="L42" s="4">
        <f t="shared" si="8"/>
        <v>2.248701830314339E-4</v>
      </c>
      <c r="M42" s="1">
        <f>yields!$H$26</f>
        <v>0.74741900851042897</v>
      </c>
      <c r="N42" s="1">
        <f t="shared" si="9"/>
        <v>182.68407396622342</v>
      </c>
      <c r="O42" s="1">
        <f>N42*yields!S26</f>
        <v>11.351436029253817</v>
      </c>
    </row>
    <row r="43" spans="3:15">
      <c r="C43" s="1">
        <v>12.430999999999999</v>
      </c>
      <c r="D43" s="2" t="s">
        <v>30</v>
      </c>
      <c r="E43" s="1">
        <f>yields!M26</f>
        <v>231</v>
      </c>
      <c r="F43" s="3">
        <f>background!M26/background!$E$26/background!$H$26</f>
        <v>6.5789350392517072E-6</v>
      </c>
      <c r="G43" s="1">
        <f>yields!$E$26</f>
        <v>5945680.0800000001</v>
      </c>
      <c r="H43" s="4">
        <f t="shared" si="7"/>
        <v>1855705393258427</v>
      </c>
      <c r="I43" s="1">
        <f t="shared" si="10"/>
        <v>3.4624705797215506E+19</v>
      </c>
      <c r="J43" s="1">
        <v>0.13</v>
      </c>
      <c r="K43" s="1">
        <v>0.94</v>
      </c>
      <c r="L43" s="4">
        <f t="shared" si="8"/>
        <v>2.248701830314339E-4</v>
      </c>
      <c r="M43" s="1">
        <f>yields!$H$26</f>
        <v>0.74741900851042897</v>
      </c>
      <c r="N43" s="1">
        <f t="shared" si="9"/>
        <v>152.8906257547923</v>
      </c>
      <c r="O43" s="1">
        <f>N43*yields!T26</f>
        <v>10.059464635882531</v>
      </c>
    </row>
    <row r="44" spans="3:15">
      <c r="C44" s="1">
        <v>15.537000000000001</v>
      </c>
      <c r="D44" s="2" t="s">
        <v>31</v>
      </c>
      <c r="E44" s="1">
        <f>yields!N26</f>
        <v>105</v>
      </c>
      <c r="F44" s="3">
        <f>background!N26/background!$E$26/background!$H$26</f>
        <v>2.5466845313232418E-6</v>
      </c>
      <c r="G44" s="1">
        <f>yields!$E$26</f>
        <v>5945680.0800000001</v>
      </c>
      <c r="H44" s="4">
        <f t="shared" si="7"/>
        <v>1855705393258427</v>
      </c>
      <c r="I44" s="1">
        <f t="shared" si="10"/>
        <v>3.4624705797215506E+19</v>
      </c>
      <c r="J44" s="1">
        <v>0.13</v>
      </c>
      <c r="K44" s="1">
        <v>0.94</v>
      </c>
      <c r="L44" s="4">
        <f t="shared" si="8"/>
        <v>2.248701830314339E-4</v>
      </c>
      <c r="M44" s="1">
        <f>yields!$H$26</f>
        <v>0.74741900851042897</v>
      </c>
      <c r="N44" s="1">
        <f t="shared" si="9"/>
        <v>70.990020382079607</v>
      </c>
      <c r="O44" s="1">
        <f>N44*yields!U26</f>
        <v>6.9279166069489353</v>
      </c>
    </row>
    <row r="45" spans="3:15">
      <c r="C45" s="1">
        <v>18.640999999999998</v>
      </c>
      <c r="D45" s="2" t="s">
        <v>32</v>
      </c>
      <c r="E45" s="1">
        <f>yields!O26</f>
        <v>77</v>
      </c>
      <c r="F45" s="3">
        <f>background!O26/background!$E$26/background!$H$26</f>
        <v>7.7815360679321265E-7</v>
      </c>
      <c r="G45" s="1">
        <f>yields!$E$26</f>
        <v>5945680.0800000001</v>
      </c>
      <c r="H45" s="4">
        <f t="shared" si="7"/>
        <v>1855705393258427</v>
      </c>
      <c r="I45" s="1">
        <f t="shared" si="10"/>
        <v>3.4624705797215506E+19</v>
      </c>
      <c r="J45" s="1">
        <v>0.13</v>
      </c>
      <c r="K45" s="1">
        <v>0.94</v>
      </c>
      <c r="L45" s="4">
        <f>1*$I$6</f>
        <v>7.4956727677144634E-5</v>
      </c>
      <c r="M45" s="1">
        <f>yields!$H$26</f>
        <v>0.74741900851042897</v>
      </c>
      <c r="N45" s="1">
        <f t="shared" si="9"/>
        <v>167.1837522147176</v>
      </c>
      <c r="O45" s="1">
        <f>N45*yields!V26</f>
        <v>19.05235677707449</v>
      </c>
    </row>
    <row r="49" spans="5:6">
      <c r="E49" s="2"/>
      <c r="F49" s="2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AMJ40"/>
  <sheetViews>
    <sheetView topLeftCell="B1" workbookViewId="0">
      <selection activeCell="G10" sqref="G10"/>
    </sheetView>
  </sheetViews>
  <sheetFormatPr baseColWidth="10" defaultColWidth="8.83203125" defaultRowHeight="15"/>
  <cols>
    <col min="1" max="2" width="10.6640625" customWidth="1"/>
    <col min="3" max="8" width="10.6640625" style="1" customWidth="1"/>
    <col min="9" max="15" width="11.1640625" style="1" customWidth="1"/>
    <col min="16" max="16" width="13.1640625" style="1" customWidth="1"/>
    <col min="17" max="19" width="12.1640625" style="1" customWidth="1"/>
    <col min="20" max="22" width="13.1640625" style="1" customWidth="1"/>
    <col min="23" max="1023" width="10.6640625" style="1" customWidth="1"/>
  </cols>
  <sheetData>
    <row r="2" spans="4:1024">
      <c r="E2" s="5" t="s">
        <v>7</v>
      </c>
      <c r="F2" s="1">
        <v>0.62</v>
      </c>
    </row>
    <row r="3" spans="4:1024">
      <c r="E3" s="6" t="s">
        <v>35</v>
      </c>
    </row>
    <row r="6" spans="4:1024" s="2" customFormat="1">
      <c r="D6" s="2" t="s">
        <v>36</v>
      </c>
      <c r="E6" s="2" t="s">
        <v>17</v>
      </c>
      <c r="F6" s="2" t="s">
        <v>37</v>
      </c>
      <c r="G6" s="2" t="s">
        <v>38</v>
      </c>
      <c r="H6" s="2" t="s">
        <v>39</v>
      </c>
      <c r="I6" s="2" t="s">
        <v>40</v>
      </c>
      <c r="J6" s="2" t="s">
        <v>41</v>
      </c>
      <c r="K6" s="2" t="s">
        <v>42</v>
      </c>
      <c r="L6" s="2" t="s">
        <v>43</v>
      </c>
      <c r="M6" s="2" t="s">
        <v>44</v>
      </c>
      <c r="N6" s="2" t="s">
        <v>45</v>
      </c>
      <c r="O6" s="2" t="s">
        <v>46</v>
      </c>
      <c r="P6" s="2" t="s">
        <v>47</v>
      </c>
      <c r="Q6" s="2" t="s">
        <v>48</v>
      </c>
      <c r="R6" s="2" t="s">
        <v>49</v>
      </c>
      <c r="S6" s="2" t="s">
        <v>50</v>
      </c>
      <c r="T6" s="2" t="s">
        <v>51</v>
      </c>
      <c r="U6" s="2" t="s">
        <v>52</v>
      </c>
      <c r="V6" s="2" t="s">
        <v>53</v>
      </c>
      <c r="AMJ6"/>
    </row>
    <row r="7" spans="4:1024">
      <c r="D7" s="2" t="s">
        <v>54</v>
      </c>
      <c r="E7" s="1">
        <f>SUM(E8:E11)*$F$2</f>
        <v>7288757.2000000002</v>
      </c>
      <c r="F7" s="1">
        <f>SUM(F8:F11)</f>
        <v>34608206</v>
      </c>
      <c r="G7" s="1">
        <f>SUM(G8:G11)</f>
        <v>40048435</v>
      </c>
      <c r="H7" s="7">
        <f>F7/G7</f>
        <v>0.86415876175935469</v>
      </c>
      <c r="I7" s="1">
        <f t="shared" ref="I7:O7" si="0">SUM(I8:I11)</f>
        <v>1560</v>
      </c>
      <c r="J7" s="1">
        <f t="shared" si="0"/>
        <v>1860</v>
      </c>
      <c r="K7" s="1">
        <f t="shared" si="0"/>
        <v>1117</v>
      </c>
      <c r="L7" s="1">
        <f t="shared" si="0"/>
        <v>625</v>
      </c>
      <c r="M7" s="1">
        <f t="shared" si="0"/>
        <v>716</v>
      </c>
      <c r="N7" s="1">
        <f t="shared" si="0"/>
        <v>371</v>
      </c>
      <c r="O7" s="1">
        <f t="shared" si="0"/>
        <v>77</v>
      </c>
      <c r="P7" s="1">
        <f t="shared" ref="P7:V11" si="1">1/SQRT(I7)</f>
        <v>2.5318484177091666E-2</v>
      </c>
      <c r="Q7" s="1">
        <f t="shared" si="1"/>
        <v>2.3186944788008416E-2</v>
      </c>
      <c r="R7" s="1">
        <f t="shared" si="1"/>
        <v>2.9920814623220059E-2</v>
      </c>
      <c r="S7" s="1">
        <f t="shared" si="1"/>
        <v>0.04</v>
      </c>
      <c r="T7" s="1">
        <f t="shared" si="1"/>
        <v>3.7371754637596795E-2</v>
      </c>
      <c r="U7" s="1">
        <f t="shared" si="1"/>
        <v>5.1917413165116499E-2</v>
      </c>
      <c r="V7" s="1">
        <f t="shared" si="1"/>
        <v>0.11396057645963795</v>
      </c>
    </row>
    <row r="8" spans="4:1024">
      <c r="D8" s="1">
        <v>3672</v>
      </c>
      <c r="E8" s="1">
        <v>2914702</v>
      </c>
      <c r="F8" s="1">
        <v>6986639</v>
      </c>
      <c r="G8" s="1">
        <v>8209471</v>
      </c>
      <c r="H8" s="7">
        <f>F8/G8</f>
        <v>0.85104618799432996</v>
      </c>
      <c r="I8" s="1">
        <v>333</v>
      </c>
      <c r="J8" s="1">
        <v>429</v>
      </c>
      <c r="K8" s="1">
        <v>243</v>
      </c>
      <c r="L8" s="1">
        <f>70+86</f>
        <v>156</v>
      </c>
      <c r="M8" s="1">
        <v>156</v>
      </c>
      <c r="N8" s="1">
        <v>86</v>
      </c>
      <c r="O8" s="1">
        <v>16</v>
      </c>
      <c r="P8" s="1">
        <f t="shared" si="1"/>
        <v>5.4799662435119099E-2</v>
      </c>
      <c r="Q8" s="1">
        <f t="shared" si="1"/>
        <v>4.8280454958526758E-2</v>
      </c>
      <c r="R8" s="1">
        <f t="shared" si="1"/>
        <v>6.4150029909958411E-2</v>
      </c>
      <c r="S8" s="1">
        <f t="shared" si="1"/>
        <v>8.0064076902543566E-2</v>
      </c>
      <c r="T8" s="1">
        <f t="shared" si="1"/>
        <v>8.0064076902543566E-2</v>
      </c>
      <c r="U8" s="1">
        <f t="shared" si="1"/>
        <v>0.10783277320343841</v>
      </c>
      <c r="V8" s="1">
        <f t="shared" si="1"/>
        <v>0.25</v>
      </c>
    </row>
    <row r="9" spans="4:1024">
      <c r="D9" s="1">
        <v>3673</v>
      </c>
      <c r="E9" s="1">
        <v>3250724</v>
      </c>
      <c r="F9" s="1">
        <v>10170793</v>
      </c>
      <c r="G9" s="1">
        <v>11744977</v>
      </c>
      <c r="H9" s="7">
        <f>F9/G9</f>
        <v>0.8659695970456136</v>
      </c>
      <c r="I9" s="1">
        <v>446</v>
      </c>
      <c r="J9" s="1">
        <v>513</v>
      </c>
      <c r="K9" s="1">
        <v>342</v>
      </c>
      <c r="L9" s="1">
        <f>82+99</f>
        <v>181</v>
      </c>
      <c r="M9" s="1">
        <v>212</v>
      </c>
      <c r="N9" s="1">
        <v>107</v>
      </c>
      <c r="O9" s="1">
        <v>23</v>
      </c>
      <c r="P9" s="1">
        <f t="shared" si="1"/>
        <v>4.7351372381037843E-2</v>
      </c>
      <c r="Q9" s="1">
        <f t="shared" si="1"/>
        <v>4.4151078568834795E-2</v>
      </c>
      <c r="R9" s="1">
        <f t="shared" si="1"/>
        <v>5.4073807043587517E-2</v>
      </c>
      <c r="S9" s="1">
        <f t="shared" si="1"/>
        <v>7.4329414624716636E-2</v>
      </c>
      <c r="T9" s="1">
        <f t="shared" si="1"/>
        <v>6.8680281974344518E-2</v>
      </c>
      <c r="U9" s="1">
        <f t="shared" si="1"/>
        <v>9.6673648904566353E-2</v>
      </c>
      <c r="V9" s="1">
        <f t="shared" si="1"/>
        <v>0.20851441405707477</v>
      </c>
    </row>
    <row r="10" spans="4:1024">
      <c r="D10" s="1">
        <v>3674</v>
      </c>
      <c r="E10" s="1">
        <v>3161901</v>
      </c>
      <c r="F10" s="1">
        <v>9664082</v>
      </c>
      <c r="G10" s="1">
        <v>11141521</v>
      </c>
      <c r="H10" s="7">
        <f>F10/G10</f>
        <v>0.86739341962376593</v>
      </c>
      <c r="I10" s="1">
        <v>462</v>
      </c>
      <c r="J10" s="1">
        <v>518</v>
      </c>
      <c r="K10" s="1">
        <v>305</v>
      </c>
      <c r="L10" s="1">
        <f>64+83</f>
        <v>147</v>
      </c>
      <c r="M10" s="1">
        <v>204</v>
      </c>
      <c r="N10" s="1">
        <v>93</v>
      </c>
      <c r="O10" s="1">
        <v>22</v>
      </c>
      <c r="P10" s="1">
        <f t="shared" si="1"/>
        <v>4.6524210519923545E-2</v>
      </c>
      <c r="Q10" s="1">
        <f t="shared" si="1"/>
        <v>4.3937477516374682E-2</v>
      </c>
      <c r="R10" s="1">
        <f t="shared" si="1"/>
        <v>5.7259833431386825E-2</v>
      </c>
      <c r="S10" s="1">
        <f t="shared" si="1"/>
        <v>8.2478609884232251E-2</v>
      </c>
      <c r="T10" s="1">
        <f t="shared" si="1"/>
        <v>7.0014004201400484E-2</v>
      </c>
      <c r="U10" s="1">
        <f t="shared" si="1"/>
        <v>0.10369516947304253</v>
      </c>
      <c r="V10" s="1">
        <f t="shared" si="1"/>
        <v>0.21320071635561041</v>
      </c>
    </row>
    <row r="11" spans="4:1024">
      <c r="D11" s="1">
        <v>3675</v>
      </c>
      <c r="E11" s="1">
        <v>2428733</v>
      </c>
      <c r="F11" s="1">
        <v>7786692</v>
      </c>
      <c r="G11" s="1">
        <v>8952466</v>
      </c>
      <c r="H11" s="7">
        <f>F11/G11</f>
        <v>0.86978180090267865</v>
      </c>
      <c r="I11" s="1">
        <v>319</v>
      </c>
      <c r="J11" s="1">
        <v>400</v>
      </c>
      <c r="K11" s="1">
        <v>227</v>
      </c>
      <c r="L11" s="1">
        <f>56+85</f>
        <v>141</v>
      </c>
      <c r="M11" s="1">
        <v>144</v>
      </c>
      <c r="N11" s="1">
        <v>85</v>
      </c>
      <c r="O11" s="1">
        <v>16</v>
      </c>
      <c r="P11" s="1">
        <f t="shared" si="1"/>
        <v>5.5989251095585432E-2</v>
      </c>
      <c r="Q11" s="1">
        <f t="shared" si="1"/>
        <v>0.05</v>
      </c>
      <c r="R11" s="1">
        <f t="shared" si="1"/>
        <v>6.6372331159997203E-2</v>
      </c>
      <c r="S11" s="1">
        <f t="shared" si="1"/>
        <v>8.4215192106651904E-2</v>
      </c>
      <c r="T11" s="1">
        <f t="shared" si="1"/>
        <v>8.3333333333333329E-2</v>
      </c>
      <c r="U11" s="1">
        <f t="shared" si="1"/>
        <v>0.10846522890932808</v>
      </c>
      <c r="V11" s="1">
        <f t="shared" si="1"/>
        <v>0.25</v>
      </c>
    </row>
    <row r="12" spans="4:1024">
      <c r="H12" s="7"/>
    </row>
    <row r="13" spans="4:1024">
      <c r="H13" s="7"/>
    </row>
    <row r="14" spans="4:1024">
      <c r="H14" s="7"/>
    </row>
    <row r="15" spans="4:1024">
      <c r="H15" s="7"/>
    </row>
    <row r="16" spans="4:1024">
      <c r="D16" s="2" t="s">
        <v>36</v>
      </c>
      <c r="E16" s="2" t="s">
        <v>17</v>
      </c>
      <c r="F16" s="2" t="s">
        <v>37</v>
      </c>
      <c r="G16" s="2" t="s">
        <v>38</v>
      </c>
      <c r="H16" s="2" t="s">
        <v>39</v>
      </c>
      <c r="I16" s="2" t="s">
        <v>40</v>
      </c>
      <c r="J16" s="2" t="s">
        <v>41</v>
      </c>
      <c r="K16" s="2" t="s">
        <v>42</v>
      </c>
      <c r="L16" s="2" t="s">
        <v>43</v>
      </c>
      <c r="M16" s="2" t="s">
        <v>44</v>
      </c>
      <c r="N16" s="2" t="s">
        <v>45</v>
      </c>
      <c r="O16" s="2" t="s">
        <v>46</v>
      </c>
      <c r="P16" s="2" t="s">
        <v>47</v>
      </c>
      <c r="Q16" s="2" t="s">
        <v>48</v>
      </c>
      <c r="R16" s="2" t="s">
        <v>49</v>
      </c>
      <c r="S16" s="2" t="s">
        <v>50</v>
      </c>
      <c r="T16" s="2" t="s">
        <v>51</v>
      </c>
      <c r="U16" s="2" t="s">
        <v>52</v>
      </c>
      <c r="V16" s="2" t="s">
        <v>53</v>
      </c>
    </row>
    <row r="17" spans="3:22">
      <c r="D17" s="2" t="s">
        <v>54</v>
      </c>
      <c r="E17" s="1">
        <f>SUM(E18:E22)*$F$2</f>
        <v>7851600.0199999996</v>
      </c>
      <c r="F17" s="1">
        <f>SUM(F18:F21)</f>
        <v>48829909</v>
      </c>
      <c r="G17" s="1">
        <f>SUM(G18:G21)</f>
        <v>59089392</v>
      </c>
      <c r="H17" s="7">
        <f t="shared" ref="H17:H22" si="2">F17/G17</f>
        <v>0.8263735223405243</v>
      </c>
      <c r="I17" s="1">
        <f t="shared" ref="I17:O17" si="3">SUM(I18:I22)</f>
        <v>2111</v>
      </c>
      <c r="J17" s="1">
        <f t="shared" si="3"/>
        <v>2000</v>
      </c>
      <c r="K17" s="1">
        <f t="shared" si="3"/>
        <v>1369</v>
      </c>
      <c r="L17" s="1">
        <f t="shared" si="3"/>
        <v>686</v>
      </c>
      <c r="M17" s="1">
        <f t="shared" si="3"/>
        <v>606</v>
      </c>
      <c r="N17" s="1">
        <f t="shared" si="3"/>
        <v>236</v>
      </c>
      <c r="O17" s="1">
        <f t="shared" si="3"/>
        <v>76</v>
      </c>
      <c r="P17" s="1">
        <f t="shared" ref="P17:V22" si="4">1/SQRT(I17)</f>
        <v>2.1764860270317654E-2</v>
      </c>
      <c r="Q17" s="1">
        <f t="shared" si="4"/>
        <v>2.2360679774997897E-2</v>
      </c>
      <c r="R17" s="1">
        <f t="shared" si="4"/>
        <v>2.7027027027027029E-2</v>
      </c>
      <c r="S17" s="1">
        <f t="shared" si="4"/>
        <v>3.8180177416060626E-2</v>
      </c>
      <c r="T17" s="1">
        <f t="shared" si="4"/>
        <v>4.0622223185119377E-2</v>
      </c>
      <c r="U17" s="1">
        <f t="shared" si="4"/>
        <v>6.5094455490411943E-2</v>
      </c>
      <c r="V17" s="1">
        <f t="shared" si="4"/>
        <v>0.11470786693528087</v>
      </c>
    </row>
    <row r="18" spans="3:22">
      <c r="D18" s="1">
        <v>3676</v>
      </c>
      <c r="E18" s="1">
        <v>3597148</v>
      </c>
      <c r="F18" s="1">
        <v>13606282</v>
      </c>
      <c r="G18" s="1">
        <v>16559101</v>
      </c>
      <c r="H18" s="7">
        <f t="shared" si="2"/>
        <v>0.82167999337645203</v>
      </c>
      <c r="I18" s="1">
        <v>597</v>
      </c>
      <c r="J18" s="1">
        <v>567</v>
      </c>
      <c r="K18" s="1">
        <v>449</v>
      </c>
      <c r="L18" s="1">
        <v>195</v>
      </c>
      <c r="M18" s="1">
        <v>154</v>
      </c>
      <c r="N18" s="1">
        <v>66</v>
      </c>
      <c r="O18" s="1">
        <v>21</v>
      </c>
      <c r="P18" s="1">
        <f t="shared" si="4"/>
        <v>4.0927275453502901E-2</v>
      </c>
      <c r="Q18" s="1">
        <f t="shared" si="4"/>
        <v>4.1996052556580801E-2</v>
      </c>
      <c r="R18" s="1">
        <f t="shared" si="4"/>
        <v>4.7192917818300872E-2</v>
      </c>
      <c r="S18" s="1">
        <f t="shared" si="4"/>
        <v>7.1611487403943297E-2</v>
      </c>
      <c r="T18" s="1">
        <f t="shared" si="4"/>
        <v>8.0582296402538028E-2</v>
      </c>
      <c r="U18" s="1">
        <f t="shared" si="4"/>
        <v>0.12309149097933272</v>
      </c>
      <c r="V18" s="1">
        <f t="shared" si="4"/>
        <v>0.21821789023599239</v>
      </c>
    </row>
    <row r="19" spans="3:22">
      <c r="D19" s="1">
        <v>3677</v>
      </c>
      <c r="E19" s="1">
        <v>3387048</v>
      </c>
      <c r="F19" s="1">
        <v>13834613</v>
      </c>
      <c r="G19" s="1">
        <v>16684092</v>
      </c>
      <c r="H19" s="7">
        <f t="shared" si="2"/>
        <v>0.82920982454424252</v>
      </c>
      <c r="I19" s="1">
        <v>587</v>
      </c>
      <c r="J19" s="1">
        <v>550</v>
      </c>
      <c r="K19" s="1">
        <v>344</v>
      </c>
      <c r="L19" s="1">
        <v>202</v>
      </c>
      <c r="M19" s="1">
        <v>155</v>
      </c>
      <c r="N19" s="1">
        <v>76</v>
      </c>
      <c r="O19" s="1">
        <v>18</v>
      </c>
      <c r="P19" s="1">
        <f t="shared" si="4"/>
        <v>4.1274417170649801E-2</v>
      </c>
      <c r="Q19" s="1">
        <f t="shared" si="4"/>
        <v>4.2640143271122082E-2</v>
      </c>
      <c r="R19" s="1">
        <f t="shared" si="4"/>
        <v>5.3916386601719206E-2</v>
      </c>
      <c r="S19" s="1">
        <f t="shared" si="4"/>
        <v>7.0359754473029182E-2</v>
      </c>
      <c r="T19" s="1">
        <f t="shared" si="4"/>
        <v>8.0321932890249886E-2</v>
      </c>
      <c r="U19" s="1">
        <f t="shared" si="4"/>
        <v>0.11470786693528087</v>
      </c>
      <c r="V19" s="1">
        <f t="shared" si="4"/>
        <v>0.23570226039551587</v>
      </c>
    </row>
    <row r="20" spans="3:22">
      <c r="D20" s="1">
        <v>3678</v>
      </c>
      <c r="E20" s="1">
        <v>3065103</v>
      </c>
      <c r="F20" s="1">
        <v>12506810</v>
      </c>
      <c r="G20" s="1">
        <v>15070494</v>
      </c>
      <c r="H20" s="7">
        <f t="shared" si="2"/>
        <v>0.82988719546950485</v>
      </c>
      <c r="I20" s="1">
        <v>515</v>
      </c>
      <c r="J20" s="1">
        <v>477</v>
      </c>
      <c r="K20" s="1">
        <v>318</v>
      </c>
      <c r="L20" s="1">
        <v>171</v>
      </c>
      <c r="M20" s="1">
        <v>161</v>
      </c>
      <c r="N20" s="1">
        <v>53</v>
      </c>
      <c r="O20" s="1">
        <v>21</v>
      </c>
      <c r="P20" s="1">
        <f t="shared" si="4"/>
        <v>4.4065264923923174E-2</v>
      </c>
      <c r="Q20" s="1">
        <f t="shared" si="4"/>
        <v>4.5786854649563009E-2</v>
      </c>
      <c r="R20" s="1">
        <f t="shared" si="4"/>
        <v>5.6077215409204434E-2</v>
      </c>
      <c r="S20" s="1">
        <f t="shared" si="4"/>
        <v>7.6471911290187253E-2</v>
      </c>
      <c r="T20" s="1">
        <f t="shared" si="4"/>
        <v>7.8811040623910061E-2</v>
      </c>
      <c r="U20" s="1">
        <f t="shared" si="4"/>
        <v>0.13736056394868904</v>
      </c>
      <c r="V20" s="1">
        <f t="shared" si="4"/>
        <v>0.21821789023599239</v>
      </c>
    </row>
    <row r="21" spans="3:22">
      <c r="D21" s="1">
        <v>3679</v>
      </c>
      <c r="E21" s="1">
        <v>2255390</v>
      </c>
      <c r="F21" s="1">
        <v>8882204</v>
      </c>
      <c r="G21" s="1">
        <v>10775705</v>
      </c>
      <c r="H21" s="7">
        <f t="shared" si="2"/>
        <v>0.82428054591323718</v>
      </c>
      <c r="I21" s="1">
        <v>366</v>
      </c>
      <c r="J21" s="1">
        <v>356</v>
      </c>
      <c r="K21" s="1">
        <v>219</v>
      </c>
      <c r="L21" s="1">
        <v>105</v>
      </c>
      <c r="M21" s="1">
        <v>110</v>
      </c>
      <c r="N21" s="1">
        <v>34</v>
      </c>
      <c r="O21" s="1">
        <v>14</v>
      </c>
      <c r="P21" s="1">
        <f t="shared" si="4"/>
        <v>5.2270837348931669E-2</v>
      </c>
      <c r="Q21" s="1">
        <f t="shared" si="4"/>
        <v>5.2999894000318001E-2</v>
      </c>
      <c r="R21" s="1">
        <f t="shared" si="4"/>
        <v>6.7573737839948592E-2</v>
      </c>
      <c r="S21" s="1">
        <f t="shared" si="4"/>
        <v>9.7590007294853329E-2</v>
      </c>
      <c r="T21" s="1">
        <f t="shared" si="4"/>
        <v>9.5346258924559238E-2</v>
      </c>
      <c r="U21" s="1">
        <f t="shared" si="4"/>
        <v>0.17149858514250882</v>
      </c>
      <c r="V21" s="1">
        <f t="shared" si="4"/>
        <v>0.2672612419124244</v>
      </c>
    </row>
    <row r="22" spans="3:22">
      <c r="D22" s="1">
        <v>3680</v>
      </c>
      <c r="E22" s="1">
        <v>359182</v>
      </c>
      <c r="F22" s="1">
        <v>1388385</v>
      </c>
      <c r="G22" s="1">
        <v>1689372</v>
      </c>
      <c r="H22" s="7">
        <f t="shared" si="2"/>
        <v>0.82183497773137004</v>
      </c>
      <c r="I22" s="1">
        <v>46</v>
      </c>
      <c r="J22" s="1">
        <v>50</v>
      </c>
      <c r="K22" s="1">
        <v>39</v>
      </c>
      <c r="L22" s="1">
        <v>13</v>
      </c>
      <c r="M22" s="1">
        <v>26</v>
      </c>
      <c r="N22" s="1">
        <v>7</v>
      </c>
      <c r="O22" s="1">
        <v>2</v>
      </c>
      <c r="P22" s="1">
        <f t="shared" si="4"/>
        <v>0.14744195615489714</v>
      </c>
      <c r="Q22" s="1">
        <f t="shared" si="4"/>
        <v>0.1414213562373095</v>
      </c>
      <c r="R22" s="1">
        <f t="shared" si="4"/>
        <v>0.16012815380508713</v>
      </c>
      <c r="S22" s="1">
        <f t="shared" si="4"/>
        <v>0.27735009811261457</v>
      </c>
      <c r="T22" s="1">
        <f t="shared" si="4"/>
        <v>0.19611613513818404</v>
      </c>
      <c r="U22" s="1">
        <f t="shared" si="4"/>
        <v>0.3779644730092272</v>
      </c>
      <c r="V22" s="1">
        <f t="shared" si="4"/>
        <v>0.70710678118654746</v>
      </c>
    </row>
    <row r="23" spans="3:22">
      <c r="H23" s="7"/>
    </row>
    <row r="24" spans="3:22">
      <c r="H24" s="7"/>
      <c r="I24" s="3"/>
    </row>
    <row r="25" spans="3:22">
      <c r="D25" s="2" t="s">
        <v>36</v>
      </c>
      <c r="E25" s="2" t="s">
        <v>17</v>
      </c>
      <c r="F25" s="2" t="s">
        <v>37</v>
      </c>
      <c r="G25" s="2" t="s">
        <v>38</v>
      </c>
      <c r="H25" s="2" t="s">
        <v>39</v>
      </c>
      <c r="I25" s="2" t="s">
        <v>40</v>
      </c>
      <c r="J25" s="2" t="s">
        <v>41</v>
      </c>
      <c r="K25" s="2" t="s">
        <v>42</v>
      </c>
      <c r="L25" s="2" t="s">
        <v>43</v>
      </c>
      <c r="M25" s="2" t="s">
        <v>44</v>
      </c>
      <c r="N25" s="2" t="s">
        <v>45</v>
      </c>
      <c r="O25" s="2" t="s">
        <v>46</v>
      </c>
      <c r="P25" s="2" t="s">
        <v>47</v>
      </c>
      <c r="Q25" s="2" t="s">
        <v>48</v>
      </c>
      <c r="R25" s="2" t="s">
        <v>49</v>
      </c>
      <c r="S25" s="2" t="s">
        <v>50</v>
      </c>
      <c r="T25" s="2" t="s">
        <v>51</v>
      </c>
      <c r="U25" s="2" t="s">
        <v>52</v>
      </c>
      <c r="V25" s="2" t="s">
        <v>53</v>
      </c>
    </row>
    <row r="26" spans="3:22">
      <c r="D26" s="2" t="s">
        <v>54</v>
      </c>
      <c r="E26" s="1">
        <f>SUM(E27:E28)*$F$2+SUM(E29:E30)</f>
        <v>5945680.0800000001</v>
      </c>
      <c r="F26" s="1">
        <f>SUM(F27:F30)</f>
        <v>53405885</v>
      </c>
      <c r="G26" s="1">
        <f>SUM(G27:G30)</f>
        <v>71453742</v>
      </c>
      <c r="H26" s="7">
        <f>F26/G26</f>
        <v>0.74741900851042897</v>
      </c>
      <c r="I26" s="1">
        <f t="shared" ref="I26:O26" si="5">SUM(I27:I31)</f>
        <v>956</v>
      </c>
      <c r="J26" s="1">
        <f t="shared" si="5"/>
        <v>977</v>
      </c>
      <c r="K26" s="1">
        <f t="shared" si="5"/>
        <v>495</v>
      </c>
      <c r="L26" s="1">
        <f t="shared" si="5"/>
        <v>259</v>
      </c>
      <c r="M26" s="1">
        <f t="shared" si="5"/>
        <v>231</v>
      </c>
      <c r="N26" s="1">
        <f t="shared" si="5"/>
        <v>105</v>
      </c>
      <c r="O26" s="1">
        <f t="shared" si="5"/>
        <v>77</v>
      </c>
      <c r="P26" s="1">
        <f t="shared" ref="P26:V30" si="6">1/SQRT(I26)</f>
        <v>3.2342311367657542E-2</v>
      </c>
      <c r="Q26" s="1">
        <f t="shared" si="6"/>
        <v>3.1992834407549194E-2</v>
      </c>
      <c r="R26" s="1">
        <f t="shared" si="6"/>
        <v>4.4946657497549475E-2</v>
      </c>
      <c r="S26" s="1">
        <f t="shared" si="6"/>
        <v>6.2136976600120006E-2</v>
      </c>
      <c r="T26" s="1">
        <f t="shared" si="6"/>
        <v>6.5795169495976899E-2</v>
      </c>
      <c r="U26" s="1">
        <f t="shared" si="6"/>
        <v>9.7590007294853329E-2</v>
      </c>
      <c r="V26" s="1">
        <f t="shared" si="6"/>
        <v>0.11396057645963795</v>
      </c>
    </row>
    <row r="27" spans="3:22">
      <c r="D27" s="1">
        <v>3681</v>
      </c>
      <c r="E27" s="1">
        <v>3261335</v>
      </c>
      <c r="F27" s="1">
        <v>18071546</v>
      </c>
      <c r="G27" s="1">
        <v>24022299</v>
      </c>
      <c r="H27" s="7">
        <f>F27/G27</f>
        <v>0.75228211920932297</v>
      </c>
      <c r="I27" s="1">
        <v>331</v>
      </c>
      <c r="J27" s="1">
        <v>334</v>
      </c>
      <c r="K27" s="1">
        <v>178</v>
      </c>
      <c r="L27" s="1">
        <v>80</v>
      </c>
      <c r="M27" s="1">
        <v>67</v>
      </c>
      <c r="N27" s="1">
        <v>40</v>
      </c>
      <c r="O27" s="1">
        <v>31</v>
      </c>
      <c r="P27" s="1">
        <f t="shared" si="6"/>
        <v>5.4964970992931267E-2</v>
      </c>
      <c r="Q27" s="1">
        <f t="shared" si="6"/>
        <v>5.4717565516458275E-2</v>
      </c>
      <c r="R27" s="1">
        <f t="shared" si="6"/>
        <v>7.4953168899586142E-2</v>
      </c>
      <c r="S27" s="1">
        <f t="shared" si="6"/>
        <v>0.11180339887498948</v>
      </c>
      <c r="T27" s="1">
        <f t="shared" si="6"/>
        <v>0.12216944435630522</v>
      </c>
      <c r="U27" s="1">
        <f t="shared" si="6"/>
        <v>0.15811388300841897</v>
      </c>
      <c r="V27" s="1">
        <f t="shared" si="6"/>
        <v>0.17960530202677491</v>
      </c>
    </row>
    <row r="28" spans="3:22">
      <c r="D28" s="1">
        <v>3682</v>
      </c>
      <c r="E28" s="1">
        <v>1848699</v>
      </c>
      <c r="F28" s="1">
        <v>10052644</v>
      </c>
      <c r="G28" s="1">
        <v>13467712</v>
      </c>
      <c r="H28" s="7">
        <f>F28/G28</f>
        <v>0.74642552498895132</v>
      </c>
      <c r="I28" s="1">
        <v>157</v>
      </c>
      <c r="J28" s="1">
        <v>182</v>
      </c>
      <c r="K28" s="1">
        <v>84</v>
      </c>
      <c r="L28" s="1">
        <v>54</v>
      </c>
      <c r="M28" s="1">
        <v>46</v>
      </c>
      <c r="N28" s="1">
        <v>22</v>
      </c>
      <c r="O28" s="1">
        <v>20</v>
      </c>
      <c r="P28" s="1">
        <f t="shared" si="6"/>
        <v>7.9808688446762213E-2</v>
      </c>
      <c r="Q28" s="1">
        <f t="shared" si="6"/>
        <v>7.4124931666110117E-2</v>
      </c>
      <c r="R28" s="1">
        <f t="shared" si="6"/>
        <v>0.10910894511799619</v>
      </c>
      <c r="S28" s="1">
        <f t="shared" si="6"/>
        <v>0.13608276348795434</v>
      </c>
      <c r="T28" s="1">
        <f t="shared" si="6"/>
        <v>0.14744195615489714</v>
      </c>
      <c r="U28" s="1">
        <f t="shared" si="6"/>
        <v>0.21320071635561041</v>
      </c>
      <c r="V28" s="1">
        <f t="shared" si="6"/>
        <v>0.22360679774997896</v>
      </c>
    </row>
    <row r="29" spans="3:22">
      <c r="C29" s="5" t="s">
        <v>55</v>
      </c>
      <c r="D29" s="1">
        <v>3687</v>
      </c>
      <c r="E29" s="1">
        <v>2026631</v>
      </c>
      <c r="F29" s="1">
        <v>18259223</v>
      </c>
      <c r="G29" s="1">
        <v>24601279</v>
      </c>
      <c r="H29" s="7">
        <f>F29/G29</f>
        <v>0.74220624870763829</v>
      </c>
      <c r="I29" s="1">
        <v>329</v>
      </c>
      <c r="J29" s="1">
        <v>331</v>
      </c>
      <c r="K29" s="1">
        <v>166</v>
      </c>
      <c r="L29" s="1">
        <v>82</v>
      </c>
      <c r="M29" s="1">
        <v>77</v>
      </c>
      <c r="N29" s="1">
        <v>35</v>
      </c>
      <c r="O29" s="1">
        <v>18</v>
      </c>
      <c r="P29" s="1">
        <f t="shared" si="6"/>
        <v>5.5131784641997125E-2</v>
      </c>
      <c r="Q29" s="1">
        <f t="shared" si="6"/>
        <v>5.4964970992931267E-2</v>
      </c>
      <c r="R29" s="1">
        <f t="shared" si="6"/>
        <v>7.7615052570633281E-2</v>
      </c>
      <c r="S29" s="1">
        <f t="shared" si="6"/>
        <v>0.11043152607484653</v>
      </c>
      <c r="T29" s="1">
        <f t="shared" si="6"/>
        <v>0.11396057645963795</v>
      </c>
      <c r="U29" s="1">
        <f t="shared" si="6"/>
        <v>0.1690308509457033</v>
      </c>
      <c r="V29" s="1">
        <f t="shared" si="6"/>
        <v>0.23570226039551587</v>
      </c>
    </row>
    <row r="30" spans="3:22">
      <c r="D30" s="1">
        <v>3688</v>
      </c>
      <c r="E30" s="1">
        <v>750828</v>
      </c>
      <c r="F30" s="1">
        <v>7022472</v>
      </c>
      <c r="G30" s="1">
        <v>9362452</v>
      </c>
      <c r="H30" s="7">
        <f>F30/G30</f>
        <v>0.75006761049349036</v>
      </c>
      <c r="I30" s="1">
        <v>139</v>
      </c>
      <c r="J30" s="1">
        <v>130</v>
      </c>
      <c r="K30" s="1">
        <v>67</v>
      </c>
      <c r="L30" s="1">
        <v>43</v>
      </c>
      <c r="M30" s="1">
        <v>41</v>
      </c>
      <c r="N30" s="1">
        <v>8</v>
      </c>
      <c r="O30" s="1">
        <v>8</v>
      </c>
      <c r="P30" s="1">
        <f t="shared" si="6"/>
        <v>8.4818892967997092E-2</v>
      </c>
      <c r="Q30" s="1">
        <f t="shared" si="6"/>
        <v>8.7705801930702931E-2</v>
      </c>
      <c r="R30" s="1">
        <f t="shared" si="6"/>
        <v>0.12216944435630522</v>
      </c>
      <c r="S30" s="1">
        <f t="shared" si="6"/>
        <v>0.15249857033260467</v>
      </c>
      <c r="T30" s="1">
        <f t="shared" si="6"/>
        <v>0.15617376188860607</v>
      </c>
      <c r="U30" s="1">
        <f t="shared" si="6"/>
        <v>0.35355339059327373</v>
      </c>
      <c r="V30" s="1">
        <f t="shared" si="6"/>
        <v>0.35355339059327373</v>
      </c>
    </row>
    <row r="34" spans="4:9">
      <c r="D34" s="2"/>
    </row>
    <row r="35" spans="4:9">
      <c r="I35" s="1">
        <f>I8-background!I7*(yields!E8/background!E7)</f>
        <v>291.67635992955121</v>
      </c>
    </row>
    <row r="40" spans="4:9">
      <c r="E40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6:AMJ40"/>
  <sheetViews>
    <sheetView workbookViewId="0">
      <selection activeCell="H7" sqref="H7"/>
    </sheetView>
  </sheetViews>
  <sheetFormatPr baseColWidth="10" defaultColWidth="8.83203125" defaultRowHeight="15"/>
  <cols>
    <col min="1" max="2" width="10.6640625" customWidth="1"/>
    <col min="3" max="8" width="10.6640625" style="1" customWidth="1"/>
    <col min="9" max="15" width="11.1640625" style="1" customWidth="1"/>
    <col min="16" max="16" width="13.1640625" style="1" customWidth="1"/>
    <col min="17" max="19" width="12.1640625" style="1" customWidth="1"/>
    <col min="20" max="22" width="13.1640625" style="1" customWidth="1"/>
    <col min="23" max="1023" width="10.6640625" style="1" customWidth="1"/>
  </cols>
  <sheetData>
    <row r="6" spans="4:1024" s="2" customFormat="1">
      <c r="D6" s="2" t="s">
        <v>36</v>
      </c>
      <c r="E6" s="2" t="s">
        <v>17</v>
      </c>
      <c r="F6" s="2" t="s">
        <v>37</v>
      </c>
      <c r="G6" s="2" t="s">
        <v>38</v>
      </c>
      <c r="H6" s="2" t="s">
        <v>39</v>
      </c>
      <c r="I6" s="2" t="s">
        <v>40</v>
      </c>
      <c r="J6" s="2" t="s">
        <v>41</v>
      </c>
      <c r="K6" s="2" t="s">
        <v>42</v>
      </c>
      <c r="L6" s="2" t="s">
        <v>43</v>
      </c>
      <c r="M6" s="2" t="s">
        <v>44</v>
      </c>
      <c r="N6" s="2" t="s">
        <v>45</v>
      </c>
      <c r="O6" s="2" t="s">
        <v>46</v>
      </c>
      <c r="P6" s="2" t="s">
        <v>47</v>
      </c>
      <c r="Q6" s="2" t="s">
        <v>48</v>
      </c>
      <c r="R6" s="2" t="s">
        <v>49</v>
      </c>
      <c r="S6" s="2" t="s">
        <v>50</v>
      </c>
      <c r="T6" s="2" t="s">
        <v>51</v>
      </c>
      <c r="U6" s="2" t="s">
        <v>52</v>
      </c>
      <c r="V6" s="2" t="s">
        <v>53</v>
      </c>
      <c r="AMJ6"/>
    </row>
    <row r="7" spans="4:1024">
      <c r="D7" s="2" t="s">
        <v>54</v>
      </c>
      <c r="E7" s="1">
        <f>SUM(E8:E11)</f>
        <v>2821341</v>
      </c>
      <c r="F7" s="1">
        <f>SUM(F8:F11)</f>
        <v>8886338</v>
      </c>
      <c r="G7" s="1">
        <f>SUM(G8:G11)</f>
        <v>10214859</v>
      </c>
      <c r="H7" s="7">
        <f>F7/G7</f>
        <v>0.86994230659473615</v>
      </c>
      <c r="I7" s="1">
        <f t="shared" ref="I7:O7" si="0">SUM(I8:I11)</f>
        <v>40</v>
      </c>
      <c r="J7" s="1">
        <f t="shared" si="0"/>
        <v>132</v>
      </c>
      <c r="K7" s="1">
        <f t="shared" si="0"/>
        <v>18</v>
      </c>
      <c r="L7" s="1">
        <f t="shared" si="0"/>
        <v>5</v>
      </c>
      <c r="M7" s="1">
        <f t="shared" si="0"/>
        <v>23</v>
      </c>
      <c r="N7" s="1">
        <f t="shared" si="0"/>
        <v>6</v>
      </c>
      <c r="O7" s="1">
        <f t="shared" si="0"/>
        <v>0</v>
      </c>
      <c r="P7" s="1">
        <f t="shared" ref="P7:V11" si="1">1/SQRT(I7)</f>
        <v>0.15811388300841897</v>
      </c>
      <c r="Q7" s="1">
        <f t="shared" si="1"/>
        <v>8.7038827977848926E-2</v>
      </c>
      <c r="R7" s="1">
        <f t="shared" si="1"/>
        <v>0.23570226039551587</v>
      </c>
      <c r="S7" s="1">
        <f t="shared" si="1"/>
        <v>0.44721359549995793</v>
      </c>
      <c r="T7" s="1">
        <f t="shared" si="1"/>
        <v>0.20851441405707477</v>
      </c>
      <c r="U7" s="1">
        <f t="shared" si="1"/>
        <v>0.40824829046386307</v>
      </c>
      <c r="V7" s="1" t="e">
        <f t="shared" si="1"/>
        <v>#DIV/0!</v>
      </c>
    </row>
    <row r="8" spans="4:1024">
      <c r="D8" s="1">
        <v>3702</v>
      </c>
      <c r="E8" s="1">
        <v>1999996</v>
      </c>
      <c r="F8" s="1">
        <v>8886338</v>
      </c>
      <c r="G8" s="1">
        <v>10214859</v>
      </c>
      <c r="H8" s="7"/>
      <c r="I8" s="1">
        <v>40</v>
      </c>
      <c r="J8" s="1">
        <v>132</v>
      </c>
      <c r="K8" s="1">
        <v>18</v>
      </c>
      <c r="L8" s="1">
        <v>5</v>
      </c>
      <c r="M8" s="1">
        <v>23</v>
      </c>
      <c r="N8" s="1">
        <v>6</v>
      </c>
      <c r="O8" s="1">
        <v>0</v>
      </c>
      <c r="P8" s="1">
        <f t="shared" si="1"/>
        <v>0.15811388300841897</v>
      </c>
      <c r="Q8" s="1">
        <f t="shared" si="1"/>
        <v>8.7038827977848926E-2</v>
      </c>
      <c r="R8" s="1">
        <f t="shared" si="1"/>
        <v>0.23570226039551587</v>
      </c>
      <c r="S8" s="1">
        <f t="shared" si="1"/>
        <v>0.44721359549995793</v>
      </c>
      <c r="T8" s="1">
        <f t="shared" si="1"/>
        <v>0.20851441405707477</v>
      </c>
      <c r="U8" s="1">
        <f t="shared" si="1"/>
        <v>0.40824829046386307</v>
      </c>
      <c r="V8" s="1" t="e">
        <f t="shared" si="1"/>
        <v>#DIV/0!</v>
      </c>
    </row>
    <row r="9" spans="4:1024">
      <c r="D9" s="1">
        <v>3703</v>
      </c>
      <c r="E9" s="1">
        <v>821345</v>
      </c>
      <c r="H9" s="7"/>
      <c r="P9" s="1" t="e">
        <f t="shared" si="1"/>
        <v>#DIV/0!</v>
      </c>
      <c r="Q9" s="1" t="e">
        <f t="shared" si="1"/>
        <v>#DIV/0!</v>
      </c>
      <c r="R9" s="1" t="e">
        <f t="shared" si="1"/>
        <v>#DIV/0!</v>
      </c>
      <c r="S9" s="1" t="e">
        <f t="shared" si="1"/>
        <v>#DIV/0!</v>
      </c>
      <c r="T9" s="1" t="e">
        <f t="shared" si="1"/>
        <v>#DIV/0!</v>
      </c>
      <c r="U9" s="1" t="e">
        <f t="shared" si="1"/>
        <v>#DIV/0!</v>
      </c>
      <c r="V9" s="1" t="e">
        <f t="shared" si="1"/>
        <v>#DIV/0!</v>
      </c>
    </row>
    <row r="10" spans="4:1024">
      <c r="H10" s="7"/>
      <c r="P10" s="1" t="e">
        <f t="shared" si="1"/>
        <v>#DIV/0!</v>
      </c>
      <c r="Q10" s="1" t="e">
        <f t="shared" si="1"/>
        <v>#DIV/0!</v>
      </c>
      <c r="R10" s="1" t="e">
        <f t="shared" si="1"/>
        <v>#DIV/0!</v>
      </c>
      <c r="S10" s="1" t="e">
        <f t="shared" si="1"/>
        <v>#DIV/0!</v>
      </c>
      <c r="T10" s="1" t="e">
        <f t="shared" si="1"/>
        <v>#DIV/0!</v>
      </c>
      <c r="U10" s="1" t="e">
        <f t="shared" si="1"/>
        <v>#DIV/0!</v>
      </c>
      <c r="V10" s="1" t="e">
        <f t="shared" si="1"/>
        <v>#DIV/0!</v>
      </c>
    </row>
    <row r="11" spans="4:1024">
      <c r="H11" s="7"/>
      <c r="P11" s="1" t="e">
        <f t="shared" si="1"/>
        <v>#DIV/0!</v>
      </c>
      <c r="Q11" s="1" t="e">
        <f t="shared" si="1"/>
        <v>#DIV/0!</v>
      </c>
      <c r="R11" s="1" t="e">
        <f t="shared" si="1"/>
        <v>#DIV/0!</v>
      </c>
      <c r="S11" s="1" t="e">
        <f t="shared" si="1"/>
        <v>#DIV/0!</v>
      </c>
      <c r="T11" s="1" t="e">
        <f t="shared" si="1"/>
        <v>#DIV/0!</v>
      </c>
      <c r="U11" s="1" t="e">
        <f t="shared" si="1"/>
        <v>#DIV/0!</v>
      </c>
      <c r="V11" s="1" t="e">
        <f t="shared" si="1"/>
        <v>#DIV/0!</v>
      </c>
    </row>
    <row r="12" spans="4:1024">
      <c r="H12" s="7"/>
    </row>
    <row r="13" spans="4:1024">
      <c r="H13" s="7"/>
    </row>
    <row r="14" spans="4:1024">
      <c r="H14" s="7"/>
    </row>
    <row r="15" spans="4:1024">
      <c r="H15" s="7"/>
    </row>
    <row r="16" spans="4:1024">
      <c r="D16" s="2" t="s">
        <v>36</v>
      </c>
      <c r="E16" s="2" t="s">
        <v>17</v>
      </c>
      <c r="F16" s="2" t="s">
        <v>37</v>
      </c>
      <c r="G16" s="2" t="s">
        <v>38</v>
      </c>
      <c r="H16" s="2" t="s">
        <v>39</v>
      </c>
      <c r="I16" s="2" t="s">
        <v>40</v>
      </c>
      <c r="J16" s="2" t="s">
        <v>41</v>
      </c>
      <c r="K16" s="2" t="s">
        <v>42</v>
      </c>
      <c r="L16" s="2" t="s">
        <v>43</v>
      </c>
      <c r="M16" s="2" t="s">
        <v>44</v>
      </c>
      <c r="N16" s="2" t="s">
        <v>45</v>
      </c>
      <c r="O16" s="2" t="s">
        <v>46</v>
      </c>
      <c r="P16" s="2" t="s">
        <v>47</v>
      </c>
      <c r="Q16" s="2" t="s">
        <v>48</v>
      </c>
      <c r="R16" s="2" t="s">
        <v>49</v>
      </c>
      <c r="S16" s="2" t="s">
        <v>50</v>
      </c>
      <c r="T16" s="2" t="s">
        <v>51</v>
      </c>
      <c r="U16" s="2" t="s">
        <v>52</v>
      </c>
      <c r="V16" s="2" t="s">
        <v>53</v>
      </c>
    </row>
    <row r="17" spans="3:22">
      <c r="D17" s="2" t="s">
        <v>54</v>
      </c>
      <c r="E17" s="1">
        <f>SUM(E18:E22)</f>
        <v>3929733</v>
      </c>
      <c r="F17" s="1">
        <f>SUM(F18:F21)</f>
        <v>18235334</v>
      </c>
      <c r="G17" s="1">
        <f>SUM(G18:G21)</f>
        <v>21782480</v>
      </c>
      <c r="H17" s="7">
        <f>F17/G17</f>
        <v>0.83715600794767175</v>
      </c>
      <c r="I17" s="1">
        <f t="shared" ref="I17:O17" si="2">SUM(I18:I22)</f>
        <v>122</v>
      </c>
      <c r="J17" s="1">
        <f t="shared" si="2"/>
        <v>210</v>
      </c>
      <c r="K17" s="1">
        <f t="shared" si="2"/>
        <v>45</v>
      </c>
      <c r="L17" s="1">
        <f t="shared" si="2"/>
        <v>30</v>
      </c>
      <c r="M17" s="1">
        <f t="shared" si="2"/>
        <v>57</v>
      </c>
      <c r="N17" s="1">
        <f t="shared" si="2"/>
        <v>17</v>
      </c>
      <c r="O17" s="1">
        <f t="shared" si="2"/>
        <v>1</v>
      </c>
      <c r="P17" s="1">
        <f t="shared" ref="P17:V22" si="3">1/SQRT(I17)</f>
        <v>9.0535746042518531E-2</v>
      </c>
      <c r="Q17" s="1">
        <f t="shared" si="3"/>
        <v>6.9006555934235422E-2</v>
      </c>
      <c r="R17" s="1">
        <f t="shared" si="3"/>
        <v>0.14907119849998599</v>
      </c>
      <c r="S17" s="1">
        <f t="shared" si="3"/>
        <v>0.18257418583505536</v>
      </c>
      <c r="T17" s="1">
        <f t="shared" si="3"/>
        <v>0.13245323570650439</v>
      </c>
      <c r="U17" s="1">
        <f t="shared" si="3"/>
        <v>0.24253562503633297</v>
      </c>
      <c r="V17" s="1">
        <f t="shared" si="3"/>
        <v>1</v>
      </c>
    </row>
    <row r="18" spans="3:22">
      <c r="D18" s="1">
        <v>3699</v>
      </c>
      <c r="E18" s="1">
        <v>331516</v>
      </c>
      <c r="F18" s="1">
        <v>2315447</v>
      </c>
      <c r="G18" s="1">
        <v>2639917</v>
      </c>
      <c r="H18" s="7">
        <f>F18/G18</f>
        <v>0.87709083277997002</v>
      </c>
      <c r="P18" s="1" t="e">
        <f t="shared" si="3"/>
        <v>#DIV/0!</v>
      </c>
      <c r="Q18" s="1" t="e">
        <f t="shared" si="3"/>
        <v>#DIV/0!</v>
      </c>
      <c r="R18" s="1" t="e">
        <f t="shared" si="3"/>
        <v>#DIV/0!</v>
      </c>
      <c r="S18" s="1" t="e">
        <f t="shared" si="3"/>
        <v>#DIV/0!</v>
      </c>
      <c r="T18" s="1" t="e">
        <f t="shared" si="3"/>
        <v>#DIV/0!</v>
      </c>
      <c r="U18" s="1" t="e">
        <f t="shared" si="3"/>
        <v>#DIV/0!</v>
      </c>
      <c r="V18" s="1" t="e">
        <f t="shared" si="3"/>
        <v>#DIV/0!</v>
      </c>
    </row>
    <row r="19" spans="3:22">
      <c r="D19" s="1">
        <v>3700</v>
      </c>
      <c r="E19" s="1">
        <v>2801557</v>
      </c>
      <c r="F19" s="1">
        <v>12588934</v>
      </c>
      <c r="G19" s="1">
        <v>15153189</v>
      </c>
      <c r="H19" s="7">
        <f>F19/G19</f>
        <v>0.83077786464618109</v>
      </c>
      <c r="P19" s="1" t="e">
        <f t="shared" si="3"/>
        <v>#DIV/0!</v>
      </c>
      <c r="Q19" s="1" t="e">
        <f t="shared" si="3"/>
        <v>#DIV/0!</v>
      </c>
      <c r="R19" s="1" t="e">
        <f t="shared" si="3"/>
        <v>#DIV/0!</v>
      </c>
      <c r="S19" s="1" t="e">
        <f t="shared" si="3"/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</row>
    <row r="20" spans="3:22">
      <c r="D20" s="1">
        <v>3701</v>
      </c>
      <c r="E20" s="1">
        <v>796660</v>
      </c>
      <c r="F20" s="1">
        <v>3330953</v>
      </c>
      <c r="G20" s="1">
        <v>3989374</v>
      </c>
      <c r="H20" s="7">
        <f>F20/G20</f>
        <v>0.83495631144134397</v>
      </c>
      <c r="I20" s="1">
        <v>122</v>
      </c>
      <c r="J20" s="1">
        <v>210</v>
      </c>
      <c r="K20" s="1">
        <v>45</v>
      </c>
      <c r="L20" s="1">
        <v>30</v>
      </c>
      <c r="M20" s="1">
        <v>57</v>
      </c>
      <c r="N20" s="1">
        <v>17</v>
      </c>
      <c r="O20" s="1">
        <v>1</v>
      </c>
      <c r="P20" s="1">
        <f t="shared" si="3"/>
        <v>9.0535746042518531E-2</v>
      </c>
      <c r="Q20" s="1">
        <f t="shared" si="3"/>
        <v>6.9006555934235422E-2</v>
      </c>
      <c r="R20" s="1">
        <f t="shared" si="3"/>
        <v>0.14907119849998599</v>
      </c>
      <c r="S20" s="1">
        <f t="shared" si="3"/>
        <v>0.18257418583505536</v>
      </c>
      <c r="T20" s="1">
        <f t="shared" si="3"/>
        <v>0.13245323570650439</v>
      </c>
      <c r="U20" s="1">
        <f t="shared" si="3"/>
        <v>0.24253562503633297</v>
      </c>
      <c r="V20" s="1">
        <f t="shared" si="3"/>
        <v>1</v>
      </c>
    </row>
    <row r="21" spans="3:22">
      <c r="H21" s="7"/>
      <c r="P21" s="1" t="e">
        <f t="shared" si="3"/>
        <v>#DIV/0!</v>
      </c>
      <c r="Q21" s="1" t="e">
        <f t="shared" si="3"/>
        <v>#DIV/0!</v>
      </c>
      <c r="R21" s="1" t="e">
        <f t="shared" si="3"/>
        <v>#DIV/0!</v>
      </c>
      <c r="S21" s="1" t="e">
        <f t="shared" si="3"/>
        <v>#DIV/0!</v>
      </c>
      <c r="T21" s="1" t="e">
        <f t="shared" si="3"/>
        <v>#DIV/0!</v>
      </c>
      <c r="U21" s="1" t="e">
        <f t="shared" si="3"/>
        <v>#DIV/0!</v>
      </c>
      <c r="V21" s="1" t="e">
        <f t="shared" si="3"/>
        <v>#DIV/0!</v>
      </c>
    </row>
    <row r="22" spans="3:22">
      <c r="H22" s="7"/>
      <c r="P22" s="1" t="e">
        <f t="shared" si="3"/>
        <v>#DIV/0!</v>
      </c>
      <c r="Q22" s="1" t="e">
        <f t="shared" si="3"/>
        <v>#DIV/0!</v>
      </c>
      <c r="R22" s="1" t="e">
        <f t="shared" si="3"/>
        <v>#DIV/0!</v>
      </c>
      <c r="S22" s="1" t="e">
        <f t="shared" si="3"/>
        <v>#DIV/0!</v>
      </c>
      <c r="T22" s="1" t="e">
        <f t="shared" si="3"/>
        <v>#DIV/0!</v>
      </c>
      <c r="U22" s="1" t="e">
        <f t="shared" si="3"/>
        <v>#DIV/0!</v>
      </c>
      <c r="V22" s="1" t="e">
        <f t="shared" si="3"/>
        <v>#DIV/0!</v>
      </c>
    </row>
    <row r="23" spans="3:22">
      <c r="H23" s="7"/>
    </row>
    <row r="24" spans="3:22">
      <c r="H24" s="7"/>
      <c r="I24" s="3"/>
    </row>
    <row r="25" spans="3:22">
      <c r="D25" s="2" t="s">
        <v>36</v>
      </c>
      <c r="E25" s="2" t="s">
        <v>17</v>
      </c>
      <c r="F25" s="2" t="s">
        <v>37</v>
      </c>
      <c r="G25" s="2" t="s">
        <v>38</v>
      </c>
      <c r="H25" s="2" t="s">
        <v>39</v>
      </c>
      <c r="I25" s="2" t="s">
        <v>40</v>
      </c>
      <c r="J25" s="2" t="s">
        <v>41</v>
      </c>
      <c r="K25" s="2" t="s">
        <v>42</v>
      </c>
      <c r="L25" s="2" t="s">
        <v>43</v>
      </c>
      <c r="M25" s="2" t="s">
        <v>44</v>
      </c>
      <c r="N25" s="2" t="s">
        <v>45</v>
      </c>
      <c r="O25" s="2" t="s">
        <v>46</v>
      </c>
      <c r="P25" s="2" t="s">
        <v>47</v>
      </c>
      <c r="Q25" s="2" t="s">
        <v>48</v>
      </c>
      <c r="R25" s="2" t="s">
        <v>49</v>
      </c>
      <c r="S25" s="2" t="s">
        <v>50</v>
      </c>
      <c r="T25" s="2" t="s">
        <v>51</v>
      </c>
      <c r="U25" s="2" t="s">
        <v>52</v>
      </c>
      <c r="V25" s="2" t="s">
        <v>53</v>
      </c>
    </row>
    <row r="26" spans="3:22">
      <c r="D26" s="2" t="s">
        <v>54</v>
      </c>
      <c r="E26" s="1">
        <f>SUM(E27:E31)</f>
        <v>17358736</v>
      </c>
      <c r="F26" s="1">
        <f>SUM(F27:F30)</f>
        <v>51981973</v>
      </c>
      <c r="G26" s="1">
        <f>SUM(G27:G30)</f>
        <v>63832743</v>
      </c>
      <c r="H26" s="7">
        <f>F26/G26</f>
        <v>0.8143465337217296</v>
      </c>
      <c r="I26" s="1">
        <f t="shared" ref="I26:O26" si="4">SUM(I27:I31)</f>
        <v>246</v>
      </c>
      <c r="J26" s="1">
        <f t="shared" si="4"/>
        <v>603</v>
      </c>
      <c r="K26" s="1">
        <f t="shared" si="4"/>
        <v>139</v>
      </c>
      <c r="L26" s="1">
        <f t="shared" si="4"/>
        <v>57</v>
      </c>
      <c r="M26" s="1">
        <f t="shared" si="4"/>
        <v>93</v>
      </c>
      <c r="N26" s="1">
        <f t="shared" si="4"/>
        <v>36</v>
      </c>
      <c r="O26" s="1">
        <f t="shared" si="4"/>
        <v>11</v>
      </c>
      <c r="P26" s="1">
        <f t="shared" ref="P26:V27" si="5">1/SQRT(I26)</f>
        <v>6.3757671306333821E-2</v>
      </c>
      <c r="Q26" s="1">
        <f t="shared" si="5"/>
        <v>4.0723148118768406E-2</v>
      </c>
      <c r="R26" s="1">
        <f t="shared" si="5"/>
        <v>8.4818892967997092E-2</v>
      </c>
      <c r="S26" s="1">
        <f t="shared" si="5"/>
        <v>0.13245323570650439</v>
      </c>
      <c r="T26" s="1">
        <f t="shared" si="5"/>
        <v>0.10369516947304253</v>
      </c>
      <c r="U26" s="1">
        <f t="shared" si="5"/>
        <v>0.16666666666666666</v>
      </c>
      <c r="V26" s="1">
        <f t="shared" si="5"/>
        <v>0.30151134457776363</v>
      </c>
    </row>
    <row r="27" spans="3:22">
      <c r="D27" s="1">
        <v>3690</v>
      </c>
      <c r="E27" s="1">
        <v>1768586</v>
      </c>
      <c r="F27" s="1">
        <v>14748518</v>
      </c>
      <c r="G27" s="1">
        <v>18220502</v>
      </c>
      <c r="H27" s="7"/>
      <c r="P27" s="1" t="e">
        <f t="shared" si="5"/>
        <v>#DIV/0!</v>
      </c>
      <c r="Q27" s="1" t="e">
        <f t="shared" si="5"/>
        <v>#DIV/0!</v>
      </c>
      <c r="R27" s="1" t="e">
        <f t="shared" si="5"/>
        <v>#DIV/0!</v>
      </c>
      <c r="S27" s="1" t="e">
        <f t="shared" si="5"/>
        <v>#DIV/0!</v>
      </c>
      <c r="T27" s="1" t="e">
        <f t="shared" si="5"/>
        <v>#DIV/0!</v>
      </c>
      <c r="U27" s="1" t="e">
        <f t="shared" si="5"/>
        <v>#DIV/0!</v>
      </c>
      <c r="V27" s="1" t="e">
        <f t="shared" si="5"/>
        <v>#DIV/0!</v>
      </c>
    </row>
    <row r="28" spans="3:22">
      <c r="D28" s="1">
        <v>3691</v>
      </c>
      <c r="E28" s="1">
        <v>11743973</v>
      </c>
      <c r="F28" s="1">
        <v>11743973</v>
      </c>
      <c r="G28" s="1">
        <v>14263261</v>
      </c>
      <c r="H28" s="7"/>
    </row>
    <row r="29" spans="3:22">
      <c r="C29"/>
      <c r="D29" s="1">
        <v>3692</v>
      </c>
      <c r="E29" s="1">
        <v>1563280</v>
      </c>
      <c r="F29" s="1">
        <v>13266656</v>
      </c>
      <c r="G29" s="1">
        <v>16220332</v>
      </c>
      <c r="I29" s="3"/>
    </row>
    <row r="30" spans="3:22">
      <c r="D30" s="1">
        <v>3693</v>
      </c>
      <c r="E30" s="1">
        <v>1229115</v>
      </c>
      <c r="F30" s="1">
        <v>12222826</v>
      </c>
      <c r="G30" s="1">
        <v>15128648</v>
      </c>
    </row>
    <row r="31" spans="3:22">
      <c r="C31" s="1" t="s">
        <v>56</v>
      </c>
      <c r="D31" s="1">
        <v>3694</v>
      </c>
      <c r="E31" s="1">
        <v>1053782</v>
      </c>
      <c r="F31" s="1">
        <v>10304070</v>
      </c>
      <c r="G31" s="1">
        <v>12816179</v>
      </c>
      <c r="I31" s="1">
        <v>246</v>
      </c>
      <c r="J31" s="1">
        <v>603</v>
      </c>
      <c r="K31" s="1">
        <v>139</v>
      </c>
      <c r="L31" s="1">
        <v>57</v>
      </c>
      <c r="M31" s="1">
        <v>93</v>
      </c>
      <c r="N31" s="1">
        <v>36</v>
      </c>
      <c r="O31" s="1">
        <v>11</v>
      </c>
    </row>
    <row r="34" spans="4:7">
      <c r="D34" s="2"/>
      <c r="E34" s="1">
        <v>24</v>
      </c>
      <c r="F34" s="1">
        <v>18.649999999999999</v>
      </c>
      <c r="G34" s="1">
        <v>11.5</v>
      </c>
    </row>
    <row r="35" spans="4:7">
      <c r="D35" s="1" t="s">
        <v>57</v>
      </c>
      <c r="E35" s="1">
        <v>17358736</v>
      </c>
      <c r="F35" s="1">
        <v>2801557</v>
      </c>
      <c r="G35" s="1">
        <f>E7</f>
        <v>2821341</v>
      </c>
    </row>
    <row r="36" spans="4:7">
      <c r="D36" s="1" t="b">
        <v>1</v>
      </c>
      <c r="E36" s="8">
        <v>5945680.0800000001</v>
      </c>
      <c r="F36" s="8">
        <f>yields!E17</f>
        <v>7851600.0199999996</v>
      </c>
      <c r="G36" s="8">
        <f>yields!E7</f>
        <v>7288757.2000000002</v>
      </c>
    </row>
    <row r="37" spans="4:7">
      <c r="E37" s="1">
        <f>E36/E35</f>
        <v>0.3425180312667927</v>
      </c>
      <c r="F37" s="1">
        <f>F35/F36</f>
        <v>0.35681351480764811</v>
      </c>
      <c r="G37" s="1">
        <f>G35/G36</f>
        <v>0.38708121598562784</v>
      </c>
    </row>
    <row r="40" spans="4:7">
      <c r="E40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5313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3.3MeV</vt:lpstr>
      <vt:lpstr>2.4MeV</vt:lpstr>
      <vt:lpstr>1.8MeV</vt:lpstr>
      <vt:lpstr>1.5MeV</vt:lpstr>
      <vt:lpstr>ground_state</vt:lpstr>
      <vt:lpstr>xsec_online</vt:lpstr>
      <vt:lpstr>yields</vt:lpstr>
      <vt:lpstr>background</vt:lpstr>
      <vt:lpstr>plot (3.3)</vt:lpstr>
      <vt:lpstr>plot (2.4)</vt:lpstr>
      <vt:lpstr>plot (1.5)</vt:lpstr>
      <vt:lpstr>plot (1.8)</vt:lpstr>
      <vt:lpstr>plot(ground)</vt:lpstr>
      <vt:lpstr>plot(combined)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CODA </dc:creator>
  <cp:lastModifiedBy>Wuko, Joanna Katherine</cp:lastModifiedBy>
  <cp:revision>15</cp:revision>
  <dcterms:created xsi:type="dcterms:W3CDTF">2018-08-02T22:29:19Z</dcterms:created>
  <dcterms:modified xsi:type="dcterms:W3CDTF">2021-07-15T16:22:40Z</dcterms:modified>
</cp:coreProperties>
</file>