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inancial Modelling\COMPLETED MODELS\Aritzia\"/>
    </mc:Choice>
  </mc:AlternateContent>
  <xr:revisionPtr revIDLastSave="0" documentId="13_ncr:1_{92C5FA3D-0BCE-4AB8-8401-BCB5341A85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_Page" sheetId="4" r:id="rId1"/>
    <sheet name="Financial_Model" sheetId="1" r:id="rId2"/>
    <sheet name="DCF_Model" sheetId="2" r:id="rId3"/>
    <sheet name="WACC" sheetId="3" r:id="rId4"/>
  </sheets>
  <definedNames>
    <definedName name="Cases">Financial_Model!$D$12</definedName>
    <definedName name="Cash">Financial_Model!$G$89</definedName>
    <definedName name="Company_Name">Financial_Model!$D$4</definedName>
    <definedName name="Conversion_Unit">Financial_Model!$D$7</definedName>
    <definedName name="Diluted_Share_Counts">Financial_Model!$D$9</definedName>
    <definedName name="Excahnge_Rate">Financial_Model!$D$10</definedName>
    <definedName name="Exchange_Rate">Financial_Model!$D$10</definedName>
    <definedName name="Share_Price">Financial_Model!$D$8</definedName>
    <definedName name="Tax_Rate">Financial_Model!$D$6</definedName>
    <definedName name="Ticker">Financial_Model!$D$5</definedName>
    <definedName name="US_GDP_Growth_Rate">Financial_Model!$D$13</definedName>
    <definedName name="US_Inflation_Rate">Financial_Model!$D$14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J36" i="1"/>
  <c r="K36" i="1" s="1"/>
  <c r="L36" i="1" s="1"/>
  <c r="M36" i="1" s="1"/>
  <c r="N36" i="1" s="1"/>
  <c r="O36" i="1" s="1"/>
  <c r="I36" i="1"/>
  <c r="H36" i="1"/>
  <c r="J27" i="1"/>
  <c r="K27" i="1" s="1"/>
  <c r="Q34" i="1"/>
  <c r="P34" i="1"/>
  <c r="J32" i="1"/>
  <c r="K32" i="1" s="1"/>
  <c r="L32" i="1" s="1"/>
  <c r="M32" i="1" s="1"/>
  <c r="N32" i="1" s="1"/>
  <c r="O32" i="1" s="1"/>
  <c r="P32" i="1" s="1"/>
  <c r="Q32" i="1" s="1"/>
  <c r="I32" i="1"/>
  <c r="Q11" i="2" l="1"/>
  <c r="L11" i="2"/>
  <c r="I33" i="2"/>
  <c r="J33" i="2"/>
  <c r="K33" i="2"/>
  <c r="L33" i="2"/>
  <c r="M33" i="2"/>
  <c r="N33" i="2"/>
  <c r="O33" i="2"/>
  <c r="P33" i="2"/>
  <c r="Q33" i="2"/>
  <c r="H33" i="2"/>
  <c r="I32" i="2"/>
  <c r="J32" i="2" s="1"/>
  <c r="K32" i="2" s="1"/>
  <c r="L32" i="2" s="1"/>
  <c r="M32" i="2" s="1"/>
  <c r="N32" i="2" s="1"/>
  <c r="O32" i="2" s="1"/>
  <c r="P32" i="2" s="1"/>
  <c r="Q32" i="2" s="1"/>
  <c r="H32" i="2"/>
  <c r="F23" i="2"/>
  <c r="G23" i="2"/>
  <c r="E23" i="2"/>
  <c r="F26" i="2"/>
  <c r="G26" i="2"/>
  <c r="E26" i="2"/>
  <c r="F25" i="2" l="1"/>
  <c r="G25" i="2"/>
  <c r="E25" i="2"/>
  <c r="F24" i="2"/>
  <c r="G24" i="2"/>
  <c r="E24" i="2"/>
  <c r="D11" i="2"/>
  <c r="D7" i="3"/>
  <c r="D6" i="3"/>
  <c r="D14" i="2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G229" i="1"/>
  <c r="F229" i="1"/>
  <c r="E229" i="1"/>
  <c r="G228" i="1"/>
  <c r="F228" i="1"/>
  <c r="E228" i="1"/>
  <c r="G227" i="1"/>
  <c r="F227" i="1"/>
  <c r="E227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G222" i="1"/>
  <c r="F222" i="1"/>
  <c r="E222" i="1"/>
  <c r="G221" i="1"/>
  <c r="F221" i="1"/>
  <c r="E221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1" i="1"/>
  <c r="F211" i="1"/>
  <c r="E211" i="1"/>
  <c r="G202" i="1"/>
  <c r="F202" i="1"/>
  <c r="E202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2" i="1"/>
  <c r="F192" i="1"/>
  <c r="E192" i="1"/>
  <c r="G191" i="1"/>
  <c r="F191" i="1"/>
  <c r="E191" i="1"/>
  <c r="G190" i="1"/>
  <c r="F190" i="1"/>
  <c r="E190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65" i="1"/>
  <c r="F165" i="1"/>
  <c r="E165" i="1"/>
  <c r="G163" i="1"/>
  <c r="F163" i="1"/>
  <c r="E163" i="1"/>
  <c r="G160" i="1"/>
  <c r="F160" i="1"/>
  <c r="E160" i="1"/>
  <c r="G159" i="1"/>
  <c r="F159" i="1"/>
  <c r="E159" i="1"/>
  <c r="G158" i="1"/>
  <c r="F158" i="1"/>
  <c r="E158" i="1"/>
  <c r="G155" i="1"/>
  <c r="F155" i="1"/>
  <c r="E155" i="1"/>
  <c r="G154" i="1"/>
  <c r="F154" i="1"/>
  <c r="E154" i="1"/>
  <c r="E209" i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E169" i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E153" i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H100" i="1"/>
  <c r="I100" i="1" s="1"/>
  <c r="J100" i="1" s="1"/>
  <c r="K100" i="1" s="1"/>
  <c r="L100" i="1" s="1"/>
  <c r="M100" i="1" s="1"/>
  <c r="N100" i="1" s="1"/>
  <c r="O100" i="1" s="1"/>
  <c r="P100" i="1" s="1"/>
  <c r="Q100" i="1" s="1"/>
  <c r="Q183" i="1" s="1"/>
  <c r="H146" i="1"/>
  <c r="I146" i="1" s="1"/>
  <c r="I229" i="1" s="1"/>
  <c r="H139" i="1"/>
  <c r="I139" i="1" s="1"/>
  <c r="F55" i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E55" i="1"/>
  <c r="G53" i="1"/>
  <c r="F53" i="1"/>
  <c r="G52" i="1"/>
  <c r="F52" i="1"/>
  <c r="H133" i="1"/>
  <c r="F51" i="1"/>
  <c r="G51" i="1"/>
  <c r="E51" i="1"/>
  <c r="H98" i="1"/>
  <c r="I98" i="1" s="1"/>
  <c r="J98" i="1" s="1"/>
  <c r="K98" i="1" s="1"/>
  <c r="L98" i="1" s="1"/>
  <c r="M98" i="1" s="1"/>
  <c r="N98" i="1" s="1"/>
  <c r="O98" i="1" s="1"/>
  <c r="P98" i="1" s="1"/>
  <c r="Q98" i="1" s="1"/>
  <c r="Q181" i="1" s="1"/>
  <c r="I115" i="1"/>
  <c r="I198" i="1" s="1"/>
  <c r="J115" i="1"/>
  <c r="J198" i="1" s="1"/>
  <c r="K115" i="1"/>
  <c r="K198" i="1" s="1"/>
  <c r="L115" i="1"/>
  <c r="L198" i="1" s="1"/>
  <c r="M115" i="1"/>
  <c r="M198" i="1" s="1"/>
  <c r="N115" i="1"/>
  <c r="N198" i="1" s="1"/>
  <c r="O115" i="1"/>
  <c r="O198" i="1" s="1"/>
  <c r="P115" i="1"/>
  <c r="P198" i="1" s="1"/>
  <c r="Q115" i="1"/>
  <c r="Q198" i="1" s="1"/>
  <c r="H115" i="1"/>
  <c r="H198" i="1" s="1"/>
  <c r="F48" i="1"/>
  <c r="G48" i="1"/>
  <c r="E48" i="1"/>
  <c r="F47" i="1"/>
  <c r="G47" i="1"/>
  <c r="E47" i="1"/>
  <c r="F46" i="1"/>
  <c r="G46" i="1"/>
  <c r="H46" i="1" s="1"/>
  <c r="E46" i="1"/>
  <c r="F45" i="1"/>
  <c r="G45" i="1"/>
  <c r="H45" i="1" s="1"/>
  <c r="E45" i="1"/>
  <c r="F44" i="1"/>
  <c r="G44" i="1"/>
  <c r="E44" i="1"/>
  <c r="F43" i="1"/>
  <c r="G43" i="1"/>
  <c r="E43" i="1"/>
  <c r="F42" i="1"/>
  <c r="G42" i="1"/>
  <c r="E42" i="1"/>
  <c r="E41" i="1"/>
  <c r="F41" i="1"/>
  <c r="G41" i="1"/>
  <c r="E58" i="1"/>
  <c r="E64" i="1" s="1"/>
  <c r="F59" i="1"/>
  <c r="F62" i="1" s="1"/>
  <c r="G59" i="1"/>
  <c r="G62" i="1" s="1"/>
  <c r="E59" i="1"/>
  <c r="E62" i="1" s="1"/>
  <c r="F67" i="1"/>
  <c r="G67" i="1"/>
  <c r="H58" i="1" s="1"/>
  <c r="E67" i="1"/>
  <c r="F58" i="1" s="1"/>
  <c r="F64" i="1" s="1"/>
  <c r="H80" i="1"/>
  <c r="H163" i="1" s="1"/>
  <c r="F38" i="1"/>
  <c r="G38" i="1"/>
  <c r="E38" i="1"/>
  <c r="F37" i="1"/>
  <c r="G37" i="1"/>
  <c r="E37" i="1"/>
  <c r="F36" i="1"/>
  <c r="G36" i="1"/>
  <c r="E36" i="1"/>
  <c r="I26" i="1"/>
  <c r="J26" i="1" s="1"/>
  <c r="K26" i="1" s="1"/>
  <c r="L26" i="1" s="1"/>
  <c r="F24" i="1"/>
  <c r="G24" i="1"/>
  <c r="E24" i="1"/>
  <c r="F22" i="1"/>
  <c r="G22" i="1"/>
  <c r="H22" i="1" s="1"/>
  <c r="I22" i="1" s="1"/>
  <c r="E22" i="1"/>
  <c r="G31" i="1"/>
  <c r="F31" i="1"/>
  <c r="F147" i="1"/>
  <c r="F230" i="1" s="1"/>
  <c r="G147" i="1"/>
  <c r="G230" i="1" s="1"/>
  <c r="E147" i="1"/>
  <c r="E230" i="1" s="1"/>
  <c r="E141" i="1"/>
  <c r="E224" i="1" s="1"/>
  <c r="F141" i="1"/>
  <c r="F224" i="1" s="1"/>
  <c r="G141" i="1"/>
  <c r="G224" i="1" s="1"/>
  <c r="E110" i="1"/>
  <c r="E193" i="1" s="1"/>
  <c r="E117" i="1"/>
  <c r="E200" i="1" s="1"/>
  <c r="F117" i="1"/>
  <c r="F200" i="1" s="1"/>
  <c r="F110" i="1"/>
  <c r="F193" i="1" s="1"/>
  <c r="G117" i="1"/>
  <c r="G200" i="1" s="1"/>
  <c r="G110" i="1"/>
  <c r="G193" i="1" s="1"/>
  <c r="E101" i="1"/>
  <c r="E184" i="1" s="1"/>
  <c r="F101" i="1"/>
  <c r="F184" i="1" s="1"/>
  <c r="G101" i="1"/>
  <c r="G184" i="1" s="1"/>
  <c r="E93" i="1"/>
  <c r="E176" i="1" s="1"/>
  <c r="F93" i="1"/>
  <c r="F176" i="1" s="1"/>
  <c r="G93" i="1"/>
  <c r="G176" i="1" s="1"/>
  <c r="E73" i="1"/>
  <c r="E78" i="1" s="1"/>
  <c r="E161" i="1" s="1"/>
  <c r="F73" i="1"/>
  <c r="F78" i="1" s="1"/>
  <c r="F161" i="1" s="1"/>
  <c r="G73" i="1"/>
  <c r="G78" i="1" s="1"/>
  <c r="G161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E126" i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D9" i="2"/>
  <c r="D8" i="2"/>
  <c r="D6" i="2"/>
  <c r="D5" i="2"/>
  <c r="D4" i="2"/>
  <c r="D3" i="2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E20" i="2" l="1"/>
  <c r="G20" i="2"/>
  <c r="F20" i="2"/>
  <c r="D13" i="2"/>
  <c r="D16" i="2" s="1"/>
  <c r="P183" i="1"/>
  <c r="F54" i="1"/>
  <c r="H229" i="1"/>
  <c r="J181" i="1"/>
  <c r="K181" i="1"/>
  <c r="H183" i="1"/>
  <c r="L181" i="1"/>
  <c r="I183" i="1"/>
  <c r="J183" i="1"/>
  <c r="I133" i="1"/>
  <c r="H216" i="1"/>
  <c r="H97" i="1"/>
  <c r="H180" i="1" s="1"/>
  <c r="H222" i="1"/>
  <c r="J139" i="1"/>
  <c r="I222" i="1"/>
  <c r="E156" i="1"/>
  <c r="M181" i="1"/>
  <c r="K183" i="1"/>
  <c r="F156" i="1"/>
  <c r="N181" i="1"/>
  <c r="L183" i="1"/>
  <c r="G156" i="1"/>
  <c r="O181" i="1"/>
  <c r="M183" i="1"/>
  <c r="H181" i="1"/>
  <c r="P181" i="1"/>
  <c r="N183" i="1"/>
  <c r="I181" i="1"/>
  <c r="O183" i="1"/>
  <c r="G54" i="1"/>
  <c r="H47" i="1"/>
  <c r="I47" i="1" s="1"/>
  <c r="H147" i="1"/>
  <c r="H230" i="1" s="1"/>
  <c r="J146" i="1"/>
  <c r="I147" i="1"/>
  <c r="I230" i="1" s="1"/>
  <c r="H116" i="1"/>
  <c r="I46" i="1"/>
  <c r="H108" i="1"/>
  <c r="H191" i="1" s="1"/>
  <c r="H42" i="1"/>
  <c r="I42" i="1" s="1"/>
  <c r="H41" i="1"/>
  <c r="I41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I45" i="1"/>
  <c r="F63" i="1"/>
  <c r="E63" i="1"/>
  <c r="H38" i="1"/>
  <c r="I38" i="1" s="1"/>
  <c r="E60" i="1"/>
  <c r="H37" i="1"/>
  <c r="I37" i="1" s="1"/>
  <c r="F60" i="1"/>
  <c r="F65" i="1"/>
  <c r="F66" i="1" s="1"/>
  <c r="G58" i="1"/>
  <c r="G63" i="1" s="1"/>
  <c r="H63" i="1" s="1"/>
  <c r="E65" i="1"/>
  <c r="E66" i="1" s="1"/>
  <c r="G25" i="1"/>
  <c r="I80" i="1"/>
  <c r="I163" i="1" s="1"/>
  <c r="F25" i="1"/>
  <c r="H25" i="1"/>
  <c r="H24" i="1" s="1"/>
  <c r="I34" i="1"/>
  <c r="J34" i="1" s="1"/>
  <c r="K34" i="1" s="1"/>
  <c r="L34" i="1" s="1"/>
  <c r="M34" i="1" s="1"/>
  <c r="N34" i="1" s="1"/>
  <c r="O34" i="1" s="1"/>
  <c r="H32" i="1"/>
  <c r="G81" i="1"/>
  <c r="F81" i="1"/>
  <c r="E81" i="1"/>
  <c r="E121" i="1"/>
  <c r="F121" i="1"/>
  <c r="F204" i="1" s="1"/>
  <c r="G121" i="1"/>
  <c r="G204" i="1" s="1"/>
  <c r="E103" i="1"/>
  <c r="E186" i="1" s="1"/>
  <c r="G103" i="1"/>
  <c r="G186" i="1" s="1"/>
  <c r="F103" i="1"/>
  <c r="F186" i="1" s="1"/>
  <c r="F30" i="2" l="1"/>
  <c r="G30" i="2"/>
  <c r="E30" i="2"/>
  <c r="I97" i="1"/>
  <c r="I180" i="1" s="1"/>
  <c r="E123" i="1"/>
  <c r="E206" i="1" s="1"/>
  <c r="E204" i="1"/>
  <c r="E83" i="1"/>
  <c r="E166" i="1" s="1"/>
  <c r="E164" i="1"/>
  <c r="J147" i="1"/>
  <c r="J230" i="1" s="1"/>
  <c r="J229" i="1"/>
  <c r="F83" i="1"/>
  <c r="F166" i="1" s="1"/>
  <c r="F164" i="1"/>
  <c r="G83" i="1"/>
  <c r="G166" i="1" s="1"/>
  <c r="G164" i="1"/>
  <c r="K139" i="1"/>
  <c r="J222" i="1"/>
  <c r="I116" i="1"/>
  <c r="H199" i="1"/>
  <c r="J133" i="1"/>
  <c r="J216" i="1" s="1"/>
  <c r="I216" i="1"/>
  <c r="G123" i="1"/>
  <c r="G206" i="1" s="1"/>
  <c r="F123" i="1"/>
  <c r="F206" i="1" s="1"/>
  <c r="K146" i="1"/>
  <c r="J46" i="1"/>
  <c r="I108" i="1"/>
  <c r="I191" i="1" s="1"/>
  <c r="J47" i="1"/>
  <c r="J45" i="1"/>
  <c r="J42" i="1"/>
  <c r="J41" i="1"/>
  <c r="I63" i="1"/>
  <c r="H62" i="1"/>
  <c r="G64" i="1"/>
  <c r="G65" i="1" s="1"/>
  <c r="G66" i="1" s="1"/>
  <c r="H66" i="1" s="1"/>
  <c r="G60" i="1"/>
  <c r="H60" i="1" s="1"/>
  <c r="J38" i="1"/>
  <c r="J80" i="1"/>
  <c r="J37" i="1"/>
  <c r="I25" i="1"/>
  <c r="I24" i="1" s="1"/>
  <c r="I31" i="1"/>
  <c r="J31" i="1"/>
  <c r="H31" i="1"/>
  <c r="H30" i="1" s="1"/>
  <c r="H20" i="1" s="1"/>
  <c r="K31" i="1"/>
  <c r="L31" i="1"/>
  <c r="M31" i="1"/>
  <c r="N31" i="1"/>
  <c r="D6" i="1"/>
  <c r="F21" i="2" s="1"/>
  <c r="F22" i="2" s="1"/>
  <c r="F28" i="2" s="1"/>
  <c r="E21" i="2" l="1"/>
  <c r="E22" i="2" s="1"/>
  <c r="E28" i="2" s="1"/>
  <c r="G21" i="2"/>
  <c r="G22" i="2" s="1"/>
  <c r="G28" i="2" s="1"/>
  <c r="J97" i="1"/>
  <c r="K97" i="1" s="1"/>
  <c r="J116" i="1"/>
  <c r="I199" i="1"/>
  <c r="K147" i="1"/>
  <c r="K230" i="1" s="1"/>
  <c r="K229" i="1"/>
  <c r="L139" i="1"/>
  <c r="K222" i="1"/>
  <c r="K80" i="1"/>
  <c r="K163" i="1" s="1"/>
  <c r="J163" i="1"/>
  <c r="K133" i="1"/>
  <c r="L146" i="1"/>
  <c r="M146" i="1" s="1"/>
  <c r="K46" i="1"/>
  <c r="J108" i="1"/>
  <c r="J191" i="1" s="1"/>
  <c r="K47" i="1"/>
  <c r="K45" i="1"/>
  <c r="K42" i="1"/>
  <c r="K41" i="1"/>
  <c r="I66" i="1"/>
  <c r="J63" i="1"/>
  <c r="I60" i="1"/>
  <c r="H59" i="1"/>
  <c r="K38" i="1"/>
  <c r="K37" i="1"/>
  <c r="H21" i="1"/>
  <c r="H19" i="1" s="1"/>
  <c r="H71" i="1" s="1"/>
  <c r="H154" i="1" s="1"/>
  <c r="J25" i="1"/>
  <c r="J24" i="1" s="1"/>
  <c r="I30" i="1"/>
  <c r="J30" i="1" s="1"/>
  <c r="K30" i="1" s="1"/>
  <c r="L30" i="1" s="1"/>
  <c r="M30" i="1" s="1"/>
  <c r="N30" i="1" s="1"/>
  <c r="O31" i="1"/>
  <c r="Q31" i="1"/>
  <c r="P31" i="1"/>
  <c r="G135" i="1"/>
  <c r="E135" i="1"/>
  <c r="F135" i="1"/>
  <c r="J180" i="1" l="1"/>
  <c r="L80" i="1"/>
  <c r="L163" i="1" s="1"/>
  <c r="L97" i="1"/>
  <c r="K180" i="1"/>
  <c r="F149" i="1"/>
  <c r="F232" i="1" s="1"/>
  <c r="F218" i="1"/>
  <c r="E149" i="1"/>
  <c r="E232" i="1" s="1"/>
  <c r="E218" i="1"/>
  <c r="G149" i="1"/>
  <c r="G232" i="1" s="1"/>
  <c r="G218" i="1"/>
  <c r="M139" i="1"/>
  <c r="L222" i="1"/>
  <c r="L147" i="1"/>
  <c r="L230" i="1" s="1"/>
  <c r="L229" i="1"/>
  <c r="M147" i="1"/>
  <c r="M230" i="1" s="1"/>
  <c r="M229" i="1"/>
  <c r="L133" i="1"/>
  <c r="K216" i="1"/>
  <c r="J199" i="1"/>
  <c r="K116" i="1"/>
  <c r="N146" i="1"/>
  <c r="H109" i="1"/>
  <c r="H192" i="1" s="1"/>
  <c r="H138" i="1"/>
  <c r="H24" i="2" s="1"/>
  <c r="H130" i="1"/>
  <c r="H23" i="2" s="1"/>
  <c r="L46" i="1"/>
  <c r="K108" i="1"/>
  <c r="K191" i="1" s="1"/>
  <c r="L47" i="1"/>
  <c r="L45" i="1"/>
  <c r="H65" i="1"/>
  <c r="H92" i="1"/>
  <c r="H175" i="1" s="1"/>
  <c r="H90" i="1"/>
  <c r="H173" i="1" s="1"/>
  <c r="L41" i="1"/>
  <c r="L42" i="1"/>
  <c r="H61" i="1"/>
  <c r="H64" i="1" s="1"/>
  <c r="H76" i="1"/>
  <c r="H159" i="1" s="1"/>
  <c r="J66" i="1"/>
  <c r="K63" i="1"/>
  <c r="J60" i="1"/>
  <c r="L38" i="1"/>
  <c r="H72" i="1"/>
  <c r="H75" i="1"/>
  <c r="H158" i="1" s="1"/>
  <c r="H77" i="1"/>
  <c r="L37" i="1"/>
  <c r="J20" i="1"/>
  <c r="I20" i="1"/>
  <c r="O30" i="1"/>
  <c r="P30" i="1" s="1"/>
  <c r="Q30" i="1" s="1"/>
  <c r="K25" i="1"/>
  <c r="K24" i="1" s="1"/>
  <c r="K20" i="1" s="1"/>
  <c r="M80" i="1" l="1"/>
  <c r="M163" i="1" s="1"/>
  <c r="H96" i="1"/>
  <c r="H179" i="1" s="1"/>
  <c r="H213" i="1"/>
  <c r="H141" i="1"/>
  <c r="H224" i="1" s="1"/>
  <c r="H221" i="1"/>
  <c r="N147" i="1"/>
  <c r="N230" i="1" s="1"/>
  <c r="N229" i="1"/>
  <c r="H131" i="1"/>
  <c r="H214" i="1" s="1"/>
  <c r="H160" i="1"/>
  <c r="L116" i="1"/>
  <c r="K199" i="1"/>
  <c r="H107" i="1"/>
  <c r="H190" i="1" s="1"/>
  <c r="H155" i="1"/>
  <c r="H99" i="1"/>
  <c r="H182" i="1" s="1"/>
  <c r="L216" i="1"/>
  <c r="M133" i="1"/>
  <c r="N139" i="1"/>
  <c r="M222" i="1"/>
  <c r="M97" i="1"/>
  <c r="L180" i="1"/>
  <c r="O146" i="1"/>
  <c r="O229" i="1" s="1"/>
  <c r="M46" i="1"/>
  <c r="L108" i="1"/>
  <c r="L191" i="1" s="1"/>
  <c r="M47" i="1"/>
  <c r="M45" i="1"/>
  <c r="H67" i="1"/>
  <c r="H73" i="1"/>
  <c r="H91" i="1"/>
  <c r="M41" i="1"/>
  <c r="M42" i="1"/>
  <c r="K66" i="1"/>
  <c r="L63" i="1"/>
  <c r="K60" i="1"/>
  <c r="M38" i="1"/>
  <c r="M37" i="1"/>
  <c r="K21" i="1"/>
  <c r="K19" i="1" s="1"/>
  <c r="K71" i="1" s="1"/>
  <c r="K154" i="1" s="1"/>
  <c r="I21" i="1"/>
  <c r="I19" i="1" s="1"/>
  <c r="I71" i="1" s="1"/>
  <c r="I154" i="1" s="1"/>
  <c r="J21" i="1"/>
  <c r="J19" i="1" s="1"/>
  <c r="J71" i="1" s="1"/>
  <c r="J154" i="1" s="1"/>
  <c r="L25" i="1"/>
  <c r="L24" i="1" s="1"/>
  <c r="L20" i="1" s="1"/>
  <c r="N80" i="1" l="1"/>
  <c r="N163" i="1" s="1"/>
  <c r="H110" i="1"/>
  <c r="H193" i="1" s="1"/>
  <c r="M216" i="1"/>
  <c r="H101" i="1"/>
  <c r="H184" i="1" s="1"/>
  <c r="N97" i="1"/>
  <c r="M180" i="1"/>
  <c r="H52" i="1"/>
  <c r="H174" i="1"/>
  <c r="H78" i="1"/>
  <c r="H20" i="2" s="1"/>
  <c r="H156" i="1"/>
  <c r="H53" i="1"/>
  <c r="O139" i="1"/>
  <c r="N222" i="1"/>
  <c r="L199" i="1"/>
  <c r="M116" i="1"/>
  <c r="N133" i="1"/>
  <c r="K109" i="1"/>
  <c r="K192" i="1" s="1"/>
  <c r="K130" i="1"/>
  <c r="K138" i="1"/>
  <c r="K24" i="2" s="1"/>
  <c r="I109" i="1"/>
  <c r="I192" i="1" s="1"/>
  <c r="I130" i="1"/>
  <c r="I138" i="1"/>
  <c r="I24" i="2" s="1"/>
  <c r="J109" i="1"/>
  <c r="J192" i="1" s="1"/>
  <c r="J130" i="1"/>
  <c r="J138" i="1"/>
  <c r="J24" i="2" s="1"/>
  <c r="P146" i="1"/>
  <c r="Q146" i="1" s="1"/>
  <c r="O147" i="1"/>
  <c r="O230" i="1" s="1"/>
  <c r="N46" i="1"/>
  <c r="M108" i="1"/>
  <c r="M191" i="1" s="1"/>
  <c r="N47" i="1"/>
  <c r="I58" i="1"/>
  <c r="H113" i="1"/>
  <c r="H196" i="1" s="1"/>
  <c r="N45" i="1"/>
  <c r="N42" i="1"/>
  <c r="J65" i="1"/>
  <c r="J92" i="1"/>
  <c r="J175" i="1" s="1"/>
  <c r="J90" i="1"/>
  <c r="J173" i="1" s="1"/>
  <c r="I65" i="1"/>
  <c r="I92" i="1"/>
  <c r="I175" i="1" s="1"/>
  <c r="I90" i="1"/>
  <c r="I173" i="1" s="1"/>
  <c r="N41" i="1"/>
  <c r="K92" i="1"/>
  <c r="K175" i="1" s="1"/>
  <c r="K90" i="1"/>
  <c r="K173" i="1" s="1"/>
  <c r="L66" i="1"/>
  <c r="K65" i="1"/>
  <c r="M63" i="1"/>
  <c r="L60" i="1"/>
  <c r="N38" i="1"/>
  <c r="J75" i="1"/>
  <c r="J158" i="1" s="1"/>
  <c r="J72" i="1"/>
  <c r="J77" i="1"/>
  <c r="I75" i="1"/>
  <c r="I158" i="1" s="1"/>
  <c r="I72" i="1"/>
  <c r="I77" i="1"/>
  <c r="K77" i="1"/>
  <c r="K75" i="1"/>
  <c r="K158" i="1" s="1"/>
  <c r="K72" i="1"/>
  <c r="N37" i="1"/>
  <c r="L21" i="1"/>
  <c r="L19" i="1" s="1"/>
  <c r="L71" i="1" s="1"/>
  <c r="L154" i="1" s="1"/>
  <c r="M25" i="1"/>
  <c r="M24" i="1" s="1"/>
  <c r="M20" i="1" s="1"/>
  <c r="J213" i="1" l="1"/>
  <c r="J23" i="2"/>
  <c r="I213" i="1"/>
  <c r="I23" i="2"/>
  <c r="K213" i="1"/>
  <c r="K23" i="2"/>
  <c r="H21" i="2"/>
  <c r="H22" i="2" s="1"/>
  <c r="H30" i="2"/>
  <c r="O80" i="1"/>
  <c r="O163" i="1" s="1"/>
  <c r="H54" i="1"/>
  <c r="H134" i="1" s="1"/>
  <c r="N216" i="1"/>
  <c r="O133" i="1"/>
  <c r="K107" i="1"/>
  <c r="K190" i="1" s="1"/>
  <c r="K155" i="1"/>
  <c r="N116" i="1"/>
  <c r="M199" i="1"/>
  <c r="J107" i="1"/>
  <c r="J190" i="1" s="1"/>
  <c r="J155" i="1"/>
  <c r="Q147" i="1"/>
  <c r="Q230" i="1" s="1"/>
  <c r="Q229" i="1"/>
  <c r="I107" i="1"/>
  <c r="I190" i="1" s="1"/>
  <c r="I155" i="1"/>
  <c r="J141" i="1"/>
  <c r="J224" i="1" s="1"/>
  <c r="J221" i="1"/>
  <c r="O97" i="1"/>
  <c r="N180" i="1"/>
  <c r="J131" i="1"/>
  <c r="J214" i="1" s="1"/>
  <c r="J160" i="1"/>
  <c r="H81" i="1"/>
  <c r="H161" i="1"/>
  <c r="K131" i="1"/>
  <c r="K214" i="1" s="1"/>
  <c r="K160" i="1"/>
  <c r="I131" i="1"/>
  <c r="I214" i="1" s="1"/>
  <c r="I160" i="1"/>
  <c r="P147" i="1"/>
  <c r="P230" i="1" s="1"/>
  <c r="P229" i="1"/>
  <c r="K141" i="1"/>
  <c r="K224" i="1" s="1"/>
  <c r="K221" i="1"/>
  <c r="P139" i="1"/>
  <c r="O222" i="1"/>
  <c r="I141" i="1"/>
  <c r="I224" i="1" s="1"/>
  <c r="I221" i="1"/>
  <c r="I96" i="1"/>
  <c r="I179" i="1" s="1"/>
  <c r="L109" i="1"/>
  <c r="L192" i="1" s="1"/>
  <c r="L138" i="1"/>
  <c r="L24" i="2" s="1"/>
  <c r="L130" i="1"/>
  <c r="O46" i="1"/>
  <c r="N108" i="1"/>
  <c r="N191" i="1" s="1"/>
  <c r="O47" i="1"/>
  <c r="I62" i="1"/>
  <c r="I59" i="1"/>
  <c r="O45" i="1"/>
  <c r="I73" i="1"/>
  <c r="I156" i="1" s="1"/>
  <c r="I91" i="1"/>
  <c r="O41" i="1"/>
  <c r="L92" i="1"/>
  <c r="L175" i="1" s="1"/>
  <c r="L90" i="1"/>
  <c r="L173" i="1" s="1"/>
  <c r="J73" i="1"/>
  <c r="J156" i="1" s="1"/>
  <c r="J91" i="1"/>
  <c r="K73" i="1"/>
  <c r="K156" i="1" s="1"/>
  <c r="K91" i="1"/>
  <c r="K174" i="1" s="1"/>
  <c r="O42" i="1"/>
  <c r="M66" i="1"/>
  <c r="L65" i="1"/>
  <c r="N63" i="1"/>
  <c r="M60" i="1"/>
  <c r="L75" i="1"/>
  <c r="L158" i="1" s="1"/>
  <c r="L72" i="1"/>
  <c r="L77" i="1"/>
  <c r="O38" i="1"/>
  <c r="O37" i="1"/>
  <c r="M21" i="1"/>
  <c r="M19" i="1" s="1"/>
  <c r="M71" i="1" s="1"/>
  <c r="M154" i="1" s="1"/>
  <c r="N25" i="1"/>
  <c r="N24" i="1" s="1"/>
  <c r="N20" i="1" s="1"/>
  <c r="H217" i="1" l="1"/>
  <c r="H25" i="2"/>
  <c r="L213" i="1"/>
  <c r="L23" i="2"/>
  <c r="I110" i="1"/>
  <c r="I193" i="1" s="1"/>
  <c r="P80" i="1"/>
  <c r="I53" i="1"/>
  <c r="K110" i="1"/>
  <c r="K193" i="1" s="1"/>
  <c r="J110" i="1"/>
  <c r="J193" i="1" s="1"/>
  <c r="J53" i="1"/>
  <c r="K53" i="1"/>
  <c r="J52" i="1"/>
  <c r="I174" i="1"/>
  <c r="P97" i="1"/>
  <c r="O180" i="1"/>
  <c r="L141" i="1"/>
  <c r="L224" i="1" s="1"/>
  <c r="L221" i="1"/>
  <c r="L131" i="1"/>
  <c r="L214" i="1" s="1"/>
  <c r="L160" i="1"/>
  <c r="L107" i="1"/>
  <c r="L190" i="1" s="1"/>
  <c r="L155" i="1"/>
  <c r="Q139" i="1"/>
  <c r="Q222" i="1" s="1"/>
  <c r="P222" i="1"/>
  <c r="O116" i="1"/>
  <c r="N199" i="1"/>
  <c r="K52" i="1"/>
  <c r="J174" i="1"/>
  <c r="O216" i="1"/>
  <c r="P133" i="1"/>
  <c r="H82" i="1"/>
  <c r="H164" i="1"/>
  <c r="I52" i="1"/>
  <c r="M109" i="1"/>
  <c r="M192" i="1" s="1"/>
  <c r="M130" i="1"/>
  <c r="M138" i="1"/>
  <c r="M24" i="2" s="1"/>
  <c r="J96" i="1"/>
  <c r="J179" i="1" s="1"/>
  <c r="P46" i="1"/>
  <c r="O108" i="1"/>
  <c r="O191" i="1" s="1"/>
  <c r="P47" i="1"/>
  <c r="I61" i="1"/>
  <c r="I76" i="1"/>
  <c r="P45" i="1"/>
  <c r="L73" i="1"/>
  <c r="L156" i="1" s="1"/>
  <c r="L91" i="1"/>
  <c r="P42" i="1"/>
  <c r="M92" i="1"/>
  <c r="M175" i="1" s="1"/>
  <c r="M90" i="1"/>
  <c r="M173" i="1" s="1"/>
  <c r="P41" i="1"/>
  <c r="N66" i="1"/>
  <c r="M65" i="1"/>
  <c r="O63" i="1"/>
  <c r="N60" i="1"/>
  <c r="P38" i="1"/>
  <c r="M75" i="1"/>
  <c r="M158" i="1" s="1"/>
  <c r="M77" i="1"/>
  <c r="M72" i="1"/>
  <c r="P37" i="1"/>
  <c r="N21" i="1"/>
  <c r="N19" i="1" s="1"/>
  <c r="N71" i="1" s="1"/>
  <c r="N154" i="1" s="1"/>
  <c r="O25" i="1"/>
  <c r="O24" i="1" s="1"/>
  <c r="O20" i="1" s="1"/>
  <c r="M213" i="1" l="1"/>
  <c r="M23" i="2"/>
  <c r="I54" i="1"/>
  <c r="I134" i="1" s="1"/>
  <c r="Q80" i="1"/>
  <c r="Q163" i="1" s="1"/>
  <c r="P163" i="1"/>
  <c r="L110" i="1"/>
  <c r="L193" i="1" s="1"/>
  <c r="L53" i="1"/>
  <c r="K54" i="1"/>
  <c r="K134" i="1" s="1"/>
  <c r="J54" i="1"/>
  <c r="J134" i="1" s="1"/>
  <c r="M107" i="1"/>
  <c r="M190" i="1" s="1"/>
  <c r="M155" i="1"/>
  <c r="I78" i="1"/>
  <c r="I20" i="2" s="1"/>
  <c r="I159" i="1"/>
  <c r="O199" i="1"/>
  <c r="P116" i="1"/>
  <c r="Q133" i="1"/>
  <c r="Q216" i="1" s="1"/>
  <c r="P216" i="1"/>
  <c r="M131" i="1"/>
  <c r="M214" i="1" s="1"/>
  <c r="M160" i="1"/>
  <c r="M141" i="1"/>
  <c r="M224" i="1" s="1"/>
  <c r="M221" i="1"/>
  <c r="H165" i="1"/>
  <c r="H83" i="1"/>
  <c r="H114" i="1"/>
  <c r="Q97" i="1"/>
  <c r="Q180" i="1" s="1"/>
  <c r="P180" i="1"/>
  <c r="L52" i="1"/>
  <c r="L174" i="1"/>
  <c r="I64" i="1"/>
  <c r="I67" i="1" s="1"/>
  <c r="J58" i="1" s="1"/>
  <c r="I99" i="1"/>
  <c r="I182" i="1" s="1"/>
  <c r="N109" i="1"/>
  <c r="N192" i="1" s="1"/>
  <c r="N138" i="1"/>
  <c r="N24" i="2" s="1"/>
  <c r="N130" i="1"/>
  <c r="K96" i="1"/>
  <c r="K179" i="1" s="1"/>
  <c r="Q46" i="1"/>
  <c r="Q108" i="1" s="1"/>
  <c r="Q191" i="1" s="1"/>
  <c r="P108" i="1"/>
  <c r="P191" i="1" s="1"/>
  <c r="Q47" i="1"/>
  <c r="Q45" i="1"/>
  <c r="N92" i="1"/>
  <c r="N175" i="1" s="1"/>
  <c r="N90" i="1"/>
  <c r="N173" i="1" s="1"/>
  <c r="Q42" i="1"/>
  <c r="M73" i="1"/>
  <c r="M156" i="1" s="1"/>
  <c r="M91" i="1"/>
  <c r="M174" i="1" s="1"/>
  <c r="Q41" i="1"/>
  <c r="O66" i="1"/>
  <c r="N65" i="1"/>
  <c r="P63" i="1"/>
  <c r="O60" i="1"/>
  <c r="N75" i="1"/>
  <c r="N158" i="1" s="1"/>
  <c r="N72" i="1"/>
  <c r="N77" i="1"/>
  <c r="Q38" i="1"/>
  <c r="O21" i="1"/>
  <c r="O19" i="1" s="1"/>
  <c r="O71" i="1" s="1"/>
  <c r="O154" i="1" s="1"/>
  <c r="P25" i="1"/>
  <c r="P24" i="1" s="1"/>
  <c r="P20" i="1" s="1"/>
  <c r="Q25" i="1"/>
  <c r="J217" i="1" l="1"/>
  <c r="J25" i="2"/>
  <c r="K217" i="1"/>
  <c r="K25" i="2"/>
  <c r="N213" i="1"/>
  <c r="N23" i="2"/>
  <c r="I21" i="2"/>
  <c r="I22" i="2" s="1"/>
  <c r="I30" i="2"/>
  <c r="I217" i="1"/>
  <c r="I25" i="2"/>
  <c r="L54" i="1"/>
  <c r="L134" i="1" s="1"/>
  <c r="M110" i="1"/>
  <c r="M193" i="1" s="1"/>
  <c r="M53" i="1"/>
  <c r="Q116" i="1"/>
  <c r="Q199" i="1" s="1"/>
  <c r="P199" i="1"/>
  <c r="I81" i="1"/>
  <c r="I161" i="1"/>
  <c r="N107" i="1"/>
  <c r="N190" i="1" s="1"/>
  <c r="N155" i="1"/>
  <c r="N141" i="1"/>
  <c r="N224" i="1" s="1"/>
  <c r="N221" i="1"/>
  <c r="H132" i="1"/>
  <c r="H197" i="1"/>
  <c r="H117" i="1"/>
  <c r="H200" i="1" s="1"/>
  <c r="H128" i="1"/>
  <c r="H166" i="1"/>
  <c r="N131" i="1"/>
  <c r="N214" i="1" s="1"/>
  <c r="N160" i="1"/>
  <c r="M52" i="1"/>
  <c r="I113" i="1"/>
  <c r="I196" i="1" s="1"/>
  <c r="L96" i="1"/>
  <c r="L179" i="1" s="1"/>
  <c r="O109" i="1"/>
  <c r="O192" i="1" s="1"/>
  <c r="O130" i="1"/>
  <c r="O138" i="1"/>
  <c r="O24" i="2" s="1"/>
  <c r="I101" i="1"/>
  <c r="I184" i="1" s="1"/>
  <c r="J62" i="1"/>
  <c r="J59" i="1"/>
  <c r="O92" i="1"/>
  <c r="O175" i="1" s="1"/>
  <c r="O90" i="1"/>
  <c r="O173" i="1" s="1"/>
  <c r="N73" i="1"/>
  <c r="N156" i="1" s="1"/>
  <c r="N91" i="1"/>
  <c r="P66" i="1"/>
  <c r="O65" i="1"/>
  <c r="Q63" i="1"/>
  <c r="P60" i="1"/>
  <c r="O77" i="1"/>
  <c r="O75" i="1"/>
  <c r="O158" i="1" s="1"/>
  <c r="O72" i="1"/>
  <c r="P21" i="1"/>
  <c r="P19" i="1" s="1"/>
  <c r="P71" i="1" s="1"/>
  <c r="P154" i="1" s="1"/>
  <c r="Q24" i="1"/>
  <c r="Q20" i="1" s="1"/>
  <c r="O213" i="1" l="1"/>
  <c r="O23" i="2"/>
  <c r="H215" i="1"/>
  <c r="H26" i="2"/>
  <c r="H28" i="2" s="1"/>
  <c r="L217" i="1"/>
  <c r="L25" i="2"/>
  <c r="M54" i="1"/>
  <c r="M134" i="1" s="1"/>
  <c r="N110" i="1"/>
  <c r="N193" i="1" s="1"/>
  <c r="O131" i="1"/>
  <c r="O214" i="1" s="1"/>
  <c r="O160" i="1"/>
  <c r="N53" i="1"/>
  <c r="H211" i="1"/>
  <c r="H135" i="1"/>
  <c r="H119" i="1"/>
  <c r="O107" i="1"/>
  <c r="O190" i="1" s="1"/>
  <c r="O155" i="1"/>
  <c r="I82" i="1"/>
  <c r="I164" i="1"/>
  <c r="N52" i="1"/>
  <c r="N174" i="1"/>
  <c r="O141" i="1"/>
  <c r="O224" i="1" s="1"/>
  <c r="O221" i="1"/>
  <c r="P109" i="1"/>
  <c r="P192" i="1" s="1"/>
  <c r="P130" i="1"/>
  <c r="P138" i="1"/>
  <c r="P24" i="2" s="1"/>
  <c r="M96" i="1"/>
  <c r="M179" i="1" s="1"/>
  <c r="J76" i="1"/>
  <c r="J61" i="1"/>
  <c r="P92" i="1"/>
  <c r="P175" i="1" s="1"/>
  <c r="P90" i="1"/>
  <c r="P173" i="1" s="1"/>
  <c r="O73" i="1"/>
  <c r="O156" i="1" s="1"/>
  <c r="O91" i="1"/>
  <c r="O174" i="1" s="1"/>
  <c r="Q66" i="1"/>
  <c r="P65" i="1"/>
  <c r="Q60" i="1"/>
  <c r="P77" i="1"/>
  <c r="P75" i="1"/>
  <c r="P158" i="1" s="1"/>
  <c r="P72" i="1"/>
  <c r="Q21" i="1"/>
  <c r="Q19" i="1" s="1"/>
  <c r="Q71" i="1" s="1"/>
  <c r="Q154" i="1" s="1"/>
  <c r="P213" i="1" l="1"/>
  <c r="P23" i="2"/>
  <c r="M217" i="1"/>
  <c r="M25" i="2"/>
  <c r="N54" i="1"/>
  <c r="N134" i="1" s="1"/>
  <c r="H121" i="1"/>
  <c r="H204" i="1" s="1"/>
  <c r="H202" i="1"/>
  <c r="O53" i="1"/>
  <c r="O110" i="1"/>
  <c r="O193" i="1" s="1"/>
  <c r="H149" i="1"/>
  <c r="H218" i="1"/>
  <c r="P107" i="1"/>
  <c r="P190" i="1" s="1"/>
  <c r="P155" i="1"/>
  <c r="P141" i="1"/>
  <c r="P224" i="1" s="1"/>
  <c r="P221" i="1"/>
  <c r="P131" i="1"/>
  <c r="P214" i="1" s="1"/>
  <c r="P160" i="1"/>
  <c r="I165" i="1"/>
  <c r="I114" i="1"/>
  <c r="I83" i="1"/>
  <c r="J78" i="1"/>
  <c r="J20" i="2" s="1"/>
  <c r="J159" i="1"/>
  <c r="J64" i="1"/>
  <c r="J67" i="1" s="1"/>
  <c r="K58" i="1" s="1"/>
  <c r="J99" i="1"/>
  <c r="J182" i="1" s="1"/>
  <c r="Q109" i="1"/>
  <c r="Q192" i="1" s="1"/>
  <c r="Q130" i="1"/>
  <c r="Q138" i="1"/>
  <c r="Q24" i="2" s="1"/>
  <c r="N96" i="1"/>
  <c r="N179" i="1" s="1"/>
  <c r="O52" i="1"/>
  <c r="Q92" i="1"/>
  <c r="Q175" i="1" s="1"/>
  <c r="Q90" i="1"/>
  <c r="Q173" i="1" s="1"/>
  <c r="P73" i="1"/>
  <c r="P156" i="1" s="1"/>
  <c r="P91" i="1"/>
  <c r="Q65" i="1"/>
  <c r="Q77" i="1"/>
  <c r="Q72" i="1"/>
  <c r="Q75" i="1"/>
  <c r="Q158" i="1" s="1"/>
  <c r="P110" i="1" l="1"/>
  <c r="P193" i="1" s="1"/>
  <c r="J30" i="2"/>
  <c r="J21" i="2"/>
  <c r="J22" i="2" s="1"/>
  <c r="N217" i="1"/>
  <c r="N25" i="2"/>
  <c r="Q213" i="1"/>
  <c r="Q23" i="2"/>
  <c r="O54" i="1"/>
  <c r="O134" i="1" s="1"/>
  <c r="I132" i="1"/>
  <c r="I197" i="1"/>
  <c r="I117" i="1"/>
  <c r="I200" i="1" s="1"/>
  <c r="H232" i="1"/>
  <c r="H89" i="1"/>
  <c r="I128" i="1"/>
  <c r="I166" i="1"/>
  <c r="Q141" i="1"/>
  <c r="Q224" i="1" s="1"/>
  <c r="Q221" i="1"/>
  <c r="Q107" i="1"/>
  <c r="Q190" i="1" s="1"/>
  <c r="Q155" i="1"/>
  <c r="Q131" i="1"/>
  <c r="Q214" i="1" s="1"/>
  <c r="Q160" i="1"/>
  <c r="P52" i="1"/>
  <c r="P174" i="1"/>
  <c r="P53" i="1"/>
  <c r="J81" i="1"/>
  <c r="J161" i="1"/>
  <c r="J113" i="1"/>
  <c r="O96" i="1"/>
  <c r="O179" i="1" s="1"/>
  <c r="J101" i="1"/>
  <c r="J184" i="1" s="1"/>
  <c r="K62" i="1"/>
  <c r="K59" i="1"/>
  <c r="Q73" i="1"/>
  <c r="Q156" i="1" s="1"/>
  <c r="Q91" i="1"/>
  <c r="Q174" i="1" s="1"/>
  <c r="I215" i="1" l="1"/>
  <c r="I26" i="2"/>
  <c r="I28" i="2" s="1"/>
  <c r="O217" i="1"/>
  <c r="O25" i="2"/>
  <c r="P54" i="1"/>
  <c r="P134" i="1" s="1"/>
  <c r="I211" i="1"/>
  <c r="I135" i="1"/>
  <c r="I119" i="1"/>
  <c r="Q53" i="1"/>
  <c r="H93" i="1"/>
  <c r="H172" i="1"/>
  <c r="J82" i="1"/>
  <c r="J164" i="1"/>
  <c r="Q110" i="1"/>
  <c r="Q193" i="1" s="1"/>
  <c r="J196" i="1"/>
  <c r="P96" i="1"/>
  <c r="P179" i="1" s="1"/>
  <c r="Q52" i="1"/>
  <c r="K76" i="1"/>
  <c r="K61" i="1"/>
  <c r="P217" i="1" l="1"/>
  <c r="P25" i="2"/>
  <c r="Q54" i="1"/>
  <c r="Q134" i="1" s="1"/>
  <c r="J165" i="1"/>
  <c r="J83" i="1"/>
  <c r="J114" i="1"/>
  <c r="H103" i="1"/>
  <c r="H176" i="1"/>
  <c r="I202" i="1"/>
  <c r="I121" i="1"/>
  <c r="I204" i="1" s="1"/>
  <c r="I149" i="1"/>
  <c r="I218" i="1"/>
  <c r="K78" i="1"/>
  <c r="K20" i="2" s="1"/>
  <c r="K159" i="1"/>
  <c r="Q96" i="1"/>
  <c r="Q179" i="1" s="1"/>
  <c r="K64" i="1"/>
  <c r="K67" i="1" s="1"/>
  <c r="L58" i="1" s="1"/>
  <c r="K99" i="1"/>
  <c r="K182" i="1" s="1"/>
  <c r="K21" i="2" l="1"/>
  <c r="K22" i="2" s="1"/>
  <c r="K30" i="2"/>
  <c r="Q217" i="1"/>
  <c r="Q25" i="2"/>
  <c r="H123" i="1"/>
  <c r="H206" i="1" s="1"/>
  <c r="H186" i="1"/>
  <c r="K113" i="1"/>
  <c r="K81" i="1"/>
  <c r="K161" i="1"/>
  <c r="J132" i="1"/>
  <c r="J197" i="1"/>
  <c r="J117" i="1"/>
  <c r="J200" i="1" s="1"/>
  <c r="J128" i="1"/>
  <c r="J166" i="1"/>
  <c r="I232" i="1"/>
  <c r="I89" i="1"/>
  <c r="K101" i="1"/>
  <c r="K184" i="1" s="1"/>
  <c r="L62" i="1"/>
  <c r="L59" i="1"/>
  <c r="J215" i="1" l="1"/>
  <c r="J26" i="2"/>
  <c r="J28" i="2" s="1"/>
  <c r="K196" i="1"/>
  <c r="J211" i="1"/>
  <c r="J135" i="1"/>
  <c r="J119" i="1"/>
  <c r="I93" i="1"/>
  <c r="I172" i="1"/>
  <c r="K82" i="1"/>
  <c r="K164" i="1"/>
  <c r="L61" i="1"/>
  <c r="L76" i="1"/>
  <c r="I103" i="1" l="1"/>
  <c r="I176" i="1"/>
  <c r="K165" i="1"/>
  <c r="K114" i="1"/>
  <c r="K83" i="1"/>
  <c r="L78" i="1"/>
  <c r="L20" i="2" s="1"/>
  <c r="L159" i="1"/>
  <c r="J149" i="1"/>
  <c r="J218" i="1"/>
  <c r="J202" i="1"/>
  <c r="J121" i="1"/>
  <c r="J204" i="1" s="1"/>
  <c r="L64" i="1"/>
  <c r="L67" i="1" s="1"/>
  <c r="M58" i="1" s="1"/>
  <c r="L99" i="1"/>
  <c r="L182" i="1" s="1"/>
  <c r="L21" i="2" l="1"/>
  <c r="L22" i="2" s="1"/>
  <c r="L30" i="2"/>
  <c r="J232" i="1"/>
  <c r="J89" i="1"/>
  <c r="L81" i="1"/>
  <c r="L161" i="1"/>
  <c r="K132" i="1"/>
  <c r="K197" i="1"/>
  <c r="K117" i="1"/>
  <c r="K200" i="1" s="1"/>
  <c r="K128" i="1"/>
  <c r="K166" i="1"/>
  <c r="I123" i="1"/>
  <c r="I206" i="1" s="1"/>
  <c r="I186" i="1"/>
  <c r="L113" i="1"/>
  <c r="L101" i="1"/>
  <c r="L184" i="1" s="1"/>
  <c r="M62" i="1"/>
  <c r="M59" i="1"/>
  <c r="K215" i="1" l="1"/>
  <c r="K26" i="2"/>
  <c r="K28" i="2" s="1"/>
  <c r="L82" i="1"/>
  <c r="L164" i="1"/>
  <c r="K211" i="1"/>
  <c r="K135" i="1"/>
  <c r="K119" i="1"/>
  <c r="L196" i="1"/>
  <c r="J93" i="1"/>
  <c r="J172" i="1"/>
  <c r="M61" i="1"/>
  <c r="M76" i="1"/>
  <c r="K202" i="1" l="1"/>
  <c r="K121" i="1"/>
  <c r="K204" i="1" s="1"/>
  <c r="J103" i="1"/>
  <c r="J176" i="1"/>
  <c r="M78" i="1"/>
  <c r="M20" i="2" s="1"/>
  <c r="M159" i="1"/>
  <c r="K149" i="1"/>
  <c r="K218" i="1"/>
  <c r="L165" i="1"/>
  <c r="L83" i="1"/>
  <c r="L114" i="1"/>
  <c r="M64" i="1"/>
  <c r="M67" i="1" s="1"/>
  <c r="N58" i="1" s="1"/>
  <c r="M99" i="1"/>
  <c r="M182" i="1" s="1"/>
  <c r="M21" i="2" l="1"/>
  <c r="M22" i="2" s="1"/>
  <c r="M30" i="2"/>
  <c r="L128" i="1"/>
  <c r="L166" i="1"/>
  <c r="K232" i="1"/>
  <c r="K89" i="1"/>
  <c r="M81" i="1"/>
  <c r="M161" i="1"/>
  <c r="L132" i="1"/>
  <c r="L197" i="1"/>
  <c r="L117" i="1"/>
  <c r="L200" i="1" s="1"/>
  <c r="J123" i="1"/>
  <c r="J206" i="1" s="1"/>
  <c r="J186" i="1"/>
  <c r="M113" i="1"/>
  <c r="M101" i="1"/>
  <c r="M184" i="1" s="1"/>
  <c r="N62" i="1"/>
  <c r="N59" i="1"/>
  <c r="L215" i="1" l="1"/>
  <c r="L26" i="2"/>
  <c r="L28" i="2" s="1"/>
  <c r="M82" i="1"/>
  <c r="M164" i="1"/>
  <c r="M196" i="1"/>
  <c r="K172" i="1"/>
  <c r="K93" i="1"/>
  <c r="L211" i="1"/>
  <c r="L135" i="1"/>
  <c r="L119" i="1"/>
  <c r="N76" i="1"/>
  <c r="N61" i="1"/>
  <c r="K103" i="1" l="1"/>
  <c r="K176" i="1"/>
  <c r="L149" i="1"/>
  <c r="L218" i="1"/>
  <c r="N78" i="1"/>
  <c r="N20" i="2" s="1"/>
  <c r="N159" i="1"/>
  <c r="L202" i="1"/>
  <c r="L121" i="1"/>
  <c r="L204" i="1" s="1"/>
  <c r="M165" i="1"/>
  <c r="M83" i="1"/>
  <c r="M114" i="1"/>
  <c r="N64" i="1"/>
  <c r="N67" i="1" s="1"/>
  <c r="O58" i="1" s="1"/>
  <c r="N99" i="1"/>
  <c r="N182" i="1" s="1"/>
  <c r="N21" i="2" l="1"/>
  <c r="N22" i="2" s="1"/>
  <c r="N30" i="2"/>
  <c r="N81" i="1"/>
  <c r="N161" i="1"/>
  <c r="M132" i="1"/>
  <c r="M197" i="1"/>
  <c r="M117" i="1"/>
  <c r="M200" i="1" s="1"/>
  <c r="M128" i="1"/>
  <c r="M166" i="1"/>
  <c r="L232" i="1"/>
  <c r="L89" i="1"/>
  <c r="K123" i="1"/>
  <c r="K206" i="1" s="1"/>
  <c r="K186" i="1"/>
  <c r="N113" i="1"/>
  <c r="N196" i="1" s="1"/>
  <c r="N101" i="1"/>
  <c r="N184" i="1" s="1"/>
  <c r="O62" i="1"/>
  <c r="O59" i="1"/>
  <c r="M215" i="1" l="1"/>
  <c r="M26" i="2"/>
  <c r="M28" i="2" s="1"/>
  <c r="M211" i="1"/>
  <c r="M135" i="1"/>
  <c r="M119" i="1"/>
  <c r="L93" i="1"/>
  <c r="L172" i="1"/>
  <c r="N82" i="1"/>
  <c r="N164" i="1"/>
  <c r="O61" i="1"/>
  <c r="O76" i="1"/>
  <c r="N165" i="1" l="1"/>
  <c r="N114" i="1"/>
  <c r="N83" i="1"/>
  <c r="L103" i="1"/>
  <c r="L176" i="1"/>
  <c r="O78" i="1"/>
  <c r="O20" i="2" s="1"/>
  <c r="O159" i="1"/>
  <c r="M149" i="1"/>
  <c r="M218" i="1"/>
  <c r="M202" i="1"/>
  <c r="M121" i="1"/>
  <c r="M204" i="1" s="1"/>
  <c r="O64" i="1"/>
  <c r="O67" i="1" s="1"/>
  <c r="P58" i="1" s="1"/>
  <c r="O99" i="1"/>
  <c r="O182" i="1" s="1"/>
  <c r="O21" i="2" l="1"/>
  <c r="O22" i="2" s="1"/>
  <c r="O30" i="2"/>
  <c r="M232" i="1"/>
  <c r="M89" i="1"/>
  <c r="O81" i="1"/>
  <c r="O161" i="1"/>
  <c r="L123" i="1"/>
  <c r="L206" i="1" s="1"/>
  <c r="L186" i="1"/>
  <c r="N128" i="1"/>
  <c r="N166" i="1"/>
  <c r="N132" i="1"/>
  <c r="N197" i="1"/>
  <c r="N117" i="1"/>
  <c r="N200" i="1" s="1"/>
  <c r="O113" i="1"/>
  <c r="O101" i="1"/>
  <c r="O184" i="1" s="1"/>
  <c r="P62" i="1"/>
  <c r="P59" i="1"/>
  <c r="N215" i="1" l="1"/>
  <c r="N26" i="2"/>
  <c r="N28" i="2" s="1"/>
  <c r="O196" i="1"/>
  <c r="M172" i="1"/>
  <c r="M93" i="1"/>
  <c r="N211" i="1"/>
  <c r="N135" i="1"/>
  <c r="N119" i="1"/>
  <c r="O82" i="1"/>
  <c r="O164" i="1"/>
  <c r="P61" i="1"/>
  <c r="P76" i="1"/>
  <c r="O165" i="1" l="1"/>
  <c r="O114" i="1"/>
  <c r="O83" i="1"/>
  <c r="N202" i="1"/>
  <c r="N121" i="1"/>
  <c r="N204" i="1" s="1"/>
  <c r="N149" i="1"/>
  <c r="N218" i="1"/>
  <c r="M103" i="1"/>
  <c r="M176" i="1"/>
  <c r="P78" i="1"/>
  <c r="P20" i="2" s="1"/>
  <c r="P159" i="1"/>
  <c r="P64" i="1"/>
  <c r="P67" i="1" s="1"/>
  <c r="P113" i="1" s="1"/>
  <c r="P99" i="1"/>
  <c r="P182" i="1" s="1"/>
  <c r="P21" i="2" l="1"/>
  <c r="P22" i="2" s="1"/>
  <c r="P30" i="2"/>
  <c r="N232" i="1"/>
  <c r="N89" i="1"/>
  <c r="O128" i="1"/>
  <c r="O166" i="1"/>
  <c r="O132" i="1"/>
  <c r="O197" i="1"/>
  <c r="O117" i="1"/>
  <c r="O200" i="1" s="1"/>
  <c r="P196" i="1"/>
  <c r="P81" i="1"/>
  <c r="P161" i="1"/>
  <c r="M123" i="1"/>
  <c r="M206" i="1" s="1"/>
  <c r="M186" i="1"/>
  <c r="Q58" i="1"/>
  <c r="Q59" i="1" s="1"/>
  <c r="P101" i="1"/>
  <c r="P184" i="1" s="1"/>
  <c r="O215" i="1" l="1"/>
  <c r="O26" i="2"/>
  <c r="O28" i="2" s="1"/>
  <c r="Q62" i="1"/>
  <c r="Q61" i="1" s="1"/>
  <c r="P82" i="1"/>
  <c r="P164" i="1"/>
  <c r="N172" i="1"/>
  <c r="N93" i="1"/>
  <c r="O211" i="1"/>
  <c r="O135" i="1"/>
  <c r="O119" i="1"/>
  <c r="Q76" i="1"/>
  <c r="O202" i="1" l="1"/>
  <c r="O121" i="1"/>
  <c r="O204" i="1" s="1"/>
  <c r="O149" i="1"/>
  <c r="O218" i="1"/>
  <c r="P165" i="1"/>
  <c r="P114" i="1"/>
  <c r="P83" i="1"/>
  <c r="N103" i="1"/>
  <c r="N176" i="1"/>
  <c r="Q78" i="1"/>
  <c r="Q20" i="2" s="1"/>
  <c r="Q159" i="1"/>
  <c r="Q64" i="1"/>
  <c r="Q67" i="1" s="1"/>
  <c r="Q113" i="1" s="1"/>
  <c r="Q196" i="1" s="1"/>
  <c r="Q99" i="1"/>
  <c r="Q21" i="2" l="1"/>
  <c r="Q22" i="2" s="1"/>
  <c r="Q30" i="2"/>
  <c r="L5" i="2" s="1"/>
  <c r="L8" i="2" s="1"/>
  <c r="P128" i="1"/>
  <c r="P166" i="1"/>
  <c r="Q101" i="1"/>
  <c r="Q184" i="1" s="1"/>
  <c r="Q182" i="1"/>
  <c r="P132" i="1"/>
  <c r="P197" i="1"/>
  <c r="P117" i="1"/>
  <c r="P200" i="1" s="1"/>
  <c r="O232" i="1"/>
  <c r="O89" i="1"/>
  <c r="Q81" i="1"/>
  <c r="Q161" i="1"/>
  <c r="N123" i="1"/>
  <c r="N206" i="1" s="1"/>
  <c r="N186" i="1"/>
  <c r="P215" i="1" l="1"/>
  <c r="P26" i="2"/>
  <c r="P28" i="2" s="1"/>
  <c r="Q82" i="1"/>
  <c r="Q164" i="1"/>
  <c r="O172" i="1"/>
  <c r="O93" i="1"/>
  <c r="P211" i="1"/>
  <c r="P135" i="1"/>
  <c r="P119" i="1"/>
  <c r="P149" i="1" l="1"/>
  <c r="P218" i="1"/>
  <c r="O103" i="1"/>
  <c r="O176" i="1"/>
  <c r="P202" i="1"/>
  <c r="P121" i="1"/>
  <c r="P204" i="1" s="1"/>
  <c r="Q165" i="1"/>
  <c r="Q114" i="1"/>
  <c r="Q83" i="1"/>
  <c r="O123" i="1" l="1"/>
  <c r="O206" i="1" s="1"/>
  <c r="O186" i="1"/>
  <c r="Q128" i="1"/>
  <c r="Q166" i="1"/>
  <c r="Q197" i="1"/>
  <c r="Q132" i="1"/>
  <c r="Q117" i="1"/>
  <c r="Q200" i="1" s="1"/>
  <c r="P232" i="1"/>
  <c r="P89" i="1"/>
  <c r="Q215" i="1" l="1"/>
  <c r="Q26" i="2"/>
  <c r="Q28" i="2" s="1"/>
  <c r="Q211" i="1"/>
  <c r="Q135" i="1"/>
  <c r="Q119" i="1"/>
  <c r="P172" i="1"/>
  <c r="P93" i="1"/>
  <c r="H34" i="2" l="1"/>
  <c r="Q5" i="2"/>
  <c r="Q8" i="2" s="1"/>
  <c r="Q149" i="1"/>
  <c r="Q218" i="1"/>
  <c r="P103" i="1"/>
  <c r="P176" i="1"/>
  <c r="Q202" i="1"/>
  <c r="Q121" i="1"/>
  <c r="L7" i="2" l="1"/>
  <c r="L10" i="2" s="1"/>
  <c r="L13" i="2" s="1"/>
  <c r="L14" i="2" s="1"/>
  <c r="L15" i="2" s="1"/>
  <c r="Q7" i="2"/>
  <c r="Q10" i="2" s="1"/>
  <c r="Q13" i="2" s="1"/>
  <c r="Q14" i="2" s="1"/>
  <c r="Q15" i="2" s="1"/>
  <c r="P123" i="1"/>
  <c r="P206" i="1" s="1"/>
  <c r="P186" i="1"/>
  <c r="Q204" i="1"/>
  <c r="Q232" i="1"/>
  <c r="Q89" i="1"/>
  <c r="Q93" i="1" l="1"/>
  <c r="Q172" i="1"/>
  <c r="Q103" i="1" l="1"/>
  <c r="Q176" i="1"/>
  <c r="Q186" i="1" l="1"/>
  <c r="Q123" i="1"/>
  <c r="Q2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7" authorId="0" shapeId="0" xr:uid="{75465474-C23D-4AC0-9F4E-42256EE9ECC6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WACC is same as Cost of Equity since no debt</t>
        </r>
      </text>
    </comment>
  </commentList>
</comments>
</file>

<file path=xl/sharedStrings.xml><?xml version="1.0" encoding="utf-8"?>
<sst xmlns="http://schemas.openxmlformats.org/spreadsheetml/2006/main" count="280" uniqueCount="160">
  <si>
    <t>Company Name:</t>
  </si>
  <si>
    <t>Ticker:</t>
  </si>
  <si>
    <t>Effective Tax Rate:</t>
  </si>
  <si>
    <t>Conversion Unit:</t>
  </si>
  <si>
    <t>Current Share Price</t>
  </si>
  <si>
    <t>Diluted Shares Counts:</t>
  </si>
  <si>
    <t>Exchange Rate:</t>
  </si>
  <si>
    <t>Cases:</t>
  </si>
  <si>
    <t>Historical:</t>
  </si>
  <si>
    <t>Projected:</t>
  </si>
  <si>
    <t>Financial Statements Drivers</t>
  </si>
  <si>
    <t>Units:</t>
  </si>
  <si>
    <t>Income Statement Driver:</t>
  </si>
  <si>
    <t>Balance Sheet Drivers:</t>
  </si>
  <si>
    <t>Historical</t>
  </si>
  <si>
    <t>Cash Flow Statement Drivers:</t>
  </si>
  <si>
    <t>Income Statements</t>
  </si>
  <si>
    <t>Balance Sheet Statement</t>
  </si>
  <si>
    <t>Cash Flow Statement</t>
  </si>
  <si>
    <t>Assumptions:</t>
  </si>
  <si>
    <t>Termianl Value-EBITDA Multiple</t>
  </si>
  <si>
    <t>Termianl Value-Perpetuity Growth</t>
  </si>
  <si>
    <t>Company Ticker:</t>
  </si>
  <si>
    <t>Baseline Growth Rate</t>
  </si>
  <si>
    <t>Baseline Terminal Value:</t>
  </si>
  <si>
    <t>Valuation Date:</t>
  </si>
  <si>
    <t>Baseline Ratio</t>
  </si>
  <si>
    <t>PV(FCFF)</t>
  </si>
  <si>
    <t>PV(Terminal Value)</t>
  </si>
  <si>
    <t>WACC:</t>
  </si>
  <si>
    <t>Market Capitalization</t>
  </si>
  <si>
    <t>Total Enterprise Value</t>
  </si>
  <si>
    <t>Total Equity Value</t>
  </si>
  <si>
    <t>(+)Cash</t>
  </si>
  <si>
    <t>(-)Cash</t>
  </si>
  <si>
    <t>(-)Total Debt</t>
  </si>
  <si>
    <t>Implied Equity Value</t>
  </si>
  <si>
    <t>Implied Equity Share Price</t>
  </si>
  <si>
    <t>Free Cash Flow to Firm</t>
  </si>
  <si>
    <t>Aritzia Financial Model</t>
  </si>
  <si>
    <t>ATZ.TO</t>
  </si>
  <si>
    <t>Aritzia Inc</t>
  </si>
  <si>
    <t>Revenue</t>
  </si>
  <si>
    <t>COGS</t>
  </si>
  <si>
    <t>Gross Profit</t>
  </si>
  <si>
    <t>SG&amp;A</t>
  </si>
  <si>
    <t>Stock-based Compensations</t>
  </si>
  <si>
    <t>Operating Income (EBIT)</t>
  </si>
  <si>
    <t>Other Income/Expenses</t>
  </si>
  <si>
    <t>Pre-tax Income</t>
  </si>
  <si>
    <t>Income Tax Expenses</t>
  </si>
  <si>
    <t>Net Income</t>
  </si>
  <si>
    <t>ASSET</t>
  </si>
  <si>
    <t>LIABILITIES AND EQUITIES</t>
  </si>
  <si>
    <t>Aritzia Infos and Assumptions:</t>
  </si>
  <si>
    <t>Cash</t>
  </si>
  <si>
    <t>Receivable</t>
  </si>
  <si>
    <t>Inventory</t>
  </si>
  <si>
    <t>Other Current Asset</t>
  </si>
  <si>
    <t>Total Current Asset</t>
  </si>
  <si>
    <t>Current Asset</t>
  </si>
  <si>
    <t>Non-Current Asset</t>
  </si>
  <si>
    <t>PP&amp;E</t>
  </si>
  <si>
    <t>Intangible Asset</t>
  </si>
  <si>
    <t>Goodwill</t>
  </si>
  <si>
    <t>Right-of-use Asset</t>
  </si>
  <si>
    <t>Other Non-Current Asset</t>
  </si>
  <si>
    <t>Total Non-Current Asset</t>
  </si>
  <si>
    <t>Total Asset</t>
  </si>
  <si>
    <t>Account Payable</t>
  </si>
  <si>
    <t>Tax Payable</t>
  </si>
  <si>
    <t>Deffered Revenue</t>
  </si>
  <si>
    <t>Current Liability</t>
  </si>
  <si>
    <t>Total Current Liability</t>
  </si>
  <si>
    <t>Non-Current Liability</t>
  </si>
  <si>
    <t>Lease liabilities</t>
  </si>
  <si>
    <t>Deferred Tax Liablity</t>
  </si>
  <si>
    <t>Other Non-Current Liablity</t>
  </si>
  <si>
    <t>Total Non-Current Liablity</t>
  </si>
  <si>
    <t>Total Liability and Equity</t>
  </si>
  <si>
    <t>Total Debt</t>
  </si>
  <si>
    <t>Total Shareholder Equity</t>
  </si>
  <si>
    <t>Balance Check</t>
  </si>
  <si>
    <t>Canada GDP Growth Rate:</t>
  </si>
  <si>
    <t>Canada Inflation Rate:</t>
  </si>
  <si>
    <t>Discounted Cash Flow Analysis: Aritzia.</t>
  </si>
  <si>
    <t>CASH FLOW FROM OPERATION</t>
  </si>
  <si>
    <t>Non-Cash Adjustment:</t>
  </si>
  <si>
    <t>Net Change in Operating Asset and Liabilities</t>
  </si>
  <si>
    <t>CASH FLOW FROM FINANCE</t>
  </si>
  <si>
    <t>Total Cash Flow From Finance</t>
  </si>
  <si>
    <t>Total Cash Flow From Investment</t>
  </si>
  <si>
    <t>Total Cash From Operation</t>
  </si>
  <si>
    <t>Total Change of Cash</t>
  </si>
  <si>
    <t>(+)Depreciation and Amortization</t>
  </si>
  <si>
    <t>(+)Stock-based Compensation</t>
  </si>
  <si>
    <t>(+/-)Other Items</t>
  </si>
  <si>
    <t>(-)Capital Expenditure</t>
  </si>
  <si>
    <t>(-)Intangible Asset Expenditure</t>
  </si>
  <si>
    <t>(-)Acquisition</t>
  </si>
  <si>
    <t>(+)Debt Principal Repayment</t>
  </si>
  <si>
    <t>(-)Share Repurchase</t>
  </si>
  <si>
    <t>All in Million</t>
  </si>
  <si>
    <t>Lease Expenses</t>
  </si>
  <si>
    <t>Total Revenue</t>
  </si>
  <si>
    <t>eCommer Revenue</t>
  </si>
  <si>
    <t>Retail Sales</t>
  </si>
  <si>
    <t>Number of Boutiques</t>
  </si>
  <si>
    <t>Boutiques Growth Rate</t>
  </si>
  <si>
    <t>Retail Sale per Boutique</t>
  </si>
  <si>
    <t xml:space="preserve">eCommer %Retail </t>
  </si>
  <si>
    <t>Upside</t>
  </si>
  <si>
    <t>Base</t>
  </si>
  <si>
    <t>Downside</t>
  </si>
  <si>
    <t>Retail Sale Per Boutique Growth Rate</t>
  </si>
  <si>
    <t>COGS%Revenue</t>
  </si>
  <si>
    <t>Leases Drivers:</t>
  </si>
  <si>
    <t>SG&amp;A%Revenue</t>
  </si>
  <si>
    <t>Stock-Based Compensation%Revenue</t>
  </si>
  <si>
    <t>Beginning Balance</t>
  </si>
  <si>
    <t>Lease Expense</t>
  </si>
  <si>
    <t>Principal Repayment</t>
  </si>
  <si>
    <t>Interest Payment</t>
  </si>
  <si>
    <t>New Lease</t>
  </si>
  <si>
    <t>Ending Balance</t>
  </si>
  <si>
    <t>Balance Before New Lease</t>
  </si>
  <si>
    <t>Interest Payment%Beginning Balnce</t>
  </si>
  <si>
    <t>Lease Expense%Beginning Balance</t>
  </si>
  <si>
    <t>New Lease%Revenue</t>
  </si>
  <si>
    <t>Receivable%Revenue</t>
  </si>
  <si>
    <t>Inventory%COGS</t>
  </si>
  <si>
    <t>Other Current Asset%Sale</t>
  </si>
  <si>
    <t>Deferred Tax Liability%Tax Expense</t>
  </si>
  <si>
    <t>Account Payable%COGS</t>
  </si>
  <si>
    <t>Deferred Revenue%Revenue</t>
  </si>
  <si>
    <t>D&amp;A%Revenue</t>
  </si>
  <si>
    <t>(+/-)Change in DTL</t>
  </si>
  <si>
    <t>Change in Operating Asset</t>
  </si>
  <si>
    <t>Change in Operating Liabilities</t>
  </si>
  <si>
    <t>Net Change in Working Capital</t>
  </si>
  <si>
    <t>CapEx%Sale</t>
  </si>
  <si>
    <t>USD</t>
  </si>
  <si>
    <t>CAD</t>
  </si>
  <si>
    <t>(+)Total Debt</t>
  </si>
  <si>
    <t>EBIT</t>
  </si>
  <si>
    <t>NOPAT</t>
  </si>
  <si>
    <t>(-)Income Tax Expense</t>
  </si>
  <si>
    <t>Aritzia WACC</t>
  </si>
  <si>
    <t>Cost of Equity</t>
  </si>
  <si>
    <t>Beta</t>
  </si>
  <si>
    <t>Risk Free Rate</t>
  </si>
  <si>
    <t>Equity Risk Premium</t>
  </si>
  <si>
    <t>WACC</t>
  </si>
  <si>
    <t>(+/-)Net Working Capital Investment</t>
  </si>
  <si>
    <t>EBITDA</t>
  </si>
  <si>
    <t>Days to Today (Mid-Year Convention)</t>
  </si>
  <si>
    <t>Discount Factor</t>
  </si>
  <si>
    <t>ARITZIA Financial Model &amp; DCF Analaysis</t>
  </si>
  <si>
    <t>Prepared by</t>
  </si>
  <si>
    <t>Thomas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</si>
</sst>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??_);_(@_)"/>
    <numFmt numFmtId="165" formatCode="&quot;FY&quot;yy"/>
    <numFmt numFmtId="166" formatCode="&quot;FY&quot;\ yy"/>
    <numFmt numFmtId="167" formatCode="yyyy\-mm\-dd"/>
    <numFmt numFmtId="168" formatCode="_(* #,##0.000_);_(* \(#,##0.000\);_(* &quot;-&quot;???_);_(@_)"/>
    <numFmt numFmtId="169" formatCode="0.0"/>
    <numFmt numFmtId="170" formatCode="0.00;0.00;&quot;OK&quot;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FFFFFF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rgb="FFFFFFFF"/>
      <name val="Calibri"/>
      <family val="2"/>
    </font>
    <font>
      <b/>
      <sz val="15"/>
      <color theme="1"/>
      <name val="Calibri"/>
      <family val="2"/>
      <scheme val="minor"/>
    </font>
    <font>
      <b/>
      <sz val="9"/>
      <color rgb="FF000000"/>
      <name val="Arial-BoldMT"/>
    </font>
    <font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i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</fills>
  <borders count="7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0" xfId="1" applyFont="1" applyFill="1"/>
    <xf numFmtId="49" fontId="5" fillId="2" borderId="0" xfId="1" applyNumberFormat="1" applyFont="1" applyFill="1"/>
    <xf numFmtId="0" fontId="5" fillId="2" borderId="0" xfId="1" applyFont="1" applyFill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/>
    <xf numFmtId="41" fontId="6" fillId="3" borderId="1" xfId="0" applyNumberFormat="1" applyFont="1" applyFill="1" applyBorder="1" applyAlignment="1">
      <alignment horizontal="center"/>
    </xf>
    <xf numFmtId="43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49" fontId="7" fillId="0" borderId="0" xfId="0" applyNumberFormat="1" applyFont="1"/>
    <xf numFmtId="10" fontId="1" fillId="3" borderId="1" xfId="0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5" fillId="2" borderId="2" xfId="1" applyFont="1" applyFill="1" applyBorder="1" applyAlignment="1">
      <alignment horizontal="centerContinuous"/>
    </xf>
    <xf numFmtId="0" fontId="5" fillId="2" borderId="3" xfId="1" applyFont="1" applyFill="1" applyBorder="1" applyAlignment="1">
      <alignment horizontal="centerContinuous"/>
    </xf>
    <xf numFmtId="165" fontId="5" fillId="2" borderId="0" xfId="1" applyNumberFormat="1" applyFont="1" applyFill="1" applyAlignment="1">
      <alignment horizontal="center"/>
    </xf>
    <xf numFmtId="165" fontId="5" fillId="2" borderId="4" xfId="1" applyNumberFormat="1" applyFont="1" applyFill="1" applyBorder="1" applyAlignment="1">
      <alignment horizontal="center"/>
    </xf>
    <xf numFmtId="165" fontId="1" fillId="0" borderId="0" xfId="0" applyNumberFormat="1" applyFont="1"/>
    <xf numFmtId="166" fontId="2" fillId="4" borderId="5" xfId="0" applyNumberFormat="1" applyFont="1" applyFill="1" applyBorder="1"/>
    <xf numFmtId="49" fontId="2" fillId="4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49" fontId="5" fillId="2" borderId="0" xfId="1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39" fontId="6" fillId="3" borderId="1" xfId="0" applyNumberFormat="1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43" fontId="1" fillId="0" borderId="0" xfId="0" applyNumberFormat="1" applyFont="1"/>
    <xf numFmtId="167" fontId="6" fillId="3" borderId="1" xfId="0" applyNumberFormat="1" applyFont="1" applyFill="1" applyBorder="1" applyAlignment="1">
      <alignment horizontal="center"/>
    </xf>
    <xf numFmtId="0" fontId="2" fillId="5" borderId="0" xfId="0" applyFont="1" applyFill="1"/>
    <xf numFmtId="43" fontId="2" fillId="5" borderId="0" xfId="0" applyNumberFormat="1" applyFont="1" applyFill="1"/>
    <xf numFmtId="43" fontId="2" fillId="0" borderId="0" xfId="0" applyNumberFormat="1" applyFont="1"/>
    <xf numFmtId="0" fontId="1" fillId="0" borderId="0" xfId="0" applyFont="1" applyAlignment="1">
      <alignment horizontal="left" indent="1"/>
    </xf>
    <xf numFmtId="44" fontId="2" fillId="0" borderId="0" xfId="0" applyNumberFormat="1" applyFont="1"/>
    <xf numFmtId="0" fontId="11" fillId="0" borderId="0" xfId="0" applyFont="1"/>
    <xf numFmtId="168" fontId="6" fillId="3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 indent="1"/>
    </xf>
    <xf numFmtId="0" fontId="1" fillId="0" borderId="5" xfId="0" applyFont="1" applyBorder="1"/>
    <xf numFmtId="3" fontId="2" fillId="0" borderId="0" xfId="0" applyNumberFormat="1" applyFont="1"/>
    <xf numFmtId="1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3" fontId="12" fillId="0" borderId="0" xfId="0" applyNumberFormat="1" applyFont="1"/>
    <xf numFmtId="43" fontId="1" fillId="0" borderId="5" xfId="0" applyNumberFormat="1" applyFont="1" applyBorder="1"/>
    <xf numFmtId="0" fontId="1" fillId="0" borderId="5" xfId="0" applyFont="1" applyBorder="1" applyAlignment="1">
      <alignment horizontal="left" indent="2"/>
    </xf>
    <xf numFmtId="44" fontId="1" fillId="0" borderId="0" xfId="0" applyNumberFormat="1" applyFont="1"/>
    <xf numFmtId="0" fontId="2" fillId="0" borderId="5" xfId="0" applyFont="1" applyBorder="1"/>
    <xf numFmtId="43" fontId="2" fillId="0" borderId="5" xfId="0" applyNumberFormat="1" applyFont="1" applyBorder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2" fillId="0" borderId="5" xfId="0" applyFont="1" applyBorder="1" applyAlignment="1">
      <alignment horizontal="left" indent="1"/>
    </xf>
    <xf numFmtId="4" fontId="1" fillId="3" borderId="1" xfId="0" applyNumberFormat="1" applyFont="1" applyFill="1" applyBorder="1" applyAlignment="1">
      <alignment horizontal="center"/>
    </xf>
    <xf numFmtId="169" fontId="1" fillId="3" borderId="1" xfId="0" applyNumberFormat="1" applyFont="1" applyFill="1" applyBorder="1" applyAlignment="1">
      <alignment horizontal="center"/>
    </xf>
    <xf numFmtId="0" fontId="13" fillId="0" borderId="0" xfId="0" applyFont="1"/>
    <xf numFmtId="37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left" indent="3"/>
    </xf>
    <xf numFmtId="10" fontId="2" fillId="0" borderId="0" xfId="0" applyNumberFormat="1" applyFont="1"/>
    <xf numFmtId="0" fontId="2" fillId="0" borderId="0" xfId="0" applyFont="1" applyAlignment="1">
      <alignment horizontal="left"/>
    </xf>
    <xf numFmtId="43" fontId="1" fillId="3" borderId="6" xfId="0" applyNumberFormat="1" applyFont="1" applyFill="1" applyBorder="1" applyAlignment="1">
      <alignment horizontal="center"/>
    </xf>
    <xf numFmtId="43" fontId="1" fillId="3" borderId="1" xfId="0" applyNumberFormat="1" applyFont="1" applyFill="1" applyBorder="1" applyAlignment="1">
      <alignment horizontal="center"/>
    </xf>
    <xf numFmtId="170" fontId="2" fillId="0" borderId="0" xfId="0" applyNumberFormat="1" applyFont="1"/>
    <xf numFmtId="44" fontId="14" fillId="0" borderId="0" xfId="0" applyNumberFormat="1" applyFont="1"/>
    <xf numFmtId="43" fontId="6" fillId="0" borderId="0" xfId="0" applyNumberFormat="1" applyFont="1"/>
    <xf numFmtId="43" fontId="6" fillId="0" borderId="5" xfId="0" applyNumberFormat="1" applyFont="1" applyBorder="1"/>
    <xf numFmtId="44" fontId="6" fillId="0" borderId="0" xfId="0" applyNumberFormat="1" applyFont="1"/>
    <xf numFmtId="43" fontId="14" fillId="0" borderId="5" xfId="0" applyNumberFormat="1" applyFont="1" applyBorder="1"/>
    <xf numFmtId="44" fontId="15" fillId="0" borderId="0" xfId="0" applyNumberFormat="1" applyFont="1"/>
    <xf numFmtId="43" fontId="16" fillId="0" borderId="0" xfId="0" applyNumberFormat="1" applyFont="1"/>
    <xf numFmtId="44" fontId="19" fillId="0" borderId="0" xfId="0" applyNumberFormat="1" applyFont="1"/>
    <xf numFmtId="43" fontId="20" fillId="0" borderId="5" xfId="0" applyNumberFormat="1" applyFont="1" applyBorder="1"/>
    <xf numFmtId="43" fontId="19" fillId="0" borderId="0" xfId="0" applyNumberFormat="1" applyFont="1"/>
    <xf numFmtId="43" fontId="20" fillId="0" borderId="0" xfId="0" applyNumberFormat="1" applyFont="1"/>
    <xf numFmtId="0" fontId="20" fillId="0" borderId="0" xfId="0" applyFont="1"/>
    <xf numFmtId="0" fontId="19" fillId="0" borderId="0" xfId="0" applyFont="1"/>
    <xf numFmtId="44" fontId="20" fillId="0" borderId="0" xfId="0" applyNumberFormat="1" applyFont="1"/>
    <xf numFmtId="43" fontId="19" fillId="0" borderId="5" xfId="0" applyNumberFormat="1" applyFont="1" applyBorder="1"/>
    <xf numFmtId="0" fontId="18" fillId="0" borderId="0" xfId="0" applyFont="1"/>
    <xf numFmtId="0" fontId="17" fillId="0" borderId="0" xfId="0" applyFont="1"/>
    <xf numFmtId="0" fontId="17" fillId="6" borderId="0" xfId="0" applyFont="1" applyFill="1"/>
    <xf numFmtId="2" fontId="6" fillId="3" borderId="1" xfId="0" applyNumberFormat="1" applyFont="1" applyFill="1" applyBorder="1" applyAlignment="1">
      <alignment horizontal="center"/>
    </xf>
    <xf numFmtId="0" fontId="23" fillId="7" borderId="0" xfId="1" applyFont="1" applyFill="1"/>
    <xf numFmtId="0" fontId="24" fillId="7" borderId="0" xfId="1" applyFont="1" applyFill="1" applyAlignment="1">
      <alignment horizontal="center"/>
    </xf>
    <xf numFmtId="43" fontId="23" fillId="7" borderId="0" xfId="1" applyNumberFormat="1" applyFont="1" applyFill="1"/>
    <xf numFmtId="0" fontId="23" fillId="8" borderId="0" xfId="1" applyFont="1" applyFill="1"/>
    <xf numFmtId="0" fontId="24" fillId="8" borderId="0" xfId="1" applyFont="1" applyFill="1" applyAlignment="1">
      <alignment horizontal="center"/>
    </xf>
    <xf numFmtId="43" fontId="23" fillId="8" borderId="0" xfId="1" applyNumberFormat="1" applyFont="1" applyFill="1"/>
    <xf numFmtId="2" fontId="0" fillId="0" borderId="0" xfId="0" applyNumberFormat="1"/>
  </cellXfs>
  <cellStyles count="2">
    <cellStyle name="Normal" xfId="0" builtinId="0"/>
    <cellStyle name="Normal 2" xfId="1" xr:uid="{1C5DB6FA-1DC9-4D75-A0B4-263D5DA7DA4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2</xdr:row>
      <xdr:rowOff>113383</xdr:rowOff>
    </xdr:from>
    <xdr:to>
      <xdr:col>5</xdr:col>
      <xdr:colOff>304800</xdr:colOff>
      <xdr:row>5</xdr:row>
      <xdr:rowOff>79587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525E76-2761-9F22-672E-85A56BF75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509623"/>
          <a:ext cx="1455420" cy="560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B50-EF8A-434B-9483-81FBD7F27D1C}">
  <dimension ref="D7:G9"/>
  <sheetViews>
    <sheetView showGridLines="0" tabSelected="1" workbookViewId="0">
      <selection activeCell="E9" sqref="E9"/>
    </sheetView>
  </sheetViews>
  <sheetFormatPr defaultRowHeight="15.6"/>
  <cols>
    <col min="1" max="2" width="1.77734375" style="1" customWidth="1"/>
    <col min="3" max="16384" width="8.88671875" style="1"/>
  </cols>
  <sheetData>
    <row r="7" spans="4:7" ht="19.8">
      <c r="D7" s="36" t="s">
        <v>157</v>
      </c>
    </row>
    <row r="9" spans="4:7">
      <c r="E9" s="1" t="s">
        <v>158</v>
      </c>
      <c r="G9" s="2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3"/>
  <sheetViews>
    <sheetView showGridLines="0" zoomScale="70" zoomScaleNormal="70" workbookViewId="0">
      <selection activeCell="D12" sqref="D12"/>
    </sheetView>
  </sheetViews>
  <sheetFormatPr defaultRowHeight="15.6" outlineLevelRow="1" outlineLevelCol="1"/>
  <cols>
    <col min="1" max="2" width="1.77734375" style="1" customWidth="1"/>
    <col min="3" max="3" width="39.109375" style="1" bestFit="1" customWidth="1"/>
    <col min="4" max="4" width="13.77734375" style="1" customWidth="1"/>
    <col min="5" max="7" width="15.77734375" style="1" customWidth="1" outlineLevel="1"/>
    <col min="8" max="8" width="16.6640625" style="1" bestFit="1" customWidth="1"/>
    <col min="9" max="17" width="15.77734375" style="1" customWidth="1"/>
    <col min="18" max="16384" width="8.88671875" style="1"/>
  </cols>
  <sheetData>
    <row r="1" spans="1:18" ht="18">
      <c r="A1" s="3" t="s">
        <v>39</v>
      </c>
    </row>
    <row r="2" spans="1:18" ht="18">
      <c r="A2" s="54" t="s">
        <v>102</v>
      </c>
    </row>
    <row r="3" spans="1:18">
      <c r="B3" s="4" t="s">
        <v>54</v>
      </c>
      <c r="C3" s="5"/>
      <c r="D3" s="5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C4" s="1" t="s">
        <v>0</v>
      </c>
      <c r="D4" s="7" t="s">
        <v>41</v>
      </c>
    </row>
    <row r="5" spans="1:18">
      <c r="C5" s="1" t="s">
        <v>1</v>
      </c>
      <c r="D5" s="7" t="s">
        <v>40</v>
      </c>
    </row>
    <row r="6" spans="1:18">
      <c r="C6" s="12" t="s">
        <v>2</v>
      </c>
      <c r="D6" s="7">
        <f>-G82/G81</f>
        <v>0.28891955103541594</v>
      </c>
    </row>
    <row r="7" spans="1:18">
      <c r="C7" s="12" t="s">
        <v>3</v>
      </c>
      <c r="D7" s="41">
        <v>1000</v>
      </c>
    </row>
    <row r="8" spans="1:18">
      <c r="C8" s="12" t="s">
        <v>4</v>
      </c>
      <c r="D8" s="52">
        <v>24.12</v>
      </c>
    </row>
    <row r="9" spans="1:18">
      <c r="C9" s="12" t="s">
        <v>5</v>
      </c>
      <c r="D9" s="53">
        <v>90.3</v>
      </c>
    </row>
    <row r="10" spans="1:18">
      <c r="C10" s="8" t="s">
        <v>6</v>
      </c>
      <c r="D10" s="37">
        <v>0.75</v>
      </c>
    </row>
    <row r="11" spans="1:18">
      <c r="C11" s="8"/>
      <c r="D11" s="8"/>
    </row>
    <row r="12" spans="1:18">
      <c r="C12" s="8" t="s">
        <v>7</v>
      </c>
      <c r="D12" s="13" t="s">
        <v>112</v>
      </c>
    </row>
    <row r="13" spans="1:18">
      <c r="C13" s="8" t="s">
        <v>83</v>
      </c>
      <c r="D13" s="13">
        <v>1.7000000000000001E-2</v>
      </c>
    </row>
    <row r="14" spans="1:18">
      <c r="C14" s="8" t="s">
        <v>84</v>
      </c>
      <c r="D14" s="13">
        <v>0.02</v>
      </c>
    </row>
    <row r="16" spans="1:18">
      <c r="B16" s="4" t="s">
        <v>142</v>
      </c>
      <c r="C16" s="5"/>
      <c r="D16" s="14"/>
      <c r="E16" s="15" t="s">
        <v>14</v>
      </c>
      <c r="F16" s="15"/>
      <c r="G16" s="16"/>
      <c r="H16" s="16" t="s">
        <v>9</v>
      </c>
      <c r="I16" s="15"/>
      <c r="J16" s="15"/>
      <c r="K16" s="15"/>
      <c r="L16" s="15"/>
      <c r="M16" s="15"/>
      <c r="N16" s="15"/>
      <c r="O16" s="15"/>
      <c r="P16" s="15"/>
      <c r="Q16" s="16"/>
    </row>
    <row r="17" spans="1:17" s="19" customFormat="1">
      <c r="A17" s="1"/>
      <c r="B17" s="4" t="s">
        <v>10</v>
      </c>
      <c r="C17" s="5"/>
      <c r="D17" s="24" t="s">
        <v>11</v>
      </c>
      <c r="E17" s="17">
        <f>DATE(2020,12,31)</f>
        <v>44196</v>
      </c>
      <c r="F17" s="17">
        <f t="shared" ref="F17" si="0">EDATE(E17,12)</f>
        <v>44561</v>
      </c>
      <c r="G17" s="17">
        <f t="shared" ref="G17" si="1">EDATE(F17,12)</f>
        <v>44926</v>
      </c>
      <c r="H17" s="17">
        <f t="shared" ref="H17" si="2">EDATE(G17,12)</f>
        <v>45291</v>
      </c>
      <c r="I17" s="17">
        <f t="shared" ref="I17" si="3">EDATE(H17,12)</f>
        <v>45657</v>
      </c>
      <c r="J17" s="17">
        <f t="shared" ref="J17" si="4">EDATE(I17,12)</f>
        <v>46022</v>
      </c>
      <c r="K17" s="17">
        <f t="shared" ref="K17" si="5">EDATE(J17,12)</f>
        <v>46387</v>
      </c>
      <c r="L17" s="17">
        <f t="shared" ref="L17" si="6">EDATE(K17,12)</f>
        <v>46752</v>
      </c>
      <c r="M17" s="17">
        <f t="shared" ref="M17" si="7">EDATE(L17,12)</f>
        <v>47118</v>
      </c>
      <c r="N17" s="17">
        <f t="shared" ref="N17" si="8">EDATE(M17,12)</f>
        <v>47483</v>
      </c>
      <c r="O17" s="17">
        <f t="shared" ref="O17" si="9">EDATE(N17,12)</f>
        <v>47848</v>
      </c>
      <c r="P17" s="17">
        <f t="shared" ref="P17" si="10">EDATE(O17,12)</f>
        <v>48213</v>
      </c>
      <c r="Q17" s="17">
        <f t="shared" ref="Q17" si="11">EDATE(P17,12)</f>
        <v>48579</v>
      </c>
    </row>
    <row r="18" spans="1:17" outlineLevel="1">
      <c r="B18" s="20" t="s">
        <v>12</v>
      </c>
      <c r="C18" s="2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s="2" customFormat="1" outlineLevel="1">
      <c r="C19" s="2" t="s">
        <v>104</v>
      </c>
      <c r="E19" s="63">
        <v>857.32299999999998</v>
      </c>
      <c r="F19" s="63">
        <v>1494.63</v>
      </c>
      <c r="G19" s="63">
        <v>2195.63</v>
      </c>
      <c r="H19" s="35">
        <f>H20+H21</f>
        <v>2753.1460007999999</v>
      </c>
      <c r="I19" s="35">
        <f t="shared" ref="I19:Q19" si="12">I20+I21</f>
        <v>3330.9998374910397</v>
      </c>
      <c r="J19" s="35">
        <f t="shared" si="12"/>
        <v>3945.7586991113876</v>
      </c>
      <c r="K19" s="35">
        <f t="shared" si="12"/>
        <v>4330.0631796816579</v>
      </c>
      <c r="L19" s="35">
        <f t="shared" si="12"/>
        <v>4762.6334419915875</v>
      </c>
      <c r="M19" s="35">
        <f t="shared" si="12"/>
        <v>5238.3901230586198</v>
      </c>
      <c r="N19" s="35">
        <f t="shared" si="12"/>
        <v>5699.8922929000837</v>
      </c>
      <c r="O19" s="35">
        <f t="shared" si="12"/>
        <v>6127.7141548694926</v>
      </c>
      <c r="P19" s="35">
        <f t="shared" si="12"/>
        <v>6571.8400761671819</v>
      </c>
      <c r="Q19" s="35">
        <f t="shared" si="12"/>
        <v>6997.0701579186734</v>
      </c>
    </row>
    <row r="20" spans="1:17" outlineLevel="1">
      <c r="C20" s="34" t="s">
        <v>105</v>
      </c>
      <c r="E20" s="64">
        <v>425.92899999999997</v>
      </c>
      <c r="F20" s="64">
        <v>564.34</v>
      </c>
      <c r="G20" s="64">
        <v>769.851</v>
      </c>
      <c r="H20" s="29">
        <f>H24*H30</f>
        <v>1847.8095839999999</v>
      </c>
      <c r="I20" s="29">
        <f t="shared" ref="I20:Q20" si="13">I24*I30</f>
        <v>2313.2728182095998</v>
      </c>
      <c r="J20" s="29">
        <f t="shared" si="13"/>
        <v>2759.2718175604109</v>
      </c>
      <c r="K20" s="29">
        <f t="shared" si="13"/>
        <v>3049.3402673814489</v>
      </c>
      <c r="L20" s="29">
        <f t="shared" si="13"/>
        <v>3377.7542141784311</v>
      </c>
      <c r="M20" s="29">
        <f t="shared" si="13"/>
        <v>3741.7072307561571</v>
      </c>
      <c r="N20" s="29">
        <f t="shared" si="13"/>
        <v>4085.9442959857233</v>
      </c>
      <c r="O20" s="29">
        <f t="shared" si="13"/>
        <v>4408.4274495463978</v>
      </c>
      <c r="P20" s="29">
        <f t="shared" si="13"/>
        <v>4745.0108853192651</v>
      </c>
      <c r="Q20" s="29">
        <f t="shared" si="13"/>
        <v>5070.3406941439662</v>
      </c>
    </row>
    <row r="21" spans="1:17" outlineLevel="1">
      <c r="C21" s="34" t="s">
        <v>106</v>
      </c>
      <c r="E21" s="64">
        <v>431.39400000000001</v>
      </c>
      <c r="F21" s="64">
        <v>930.29000000000008</v>
      </c>
      <c r="G21" s="64">
        <v>1425.779</v>
      </c>
      <c r="H21" s="29">
        <f>H20*H22</f>
        <v>905.33641679999994</v>
      </c>
      <c r="I21" s="29">
        <f t="shared" ref="I21:Q21" si="14">I20*I22</f>
        <v>1017.7270192814399</v>
      </c>
      <c r="J21" s="29">
        <f t="shared" si="14"/>
        <v>1186.4868815509767</v>
      </c>
      <c r="K21" s="29">
        <f t="shared" si="14"/>
        <v>1280.7229123002085</v>
      </c>
      <c r="L21" s="29">
        <f t="shared" si="14"/>
        <v>1384.8792278131566</v>
      </c>
      <c r="M21" s="29">
        <f t="shared" si="14"/>
        <v>1496.682892302463</v>
      </c>
      <c r="N21" s="29">
        <f t="shared" si="14"/>
        <v>1613.9479969143608</v>
      </c>
      <c r="O21" s="29">
        <f t="shared" si="14"/>
        <v>1719.2867053230952</v>
      </c>
      <c r="P21" s="29">
        <f t="shared" si="14"/>
        <v>1826.8291908479171</v>
      </c>
      <c r="Q21" s="29">
        <f t="shared" si="14"/>
        <v>1926.7294637747073</v>
      </c>
    </row>
    <row r="22" spans="1:17" outlineLevel="1">
      <c r="C22" s="50" t="s">
        <v>110</v>
      </c>
      <c r="E22" s="56">
        <f>E20/E21</f>
        <v>0.98733176632034747</v>
      </c>
      <c r="F22" s="56">
        <f t="shared" ref="F22:G22" si="15">F20/F21</f>
        <v>0.60662804071848564</v>
      </c>
      <c r="G22" s="56">
        <f t="shared" si="15"/>
        <v>0.53995114249824128</v>
      </c>
      <c r="H22" s="13">
        <f>G22-0.05</f>
        <v>0.48995114249824129</v>
      </c>
      <c r="I22" s="13">
        <f t="shared" ref="I22" si="16">H22-0.05</f>
        <v>0.4399511424982413</v>
      </c>
      <c r="J22" s="13">
        <v>0.43</v>
      </c>
      <c r="K22" s="13">
        <v>0.42</v>
      </c>
      <c r="L22" s="13">
        <v>0.41</v>
      </c>
      <c r="M22" s="13">
        <v>0.4</v>
      </c>
      <c r="N22" s="13">
        <v>0.39500000000000002</v>
      </c>
      <c r="O22" s="13">
        <v>0.39</v>
      </c>
      <c r="P22" s="13">
        <v>0.38500000000000001</v>
      </c>
      <c r="Q22" s="13">
        <v>0.38</v>
      </c>
    </row>
    <row r="23" spans="1:17" outlineLevel="1">
      <c r="C23" s="34"/>
      <c r="E23" s="29"/>
      <c r="F23" s="29"/>
      <c r="G23" s="29"/>
    </row>
    <row r="24" spans="1:17" outlineLevel="1">
      <c r="C24" s="34" t="s">
        <v>109</v>
      </c>
      <c r="E24" s="29">
        <f>E21/E30</f>
        <v>4.2712277227722772</v>
      </c>
      <c r="F24" s="29">
        <f>F21/F30</f>
        <v>8.7763207547169824</v>
      </c>
      <c r="G24" s="29">
        <f>G21/G30</f>
        <v>12.506833333333333</v>
      </c>
      <c r="H24" s="29">
        <f>G24*(1+H25)</f>
        <v>15.008199999999999</v>
      </c>
      <c r="I24" s="29">
        <f t="shared" ref="I24:Q24" si="17">H24*(1+I25)</f>
        <v>17.559593999999997</v>
      </c>
      <c r="J24" s="29">
        <f t="shared" si="17"/>
        <v>19.666745279999997</v>
      </c>
      <c r="K24" s="29">
        <f t="shared" si="17"/>
        <v>20.650082543999996</v>
      </c>
      <c r="L24" s="29">
        <f t="shared" si="17"/>
        <v>21.579336258479994</v>
      </c>
      <c r="M24" s="29">
        <f t="shared" si="17"/>
        <v>22.658303071403996</v>
      </c>
      <c r="N24" s="29">
        <f t="shared" si="17"/>
        <v>23.564635194260156</v>
      </c>
      <c r="O24" s="29">
        <f t="shared" si="17"/>
        <v>24.271574250087962</v>
      </c>
      <c r="P24" s="29">
        <f t="shared" si="17"/>
        <v>24.999721477590601</v>
      </c>
      <c r="Q24" s="29">
        <f t="shared" si="17"/>
        <v>25.624714514530364</v>
      </c>
    </row>
    <row r="25" spans="1:17" outlineLevel="1">
      <c r="C25" s="50" t="s">
        <v>114</v>
      </c>
      <c r="E25" s="29"/>
      <c r="F25" s="56">
        <f>F24/E24-1</f>
        <v>1.0547536503206238</v>
      </c>
      <c r="G25" s="56">
        <f>G24/F24-1</f>
        <v>0.42506566052879546</v>
      </c>
      <c r="H25" s="56">
        <f t="shared" ref="H25:Q25" si="18">INDEX(H26:H28,MATCH(Cases,$C$32:$C$34,0))</f>
        <v>0.2</v>
      </c>
      <c r="I25" s="56">
        <f t="shared" si="18"/>
        <v>0.17</v>
      </c>
      <c r="J25" s="56">
        <f t="shared" si="18"/>
        <v>0.12000000000000001</v>
      </c>
      <c r="K25" s="56">
        <f t="shared" si="18"/>
        <v>0.05</v>
      </c>
      <c r="L25" s="56">
        <f t="shared" si="18"/>
        <v>4.4999999999999998E-2</v>
      </c>
      <c r="M25" s="56">
        <f t="shared" si="18"/>
        <v>0.05</v>
      </c>
      <c r="N25" s="56">
        <f t="shared" si="18"/>
        <v>0.04</v>
      </c>
      <c r="O25" s="56">
        <f t="shared" si="18"/>
        <v>0.03</v>
      </c>
      <c r="P25" s="56">
        <f t="shared" si="18"/>
        <v>0.03</v>
      </c>
      <c r="Q25" s="56">
        <f t="shared" si="18"/>
        <v>2.5000000000000001E-2</v>
      </c>
    </row>
    <row r="26" spans="1:17" outlineLevel="1">
      <c r="C26" s="57" t="s">
        <v>111</v>
      </c>
      <c r="E26" s="29"/>
      <c r="F26" s="56"/>
      <c r="G26" s="56"/>
      <c r="H26" s="13">
        <v>0.45</v>
      </c>
      <c r="I26" s="13">
        <f>H26-8%</f>
        <v>0.37</v>
      </c>
      <c r="J26" s="13">
        <f t="shared" ref="J26:L26" si="19">I26-8%</f>
        <v>0.28999999999999998</v>
      </c>
      <c r="K26" s="13">
        <f t="shared" si="19"/>
        <v>0.20999999999999996</v>
      </c>
      <c r="L26" s="13">
        <f t="shared" si="19"/>
        <v>0.12999999999999995</v>
      </c>
      <c r="M26" s="13">
        <v>0.12</v>
      </c>
      <c r="N26" s="13">
        <v>0.1</v>
      </c>
      <c r="O26" s="13">
        <v>0.08</v>
      </c>
      <c r="P26" s="13">
        <v>7.0000000000000007E-2</v>
      </c>
      <c r="Q26" s="13">
        <v>0.06</v>
      </c>
    </row>
    <row r="27" spans="1:17" outlineLevel="1">
      <c r="C27" s="57" t="s">
        <v>112</v>
      </c>
      <c r="E27" s="29"/>
      <c r="F27" s="56"/>
      <c r="G27" s="56"/>
      <c r="H27" s="13">
        <v>0.2</v>
      </c>
      <c r="I27" s="13">
        <v>0.17</v>
      </c>
      <c r="J27" s="13">
        <f t="shared" ref="J27" si="20">I27-5%</f>
        <v>0.12000000000000001</v>
      </c>
      <c r="K27" s="13">
        <f>J27-7%</f>
        <v>0.05</v>
      </c>
      <c r="L27" s="13">
        <v>4.4999999999999998E-2</v>
      </c>
      <c r="M27" s="13">
        <v>0.05</v>
      </c>
      <c r="N27" s="13">
        <v>0.04</v>
      </c>
      <c r="O27" s="13">
        <v>0.03</v>
      </c>
      <c r="P27" s="13">
        <v>0.03</v>
      </c>
      <c r="Q27" s="13">
        <v>2.5000000000000001E-2</v>
      </c>
    </row>
    <row r="28" spans="1:17" outlineLevel="1">
      <c r="C28" s="57" t="s">
        <v>113</v>
      </c>
      <c r="E28" s="29"/>
      <c r="F28" s="56"/>
      <c r="G28" s="56"/>
      <c r="H28" s="13">
        <v>0.15</v>
      </c>
      <c r="I28" s="13">
        <v>0.1</v>
      </c>
      <c r="J28" s="13">
        <v>0.05</v>
      </c>
      <c r="K28" s="13">
        <v>2.5065660528795469E-2</v>
      </c>
      <c r="L28" s="13">
        <v>2.0065660528795468E-2</v>
      </c>
      <c r="M28" s="13">
        <v>2.0065660528795468E-2</v>
      </c>
      <c r="N28" s="13">
        <v>2.0065660528795468E-2</v>
      </c>
      <c r="O28" s="13">
        <v>2.0065660528795468E-2</v>
      </c>
      <c r="P28" s="13">
        <v>2.0065660528795468E-2</v>
      </c>
      <c r="Q28" s="13">
        <v>2.0065660528795468E-2</v>
      </c>
    </row>
    <row r="29" spans="1:17" outlineLevel="1">
      <c r="C29" s="34"/>
      <c r="E29" s="29"/>
      <c r="F29" s="29"/>
      <c r="G29" s="29"/>
    </row>
    <row r="30" spans="1:17" outlineLevel="1">
      <c r="C30" s="34" t="s">
        <v>107</v>
      </c>
      <c r="E30" s="55">
        <v>101</v>
      </c>
      <c r="F30" s="55">
        <v>106</v>
      </c>
      <c r="G30" s="55">
        <v>114</v>
      </c>
      <c r="H30" s="55">
        <f>G30*(1+H31)</f>
        <v>123.12</v>
      </c>
      <c r="I30" s="55">
        <f t="shared" ref="I30:Q30" si="21">H30*(1+I31)</f>
        <v>131.73840000000001</v>
      </c>
      <c r="J30" s="55">
        <f t="shared" si="21"/>
        <v>140.30139600000001</v>
      </c>
      <c r="K30" s="55">
        <f t="shared" si="21"/>
        <v>147.66721929000002</v>
      </c>
      <c r="L30" s="55">
        <f t="shared" si="21"/>
        <v>156.52725244740003</v>
      </c>
      <c r="M30" s="55">
        <f t="shared" si="21"/>
        <v>165.13625133200702</v>
      </c>
      <c r="N30" s="55">
        <f t="shared" si="21"/>
        <v>173.39306389860738</v>
      </c>
      <c r="O30" s="55">
        <f t="shared" si="21"/>
        <v>181.62923443379125</v>
      </c>
      <c r="P30" s="55">
        <f t="shared" si="21"/>
        <v>189.80254998331185</v>
      </c>
      <c r="Q30" s="55">
        <f t="shared" si="21"/>
        <v>197.8691583576026</v>
      </c>
    </row>
    <row r="31" spans="1:17" outlineLevel="1">
      <c r="C31" s="50" t="s">
        <v>108</v>
      </c>
      <c r="E31" s="29"/>
      <c r="F31" s="56">
        <f>F30/E30-1</f>
        <v>4.9504950495049549E-2</v>
      </c>
      <c r="G31" s="56">
        <f>G30/F30-1</f>
        <v>7.547169811320753E-2</v>
      </c>
      <c r="H31" s="56">
        <f t="shared" ref="H31:Q31" si="22">INDEX(H32:H34,MATCH(Cases,$C$32:$C$34,0))</f>
        <v>0.08</v>
      </c>
      <c r="I31" s="56">
        <f t="shared" si="22"/>
        <v>7.0000000000000007E-2</v>
      </c>
      <c r="J31" s="56">
        <f t="shared" si="22"/>
        <v>6.5000000000000002E-2</v>
      </c>
      <c r="K31" s="56">
        <f t="shared" si="22"/>
        <v>5.2499999999999998E-2</v>
      </c>
      <c r="L31" s="56">
        <f t="shared" si="22"/>
        <v>0.06</v>
      </c>
      <c r="M31" s="56">
        <f t="shared" si="22"/>
        <v>5.5E-2</v>
      </c>
      <c r="N31" s="56">
        <f t="shared" si="22"/>
        <v>0.05</v>
      </c>
      <c r="O31" s="56">
        <f t="shared" si="22"/>
        <v>4.7500000000000001E-2</v>
      </c>
      <c r="P31" s="56">
        <f t="shared" si="22"/>
        <v>4.4999999999999998E-2</v>
      </c>
      <c r="Q31" s="56">
        <f t="shared" si="22"/>
        <v>4.2500000000000003E-2</v>
      </c>
    </row>
    <row r="32" spans="1:17" outlineLevel="1">
      <c r="C32" s="57" t="s">
        <v>111</v>
      </c>
      <c r="E32" s="29"/>
      <c r="F32" s="56"/>
      <c r="G32" s="56"/>
      <c r="H32" s="13">
        <f>G31+6%</f>
        <v>0.13547169811320753</v>
      </c>
      <c r="I32" s="13">
        <f>H32-0.8%</f>
        <v>0.12747169811320752</v>
      </c>
      <c r="J32" s="13">
        <f t="shared" ref="J32:Q32" si="23">I32-0.8%</f>
        <v>0.11947169811320751</v>
      </c>
      <c r="K32" s="13">
        <f t="shared" si="23"/>
        <v>0.11147169811320751</v>
      </c>
      <c r="L32" s="13">
        <f t="shared" si="23"/>
        <v>0.1034716981132075</v>
      </c>
      <c r="M32" s="13">
        <f t="shared" si="23"/>
        <v>9.5471698113207493E-2</v>
      </c>
      <c r="N32" s="13">
        <f t="shared" si="23"/>
        <v>8.7471698113207486E-2</v>
      </c>
      <c r="O32" s="13">
        <f t="shared" si="23"/>
        <v>7.9471698113207478E-2</v>
      </c>
      <c r="P32" s="13">
        <f t="shared" si="23"/>
        <v>7.1471698113207471E-2</v>
      </c>
      <c r="Q32" s="13">
        <f t="shared" si="23"/>
        <v>6.3471698113207464E-2</v>
      </c>
    </row>
    <row r="33" spans="2:17" outlineLevel="1">
      <c r="C33" s="57" t="s">
        <v>112</v>
      </c>
      <c r="E33" s="29"/>
      <c r="F33" s="56"/>
      <c r="G33" s="56"/>
      <c r="H33" s="13">
        <v>0.08</v>
      </c>
      <c r="I33" s="13">
        <v>7.0000000000000007E-2</v>
      </c>
      <c r="J33" s="13">
        <v>6.5000000000000002E-2</v>
      </c>
      <c r="K33" s="13">
        <v>5.2499999999999998E-2</v>
      </c>
      <c r="L33" s="13">
        <v>0.06</v>
      </c>
      <c r="M33" s="13">
        <v>5.5E-2</v>
      </c>
      <c r="N33" s="13">
        <v>0.05</v>
      </c>
      <c r="O33" s="13">
        <v>4.7500000000000001E-2</v>
      </c>
      <c r="P33" s="13">
        <v>4.4999999999999998E-2</v>
      </c>
      <c r="Q33" s="13">
        <v>4.2500000000000003E-2</v>
      </c>
    </row>
    <row r="34" spans="2:17" outlineLevel="1">
      <c r="C34" s="57" t="s">
        <v>113</v>
      </c>
      <c r="E34" s="29"/>
      <c r="F34" s="56"/>
      <c r="G34" s="56"/>
      <c r="H34" s="13">
        <v>0.05</v>
      </c>
      <c r="I34" s="13">
        <f>H34-0.5%</f>
        <v>4.5000000000000005E-2</v>
      </c>
      <c r="J34" s="13">
        <f t="shared" ref="J34:O34" si="24">I34-0.5%</f>
        <v>4.0000000000000008E-2</v>
      </c>
      <c r="K34" s="13">
        <f t="shared" si="24"/>
        <v>3.500000000000001E-2</v>
      </c>
      <c r="L34" s="13">
        <f t="shared" si="24"/>
        <v>3.0000000000000009E-2</v>
      </c>
      <c r="M34" s="13">
        <f t="shared" si="24"/>
        <v>2.5000000000000008E-2</v>
      </c>
      <c r="N34" s="13">
        <f t="shared" si="24"/>
        <v>2.0000000000000007E-2</v>
      </c>
      <c r="O34" s="13">
        <f t="shared" si="24"/>
        <v>1.5000000000000006E-2</v>
      </c>
      <c r="P34" s="13">
        <f>O34</f>
        <v>1.5000000000000006E-2</v>
      </c>
      <c r="Q34" s="13">
        <f>P34</f>
        <v>1.5000000000000006E-2</v>
      </c>
    </row>
    <row r="35" spans="2:17" outlineLevel="1">
      <c r="C35" s="50"/>
      <c r="E35" s="29"/>
      <c r="F35" s="56"/>
      <c r="G35" s="56"/>
    </row>
    <row r="36" spans="2:17" s="2" customFormat="1" outlineLevel="1">
      <c r="C36" s="59" t="s">
        <v>115</v>
      </c>
      <c r="E36" s="58">
        <f>-E72/E71</f>
        <v>0.57548205285522491</v>
      </c>
      <c r="F36" s="58">
        <f>-F72/F71</f>
        <v>0.51743776051598056</v>
      </c>
      <c r="G36" s="58">
        <f>-G72/G71</f>
        <v>0.54443417151341522</v>
      </c>
      <c r="H36" s="13">
        <f>AVERAGE(E36:G36)</f>
        <v>0.54578466162820682</v>
      </c>
      <c r="I36" s="13">
        <f>H36-0.5%</f>
        <v>0.54078466162820682</v>
      </c>
      <c r="J36" s="13">
        <f t="shared" ref="J36:O36" si="25">I36-0.5%</f>
        <v>0.53578466162820682</v>
      </c>
      <c r="K36" s="13">
        <f t="shared" si="25"/>
        <v>0.53078466162820681</v>
      </c>
      <c r="L36" s="13">
        <f t="shared" si="25"/>
        <v>0.52578466162820681</v>
      </c>
      <c r="M36" s="13">
        <f t="shared" si="25"/>
        <v>0.5207846616282068</v>
      </c>
      <c r="N36" s="13">
        <f t="shared" si="25"/>
        <v>0.5157846616282068</v>
      </c>
      <c r="O36" s="13">
        <f t="shared" si="25"/>
        <v>0.51078466162820679</v>
      </c>
      <c r="P36" s="13">
        <v>0.505</v>
      </c>
      <c r="Q36" s="13">
        <v>0.505</v>
      </c>
    </row>
    <row r="37" spans="2:17" outlineLevel="1">
      <c r="C37" s="59" t="s">
        <v>117</v>
      </c>
      <c r="E37" s="58">
        <f>-E75/E71</f>
        <v>0.2924522029620108</v>
      </c>
      <c r="F37" s="58">
        <f>-F75/F71</f>
        <v>0.26280885570341822</v>
      </c>
      <c r="G37" s="58">
        <f>-G75/G71</f>
        <v>0.27439459289588863</v>
      </c>
      <c r="H37" s="13">
        <f>AVERAGE(E37:G37)</f>
        <v>0.27655188385377255</v>
      </c>
      <c r="I37" s="13">
        <f>H37</f>
        <v>0.27655188385377255</v>
      </c>
      <c r="J37" s="13">
        <f t="shared" ref="J37:Q37" si="26">I37</f>
        <v>0.27655188385377255</v>
      </c>
      <c r="K37" s="13">
        <f t="shared" si="26"/>
        <v>0.27655188385377255</v>
      </c>
      <c r="L37" s="13">
        <f t="shared" si="26"/>
        <v>0.27655188385377255</v>
      </c>
      <c r="M37" s="13">
        <f t="shared" si="26"/>
        <v>0.27655188385377255</v>
      </c>
      <c r="N37" s="13">
        <f t="shared" si="26"/>
        <v>0.27655188385377255</v>
      </c>
      <c r="O37" s="13">
        <f t="shared" si="26"/>
        <v>0.27655188385377255</v>
      </c>
      <c r="P37" s="13">
        <f t="shared" si="26"/>
        <v>0.27655188385377255</v>
      </c>
      <c r="Q37" s="13">
        <f t="shared" si="26"/>
        <v>0.27655188385377255</v>
      </c>
    </row>
    <row r="38" spans="2:17" outlineLevel="1">
      <c r="C38" s="59" t="s">
        <v>118</v>
      </c>
      <c r="E38" s="58">
        <f>-E77/E71</f>
        <v>1.2470212510337413E-2</v>
      </c>
      <c r="F38" s="58">
        <f>-F77/F71</f>
        <v>1.7483256725744831E-2</v>
      </c>
      <c r="G38" s="58">
        <f>-G77/G71</f>
        <v>1.1098864562790633E-2</v>
      </c>
      <c r="H38" s="13">
        <f>AVERAGE(E38:G38)</f>
        <v>1.368411126629096E-2</v>
      </c>
      <c r="I38" s="13">
        <f>H38</f>
        <v>1.368411126629096E-2</v>
      </c>
      <c r="J38" s="13">
        <f t="shared" ref="J38:Q38" si="27">I38</f>
        <v>1.368411126629096E-2</v>
      </c>
      <c r="K38" s="13">
        <f t="shared" si="27"/>
        <v>1.368411126629096E-2</v>
      </c>
      <c r="L38" s="13">
        <f t="shared" si="27"/>
        <v>1.368411126629096E-2</v>
      </c>
      <c r="M38" s="13">
        <f t="shared" si="27"/>
        <v>1.368411126629096E-2</v>
      </c>
      <c r="N38" s="13">
        <f t="shared" si="27"/>
        <v>1.368411126629096E-2</v>
      </c>
      <c r="O38" s="13">
        <f t="shared" si="27"/>
        <v>1.368411126629096E-2</v>
      </c>
      <c r="P38" s="13">
        <f t="shared" si="27"/>
        <v>1.368411126629096E-2</v>
      </c>
      <c r="Q38" s="13">
        <f t="shared" si="27"/>
        <v>1.368411126629096E-2</v>
      </c>
    </row>
    <row r="39" spans="2:17" outlineLevel="1"/>
    <row r="40" spans="2:17" outlineLevel="1">
      <c r="B40" s="20" t="s">
        <v>13</v>
      </c>
      <c r="C40" s="21"/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2:17" outlineLevel="1">
      <c r="C41" s="1" t="s">
        <v>129</v>
      </c>
      <c r="E41" s="56">
        <f>E90/E71</f>
        <v>7.2341462902546652E-3</v>
      </c>
      <c r="F41" s="56">
        <f>F90/F71</f>
        <v>5.4508473669068599E-3</v>
      </c>
      <c r="G41" s="56">
        <f>G90/G71</f>
        <v>8.281905421223066E-3</v>
      </c>
      <c r="H41" s="13">
        <f>AVERAGE(E41:G41)</f>
        <v>6.9889663594615301E-3</v>
      </c>
      <c r="I41" s="13">
        <f t="shared" ref="I41:I47" si="28">H41</f>
        <v>6.9889663594615301E-3</v>
      </c>
      <c r="J41" s="13">
        <f t="shared" ref="J41:Q46" si="29">I41</f>
        <v>6.9889663594615301E-3</v>
      </c>
      <c r="K41" s="13">
        <f t="shared" si="29"/>
        <v>6.9889663594615301E-3</v>
      </c>
      <c r="L41" s="13">
        <f t="shared" si="29"/>
        <v>6.9889663594615301E-3</v>
      </c>
      <c r="M41" s="13">
        <f t="shared" si="29"/>
        <v>6.9889663594615301E-3</v>
      </c>
      <c r="N41" s="13">
        <f t="shared" si="29"/>
        <v>6.9889663594615301E-3</v>
      </c>
      <c r="O41" s="13">
        <f t="shared" si="29"/>
        <v>6.9889663594615301E-3</v>
      </c>
      <c r="P41" s="13">
        <f t="shared" si="29"/>
        <v>6.9889663594615301E-3</v>
      </c>
      <c r="Q41" s="13">
        <f t="shared" si="29"/>
        <v>6.9889663594615301E-3</v>
      </c>
    </row>
    <row r="42" spans="2:17" outlineLevel="1">
      <c r="C42" s="1" t="s">
        <v>130</v>
      </c>
      <c r="E42" s="56">
        <f>E91/-E72</f>
        <v>0.34825710313068792</v>
      </c>
      <c r="F42" s="56">
        <f t="shared" ref="F42:G42" si="30">F91/-F72</f>
        <v>0.26911161165691289</v>
      </c>
      <c r="G42" s="56">
        <f t="shared" si="30"/>
        <v>0.3912024333766112</v>
      </c>
      <c r="H42" s="13">
        <f>AVERAGE(E42:G42)</f>
        <v>0.33619038272140395</v>
      </c>
      <c r="I42" s="13">
        <f t="shared" si="28"/>
        <v>0.33619038272140395</v>
      </c>
      <c r="J42" s="13">
        <f t="shared" si="29"/>
        <v>0.33619038272140395</v>
      </c>
      <c r="K42" s="13">
        <f t="shared" si="29"/>
        <v>0.33619038272140395</v>
      </c>
      <c r="L42" s="13">
        <f t="shared" si="29"/>
        <v>0.33619038272140395</v>
      </c>
      <c r="M42" s="13">
        <f t="shared" si="29"/>
        <v>0.33619038272140395</v>
      </c>
      <c r="N42" s="13">
        <f t="shared" si="29"/>
        <v>0.33619038272140395</v>
      </c>
      <c r="O42" s="13">
        <f t="shared" si="29"/>
        <v>0.33619038272140395</v>
      </c>
      <c r="P42" s="13">
        <f t="shared" si="29"/>
        <v>0.33619038272140395</v>
      </c>
      <c r="Q42" s="13">
        <f t="shared" si="29"/>
        <v>0.33619038272140395</v>
      </c>
    </row>
    <row r="43" spans="2:17" outlineLevel="1">
      <c r="C43" s="1" t="s">
        <v>131</v>
      </c>
      <c r="E43" s="56">
        <f>E92/E71</f>
        <v>3.2859260745366679E-2</v>
      </c>
      <c r="F43" s="56">
        <f>F92/F71</f>
        <v>2.677518850819266E-2</v>
      </c>
      <c r="G43" s="56">
        <f>G92/G71</f>
        <v>1.7999389696806839E-2</v>
      </c>
      <c r="H43" s="13">
        <f>AVERAGE(E43:G43)</f>
        <v>2.587794631678873E-2</v>
      </c>
      <c r="I43" s="13">
        <f t="shared" si="28"/>
        <v>2.587794631678873E-2</v>
      </c>
      <c r="J43" s="13">
        <f t="shared" si="29"/>
        <v>2.587794631678873E-2</v>
      </c>
      <c r="K43" s="13">
        <f t="shared" si="29"/>
        <v>2.587794631678873E-2</v>
      </c>
      <c r="L43" s="13">
        <f t="shared" si="29"/>
        <v>2.587794631678873E-2</v>
      </c>
      <c r="M43" s="13">
        <f t="shared" si="29"/>
        <v>2.587794631678873E-2</v>
      </c>
      <c r="N43" s="13">
        <f t="shared" si="29"/>
        <v>2.587794631678873E-2</v>
      </c>
      <c r="O43" s="13">
        <f t="shared" si="29"/>
        <v>2.587794631678873E-2</v>
      </c>
      <c r="P43" s="13">
        <f t="shared" si="29"/>
        <v>2.587794631678873E-2</v>
      </c>
      <c r="Q43" s="13">
        <f t="shared" si="29"/>
        <v>2.587794631678873E-2</v>
      </c>
    </row>
    <row r="44" spans="2:17" outlineLevel="1">
      <c r="C44" s="1" t="s">
        <v>132</v>
      </c>
      <c r="E44" s="56">
        <f>-E114/E82</f>
        <v>0.31412186379928303</v>
      </c>
      <c r="F44" s="56">
        <f t="shared" ref="F44:G44" si="31">-F114/F82</f>
        <v>-2.4759504171785008E-2</v>
      </c>
      <c r="G44" s="56">
        <f t="shared" si="31"/>
        <v>0.11544365578136685</v>
      </c>
      <c r="H44" s="13">
        <f>AVERAGE(E44:G44)</f>
        <v>0.13493533846962161</v>
      </c>
      <c r="I44" s="13">
        <f t="shared" si="28"/>
        <v>0.13493533846962161</v>
      </c>
      <c r="J44" s="13">
        <f t="shared" si="29"/>
        <v>0.13493533846962161</v>
      </c>
      <c r="K44" s="13">
        <f t="shared" si="29"/>
        <v>0.13493533846962161</v>
      </c>
      <c r="L44" s="13">
        <f t="shared" si="29"/>
        <v>0.13493533846962161</v>
      </c>
      <c r="M44" s="13">
        <f t="shared" si="29"/>
        <v>0.13493533846962161</v>
      </c>
      <c r="N44" s="13">
        <f t="shared" si="29"/>
        <v>0.13493533846962161</v>
      </c>
      <c r="O44" s="13">
        <f t="shared" si="29"/>
        <v>0.13493533846962161</v>
      </c>
      <c r="P44" s="13">
        <f t="shared" si="29"/>
        <v>0.13493533846962161</v>
      </c>
      <c r="Q44" s="13">
        <f t="shared" si="29"/>
        <v>0.13493533846962161</v>
      </c>
    </row>
    <row r="45" spans="2:17" outlineLevel="1">
      <c r="C45" s="1" t="s">
        <v>133</v>
      </c>
      <c r="E45" s="56">
        <f>-E107/E72</f>
        <v>0.26732863912569371</v>
      </c>
      <c r="F45" s="56">
        <f t="shared" ref="F45:G45" si="32">-F107/F72</f>
        <v>0.23189695077956701</v>
      </c>
      <c r="G45" s="56">
        <f t="shared" si="32"/>
        <v>0.18547469582792359</v>
      </c>
      <c r="H45" s="13">
        <f>G45</f>
        <v>0.18547469582792359</v>
      </c>
      <c r="I45" s="13">
        <f t="shared" si="28"/>
        <v>0.18547469582792359</v>
      </c>
      <c r="J45" s="13">
        <f t="shared" si="29"/>
        <v>0.18547469582792359</v>
      </c>
      <c r="K45" s="13">
        <f t="shared" si="29"/>
        <v>0.18547469582792359</v>
      </c>
      <c r="L45" s="13">
        <f t="shared" si="29"/>
        <v>0.18547469582792359</v>
      </c>
      <c r="M45" s="13">
        <f t="shared" si="29"/>
        <v>0.18547469582792359</v>
      </c>
      <c r="N45" s="13">
        <f t="shared" si="29"/>
        <v>0.18547469582792359</v>
      </c>
      <c r="O45" s="13">
        <f t="shared" si="29"/>
        <v>0.18547469582792359</v>
      </c>
      <c r="P45" s="13">
        <f t="shared" si="29"/>
        <v>0.18547469582792359</v>
      </c>
      <c r="Q45" s="13">
        <f t="shared" si="29"/>
        <v>0.18547469582792359</v>
      </c>
    </row>
    <row r="46" spans="2:17" outlineLevel="1">
      <c r="C46" s="1" t="s">
        <v>70</v>
      </c>
      <c r="E46" s="29">
        <f>E108</f>
        <v>8.2870000000000008</v>
      </c>
      <c r="F46" s="29">
        <f t="shared" ref="F46:G46" si="33">F108</f>
        <v>58.917000000000002</v>
      </c>
      <c r="G46" s="29">
        <f t="shared" si="33"/>
        <v>0</v>
      </c>
      <c r="H46" s="61">
        <f>G46</f>
        <v>0</v>
      </c>
      <c r="I46" s="61">
        <f t="shared" si="28"/>
        <v>0</v>
      </c>
      <c r="J46" s="61">
        <f t="shared" si="29"/>
        <v>0</v>
      </c>
      <c r="K46" s="61">
        <f t="shared" si="29"/>
        <v>0</v>
      </c>
      <c r="L46" s="61">
        <f t="shared" si="29"/>
        <v>0</v>
      </c>
      <c r="M46" s="61">
        <f t="shared" si="29"/>
        <v>0</v>
      </c>
      <c r="N46" s="61">
        <f t="shared" si="29"/>
        <v>0</v>
      </c>
      <c r="O46" s="61">
        <f t="shared" si="29"/>
        <v>0</v>
      </c>
      <c r="P46" s="61">
        <f t="shared" si="29"/>
        <v>0</v>
      </c>
      <c r="Q46" s="61">
        <f t="shared" si="29"/>
        <v>0</v>
      </c>
    </row>
    <row r="47" spans="2:17" outlineLevel="1">
      <c r="C47" s="1" t="s">
        <v>134</v>
      </c>
      <c r="E47" s="56">
        <f>E109/E71</f>
        <v>4.3814291696361821E-2</v>
      </c>
      <c r="F47" s="56">
        <f>F109/F71</f>
        <v>3.7280798592293739E-2</v>
      </c>
      <c r="G47" s="56">
        <f>G109/G71</f>
        <v>3.2634369178777843E-2</v>
      </c>
      <c r="H47" s="13">
        <f>AVERAGE(E47:G47)</f>
        <v>3.7909819822477799E-2</v>
      </c>
      <c r="I47" s="13">
        <f t="shared" si="28"/>
        <v>3.7909819822477799E-2</v>
      </c>
      <c r="J47" s="13">
        <f t="shared" ref="J47:Q47" si="34">I47</f>
        <v>3.7909819822477799E-2</v>
      </c>
      <c r="K47" s="13">
        <f t="shared" si="34"/>
        <v>3.7909819822477799E-2</v>
      </c>
      <c r="L47" s="13">
        <f t="shared" si="34"/>
        <v>3.7909819822477799E-2</v>
      </c>
      <c r="M47" s="13">
        <f t="shared" si="34"/>
        <v>3.7909819822477799E-2</v>
      </c>
      <c r="N47" s="13">
        <f t="shared" si="34"/>
        <v>3.7909819822477799E-2</v>
      </c>
      <c r="O47" s="13">
        <f t="shared" si="34"/>
        <v>3.7909819822477799E-2</v>
      </c>
      <c r="P47" s="13">
        <f t="shared" si="34"/>
        <v>3.7909819822477799E-2</v>
      </c>
      <c r="Q47" s="13">
        <f t="shared" si="34"/>
        <v>3.7909819822477799E-2</v>
      </c>
    </row>
    <row r="48" spans="2:17" outlineLevel="1">
      <c r="C48" s="1" t="s">
        <v>80</v>
      </c>
      <c r="E48" s="29">
        <f>E115</f>
        <v>74.855000000000004</v>
      </c>
      <c r="F48" s="29">
        <f t="shared" ref="F48:G48" si="35">F115</f>
        <v>0</v>
      </c>
      <c r="G48" s="29">
        <f t="shared" si="35"/>
        <v>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</row>
    <row r="49" spans="2:17" outlineLevel="1"/>
    <row r="50" spans="2:17" outlineLevel="1">
      <c r="B50" s="20" t="s">
        <v>15</v>
      </c>
      <c r="C50" s="21"/>
      <c r="D50" s="22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2:17" outlineLevel="1">
      <c r="C51" s="1" t="s">
        <v>135</v>
      </c>
      <c r="E51" s="56">
        <f>E130/E71</f>
        <v>4.5339971049417782E-2</v>
      </c>
      <c r="F51" s="56">
        <f>F130/F71</f>
        <v>2.9819420190950269E-2</v>
      </c>
      <c r="G51" s="56">
        <f>G130/G71</f>
        <v>2.4072817369046696E-2</v>
      </c>
      <c r="H51" s="13">
        <v>0.02</v>
      </c>
      <c r="I51" s="13">
        <v>1.4999999999999999E-2</v>
      </c>
      <c r="J51" s="13">
        <v>1.35E-2</v>
      </c>
      <c r="K51" s="13">
        <v>1.2999999999999999E-2</v>
      </c>
      <c r="L51" s="13">
        <v>1.2500000000000001E-2</v>
      </c>
      <c r="M51" s="13">
        <v>1.2E-2</v>
      </c>
      <c r="N51" s="13">
        <v>1.15E-2</v>
      </c>
      <c r="O51" s="13">
        <v>1.0999999999999999E-2</v>
      </c>
      <c r="P51" s="13">
        <v>1.0500000000000001E-2</v>
      </c>
      <c r="Q51" s="13">
        <v>1.03E-2</v>
      </c>
    </row>
    <row r="52" spans="2:17" outlineLevel="1">
      <c r="C52" s="1" t="s">
        <v>137</v>
      </c>
      <c r="F52" s="29">
        <f>SUM(E90:E92)-SUM(F90:F92)</f>
        <v>-50.097000000000008</v>
      </c>
      <c r="G52" s="29">
        <f t="shared" ref="G52:Q52" si="36">SUM(F90:F92)-SUM(G90:G92)</f>
        <v>-269.04700000000008</v>
      </c>
      <c r="H52" s="29">
        <f t="shared" si="36"/>
        <v>-70.317435445515912</v>
      </c>
      <c r="I52" s="29">
        <f t="shared" si="36"/>
        <v>-119.42200826269698</v>
      </c>
      <c r="J52" s="29">
        <f t="shared" si="36"/>
        <v>-125.33981508945124</v>
      </c>
      <c r="K52" s="29">
        <f t="shared" si="36"/>
        <v>-74.575368349271798</v>
      </c>
      <c r="L52" s="29">
        <f t="shared" si="36"/>
        <v>-83.401361292849174</v>
      </c>
      <c r="M52" s="29">
        <f t="shared" si="36"/>
        <v>-90.927704815973243</v>
      </c>
      <c r="N52" s="29">
        <f t="shared" si="36"/>
        <v>-86.387996318728028</v>
      </c>
      <c r="O52" s="29">
        <f t="shared" si="36"/>
        <v>-77.945890196994242</v>
      </c>
      <c r="P52" s="29">
        <f t="shared" si="36"/>
        <v>-78.082176481393162</v>
      </c>
      <c r="Q52" s="29">
        <f t="shared" si="36"/>
        <v>-86.169923248228315</v>
      </c>
    </row>
    <row r="53" spans="2:17" outlineLevel="1">
      <c r="C53" s="1" t="s">
        <v>138</v>
      </c>
      <c r="F53" s="29">
        <f>SUM(F107:F109)-SUM(E107:E109)</f>
        <v>116.23899999999998</v>
      </c>
      <c r="G53" s="29">
        <f t="shared" ref="G53:Q53" si="37">SUM(G107:G109)-SUM(F107:F109)</f>
        <v>-0.6169999999999618</v>
      </c>
      <c r="H53" s="29">
        <f t="shared" si="37"/>
        <v>89.705157401588963</v>
      </c>
      <c r="I53" s="29">
        <f t="shared" si="37"/>
        <v>77.312961014651535</v>
      </c>
      <c r="J53" s="29">
        <f t="shared" si="37"/>
        <v>81.307669508797687</v>
      </c>
      <c r="K53" s="29">
        <f t="shared" si="37"/>
        <v>48.743392366702437</v>
      </c>
      <c r="L53" s="29">
        <f t="shared" si="37"/>
        <v>54.567218867459815</v>
      </c>
      <c r="M53" s="29">
        <f t="shared" si="37"/>
        <v>59.573578672285294</v>
      </c>
      <c r="N53" s="29">
        <f t="shared" si="37"/>
        <v>56.787126600565898</v>
      </c>
      <c r="O53" s="29">
        <f t="shared" si="37"/>
        <v>51.463549914800979</v>
      </c>
      <c r="P53" s="29">
        <f t="shared" si="37"/>
        <v>51.861188617001403</v>
      </c>
      <c r="Q53" s="29">
        <f t="shared" si="37"/>
        <v>55.949452917515828</v>
      </c>
    </row>
    <row r="54" spans="2:17" outlineLevel="1">
      <c r="C54" s="1" t="s">
        <v>139</v>
      </c>
      <c r="F54" s="29">
        <f>F53+F52</f>
        <v>66.141999999999967</v>
      </c>
      <c r="G54" s="29">
        <f t="shared" ref="G54:Q54" si="38">G53+G52</f>
        <v>-269.66400000000004</v>
      </c>
      <c r="H54" s="29">
        <f t="shared" si="38"/>
        <v>19.387721956073051</v>
      </c>
      <c r="I54" s="29">
        <f t="shared" si="38"/>
        <v>-42.109047248045442</v>
      </c>
      <c r="J54" s="29">
        <f t="shared" si="38"/>
        <v>-44.032145580653548</v>
      </c>
      <c r="K54" s="29">
        <f t="shared" si="38"/>
        <v>-25.831975982569361</v>
      </c>
      <c r="L54" s="29">
        <f t="shared" si="38"/>
        <v>-28.834142425389359</v>
      </c>
      <c r="M54" s="29">
        <f t="shared" si="38"/>
        <v>-31.354126143687949</v>
      </c>
      <c r="N54" s="29">
        <f t="shared" si="38"/>
        <v>-29.60086971816213</v>
      </c>
      <c r="O54" s="29">
        <f t="shared" si="38"/>
        <v>-26.482340282193263</v>
      </c>
      <c r="P54" s="29">
        <f t="shared" si="38"/>
        <v>-26.220987864391759</v>
      </c>
      <c r="Q54" s="29">
        <f t="shared" si="38"/>
        <v>-30.220470330712487</v>
      </c>
    </row>
    <row r="55" spans="2:17" outlineLevel="1">
      <c r="C55" s="1" t="s">
        <v>140</v>
      </c>
      <c r="E55" s="56">
        <f>E138/-E71</f>
        <v>5.8618513675709159E-2</v>
      </c>
      <c r="F55" s="56">
        <f>F138/-F71</f>
        <v>4.3774713474237774E-2</v>
      </c>
      <c r="G55" s="56">
        <f>G138/-G71</f>
        <v>5.5914247846859437E-2</v>
      </c>
      <c r="H55" s="13">
        <f>G55</f>
        <v>5.5914247846859437E-2</v>
      </c>
      <c r="I55" s="13">
        <f>H55-0.5%</f>
        <v>5.0914247846859439E-2</v>
      </c>
      <c r="J55" s="13">
        <f t="shared" ref="J55:N55" si="39">I55-0.5%</f>
        <v>4.5914247846859442E-2</v>
      </c>
      <c r="K55" s="13">
        <f t="shared" si="39"/>
        <v>4.0914247846859444E-2</v>
      </c>
      <c r="L55" s="13">
        <f t="shared" si="39"/>
        <v>3.5914247846859447E-2</v>
      </c>
      <c r="M55" s="13">
        <f t="shared" si="39"/>
        <v>3.0914247846859446E-2</v>
      </c>
      <c r="N55" s="13">
        <f t="shared" si="39"/>
        <v>2.5914247846859445E-2</v>
      </c>
      <c r="O55" s="13">
        <f>N55</f>
        <v>2.5914247846859445E-2</v>
      </c>
      <c r="P55" s="13">
        <f t="shared" ref="P55:Q55" si="40">O55</f>
        <v>2.5914247846859445E-2</v>
      </c>
      <c r="Q55" s="13">
        <f t="shared" si="40"/>
        <v>2.5914247846859445E-2</v>
      </c>
    </row>
    <row r="56" spans="2:17" outlineLevel="1"/>
    <row r="57" spans="2:17" outlineLevel="1">
      <c r="B57" s="20" t="s">
        <v>116</v>
      </c>
      <c r="C57" s="21"/>
      <c r="D57" s="2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2:17" s="2" customFormat="1" outlineLevel="1">
      <c r="C58" s="2" t="s">
        <v>119</v>
      </c>
      <c r="E58" s="2">
        <f>447.087+63.44</f>
        <v>510.52699999999999</v>
      </c>
      <c r="F58" s="33">
        <f>E67</f>
        <v>494.83199999999999</v>
      </c>
      <c r="G58" s="33">
        <f>F67</f>
        <v>503.791</v>
      </c>
      <c r="H58" s="33">
        <f>G67</f>
        <v>772.00599999999997</v>
      </c>
      <c r="I58" s="33">
        <f>H67</f>
        <v>872.45762213588682</v>
      </c>
      <c r="J58" s="33">
        <f t="shared" ref="J58:Q58" si="41">I67</f>
        <v>1004.5375895448589</v>
      </c>
      <c r="K58" s="33">
        <f t="shared" si="41"/>
        <v>1165.9487637633515</v>
      </c>
      <c r="L58" s="33">
        <f t="shared" si="41"/>
        <v>1332.1956499414898</v>
      </c>
      <c r="M58" s="33">
        <f t="shared" si="41"/>
        <v>1506.5286749109364</v>
      </c>
      <c r="N58" s="33">
        <f t="shared" si="41"/>
        <v>1691.2125060045294</v>
      </c>
      <c r="O58" s="33">
        <f t="shared" si="41"/>
        <v>1883.2703221307079</v>
      </c>
      <c r="P58" s="33">
        <f t="shared" si="41"/>
        <v>2078.5935442318241</v>
      </c>
      <c r="Q58" s="33">
        <f t="shared" si="41"/>
        <v>2278.0007324526769</v>
      </c>
    </row>
    <row r="59" spans="2:17" outlineLevel="1">
      <c r="C59" s="34" t="s">
        <v>120</v>
      </c>
      <c r="E59" s="29">
        <f>E76</f>
        <v>-74.334000000000003</v>
      </c>
      <c r="F59" s="29">
        <f t="shared" ref="F59:G59" si="42">F76</f>
        <v>-89.47999999999999</v>
      </c>
      <c r="G59" s="29">
        <f t="shared" si="42"/>
        <v>-113.602</v>
      </c>
      <c r="H59" s="29">
        <f>-H58*H60</f>
        <v>-174.08295426476457</v>
      </c>
      <c r="I59" s="29">
        <f t="shared" ref="I59:Q59" si="43">-I58*I60</f>
        <v>-196.73422270322618</v>
      </c>
      <c r="J59" s="29">
        <f t="shared" si="43"/>
        <v>-226.51750278880542</v>
      </c>
      <c r="K59" s="29">
        <f t="shared" si="43"/>
        <v>-262.91480288660233</v>
      </c>
      <c r="L59" s="29">
        <f t="shared" si="43"/>
        <v>-300.4025284783832</v>
      </c>
      <c r="M59" s="29">
        <f t="shared" si="43"/>
        <v>-339.71363229440823</v>
      </c>
      <c r="N59" s="29">
        <f t="shared" si="43"/>
        <v>-381.3587839146125</v>
      </c>
      <c r="O59" s="29">
        <f t="shared" si="43"/>
        <v>-424.66672714417825</v>
      </c>
      <c r="P59" s="29">
        <f t="shared" si="43"/>
        <v>-468.71100081546456</v>
      </c>
      <c r="Q59" s="29">
        <f t="shared" si="43"/>
        <v>-513.67618557713217</v>
      </c>
    </row>
    <row r="60" spans="2:17" outlineLevel="1">
      <c r="C60" s="50" t="s">
        <v>127</v>
      </c>
      <c r="E60" s="56">
        <f>-E59/E58</f>
        <v>0.14560248527501973</v>
      </c>
      <c r="F60" s="56">
        <f t="shared" ref="F60:G60" si="44">-F59/F58</f>
        <v>0.18082904905099104</v>
      </c>
      <c r="G60" s="56">
        <f t="shared" si="44"/>
        <v>0.2254943022007142</v>
      </c>
      <c r="H60" s="13">
        <f>G60</f>
        <v>0.2254943022007142</v>
      </c>
      <c r="I60" s="13">
        <f t="shared" ref="I60:Q60" si="45">H60</f>
        <v>0.2254943022007142</v>
      </c>
      <c r="J60" s="13">
        <f t="shared" si="45"/>
        <v>0.2254943022007142</v>
      </c>
      <c r="K60" s="13">
        <f t="shared" si="45"/>
        <v>0.2254943022007142</v>
      </c>
      <c r="L60" s="13">
        <f t="shared" si="45"/>
        <v>0.2254943022007142</v>
      </c>
      <c r="M60" s="13">
        <f t="shared" si="45"/>
        <v>0.2254943022007142</v>
      </c>
      <c r="N60" s="13">
        <f t="shared" si="45"/>
        <v>0.2254943022007142</v>
      </c>
      <c r="O60" s="13">
        <f t="shared" si="45"/>
        <v>0.2254943022007142</v>
      </c>
      <c r="P60" s="13">
        <f t="shared" si="45"/>
        <v>0.2254943022007142</v>
      </c>
      <c r="Q60" s="13">
        <f t="shared" si="45"/>
        <v>0.2254943022007142</v>
      </c>
    </row>
    <row r="61" spans="2:17" outlineLevel="1">
      <c r="C61" s="34" t="s">
        <v>121</v>
      </c>
      <c r="E61" s="29">
        <v>-51.444000000000003</v>
      </c>
      <c r="F61" s="29">
        <v>-66.3</v>
      </c>
      <c r="G61" s="29">
        <v>-86.262</v>
      </c>
      <c r="H61" s="29">
        <f>H59-H62</f>
        <v>-132.18731889215965</v>
      </c>
      <c r="I61" s="29">
        <f t="shared" ref="I61:Q61" si="46">I59-I62</f>
        <v>-149.38722486246454</v>
      </c>
      <c r="J61" s="29">
        <f t="shared" si="46"/>
        <v>-172.00271848706831</v>
      </c>
      <c r="K61" s="29">
        <f t="shared" si="46"/>
        <v>-199.64047047238685</v>
      </c>
      <c r="L61" s="29">
        <f t="shared" si="46"/>
        <v>-228.10622094331342</v>
      </c>
      <c r="M61" s="29">
        <f t="shared" si="46"/>
        <v>-257.95652672470771</v>
      </c>
      <c r="N61" s="29">
        <f t="shared" si="46"/>
        <v>-289.57915721591439</v>
      </c>
      <c r="O61" s="29">
        <f t="shared" si="46"/>
        <v>-322.46440394457056</v>
      </c>
      <c r="P61" s="29">
        <f t="shared" si="46"/>
        <v>-355.90877231337129</v>
      </c>
      <c r="Q61" s="29">
        <f t="shared" si="46"/>
        <v>-390.05242091032352</v>
      </c>
    </row>
    <row r="62" spans="2:17" outlineLevel="1">
      <c r="C62" s="34" t="s">
        <v>122</v>
      </c>
      <c r="E62" s="29">
        <f>E59-E61</f>
        <v>-22.89</v>
      </c>
      <c r="F62" s="29">
        <f>F59-F61</f>
        <v>-23.179999999999993</v>
      </c>
      <c r="G62" s="29">
        <f>G59-G61</f>
        <v>-27.340000000000003</v>
      </c>
      <c r="H62" s="29">
        <f t="shared" ref="H62:Q62" si="47">-H63*H58</f>
        <v>-41.895635372604914</v>
      </c>
      <c r="I62" s="29">
        <f t="shared" si="47"/>
        <v>-47.346997840761638</v>
      </c>
      <c r="J62" s="29">
        <f t="shared" si="47"/>
        <v>-54.514784301737116</v>
      </c>
      <c r="K62" s="29">
        <f t="shared" si="47"/>
        <v>-63.274332414215486</v>
      </c>
      <c r="L62" s="29">
        <f t="shared" si="47"/>
        <v>-72.296307535069772</v>
      </c>
      <c r="M62" s="29">
        <f t="shared" si="47"/>
        <v>-81.757105569700542</v>
      </c>
      <c r="N62" s="29">
        <f t="shared" si="47"/>
        <v>-91.779626698698138</v>
      </c>
      <c r="O62" s="29">
        <f t="shared" si="47"/>
        <v>-102.20232319960769</v>
      </c>
      <c r="P62" s="29">
        <f t="shared" si="47"/>
        <v>-112.80222850209329</v>
      </c>
      <c r="Q62" s="29">
        <f t="shared" si="47"/>
        <v>-123.62376466680864</v>
      </c>
    </row>
    <row r="63" spans="2:17" outlineLevel="1">
      <c r="C63" s="50" t="s">
        <v>126</v>
      </c>
      <c r="E63" s="56">
        <f>-E62/E58</f>
        <v>4.4836022384712272E-2</v>
      </c>
      <c r="F63" s="56">
        <f>-F62/F58</f>
        <v>4.6844181459566057E-2</v>
      </c>
      <c r="G63" s="56">
        <f>-G62/G58</f>
        <v>5.4268535960348641E-2</v>
      </c>
      <c r="H63" s="13">
        <f>G63</f>
        <v>5.4268535960348641E-2</v>
      </c>
      <c r="I63" s="13">
        <f t="shared" ref="I63:Q63" si="48">H63</f>
        <v>5.4268535960348641E-2</v>
      </c>
      <c r="J63" s="13">
        <f t="shared" si="48"/>
        <v>5.4268535960348641E-2</v>
      </c>
      <c r="K63" s="13">
        <f t="shared" si="48"/>
        <v>5.4268535960348641E-2</v>
      </c>
      <c r="L63" s="13">
        <f t="shared" si="48"/>
        <v>5.4268535960348641E-2</v>
      </c>
      <c r="M63" s="13">
        <f t="shared" si="48"/>
        <v>5.4268535960348641E-2</v>
      </c>
      <c r="N63" s="13">
        <f t="shared" si="48"/>
        <v>5.4268535960348641E-2</v>
      </c>
      <c r="O63" s="13">
        <f t="shared" si="48"/>
        <v>5.4268535960348641E-2</v>
      </c>
      <c r="P63" s="13">
        <f t="shared" si="48"/>
        <v>5.4268535960348641E-2</v>
      </c>
      <c r="Q63" s="13">
        <f t="shared" si="48"/>
        <v>5.4268535960348641E-2</v>
      </c>
    </row>
    <row r="64" spans="2:17" outlineLevel="1">
      <c r="C64" s="34" t="s">
        <v>125</v>
      </c>
      <c r="E64" s="29">
        <f>E58+E61</f>
        <v>459.08299999999997</v>
      </c>
      <c r="F64" s="29">
        <f>F58+F61</f>
        <v>428.53199999999998</v>
      </c>
      <c r="G64" s="29">
        <f>G58+G61</f>
        <v>417.529</v>
      </c>
      <c r="H64" s="29">
        <f t="shared" ref="H64:Q64" si="49">H58+H61</f>
        <v>639.81868110784035</v>
      </c>
      <c r="I64" s="29">
        <f t="shared" si="49"/>
        <v>723.07039727342226</v>
      </c>
      <c r="J64" s="29">
        <f t="shared" si="49"/>
        <v>832.5348710577905</v>
      </c>
      <c r="K64" s="29">
        <f t="shared" si="49"/>
        <v>966.30829329096468</v>
      </c>
      <c r="L64" s="29">
        <f t="shared" si="49"/>
        <v>1104.0894289981763</v>
      </c>
      <c r="M64" s="29">
        <f t="shared" si="49"/>
        <v>1248.5721481862288</v>
      </c>
      <c r="N64" s="29">
        <f t="shared" si="49"/>
        <v>1401.633348788615</v>
      </c>
      <c r="O64" s="29">
        <f t="shared" si="49"/>
        <v>1560.8059181861372</v>
      </c>
      <c r="P64" s="29">
        <f t="shared" si="49"/>
        <v>1722.684771918453</v>
      </c>
      <c r="Q64" s="29">
        <f t="shared" si="49"/>
        <v>1887.9483115423534</v>
      </c>
    </row>
    <row r="65" spans="2:17" outlineLevel="1">
      <c r="C65" s="34" t="s">
        <v>123</v>
      </c>
      <c r="E65" s="29">
        <f>E67-E64</f>
        <v>35.749000000000024</v>
      </c>
      <c r="F65" s="29">
        <f t="shared" ref="F65:G65" si="50">F67-F64</f>
        <v>75.259000000000015</v>
      </c>
      <c r="G65" s="29">
        <f t="shared" si="50"/>
        <v>354.47699999999998</v>
      </c>
      <c r="H65" s="29">
        <f>H66*H71</f>
        <v>232.63894102804647</v>
      </c>
      <c r="I65" s="29">
        <f t="shared" ref="I65:Q65" si="51">I66*I71</f>
        <v>281.4671922714366</v>
      </c>
      <c r="J65" s="29">
        <f t="shared" si="51"/>
        <v>333.41389270556095</v>
      </c>
      <c r="K65" s="29">
        <f t="shared" si="51"/>
        <v>365.88735665052513</v>
      </c>
      <c r="L65" s="29">
        <f t="shared" si="51"/>
        <v>402.43924591275999</v>
      </c>
      <c r="M65" s="29">
        <f t="shared" si="51"/>
        <v>442.64035781830063</v>
      </c>
      <c r="N65" s="29">
        <f t="shared" si="51"/>
        <v>481.63697334209286</v>
      </c>
      <c r="O65" s="29">
        <f t="shared" si="51"/>
        <v>517.78762604568715</v>
      </c>
      <c r="P65" s="29">
        <f t="shared" si="51"/>
        <v>555.31596053422402</v>
      </c>
      <c r="Q65" s="29">
        <f t="shared" si="51"/>
        <v>591.24760959431433</v>
      </c>
    </row>
    <row r="66" spans="2:17" outlineLevel="1">
      <c r="C66" s="50" t="s">
        <v>128</v>
      </c>
      <c r="E66" s="56">
        <f>E65/E71</f>
        <v>4.1698403052291874E-2</v>
      </c>
      <c r="F66" s="56">
        <f t="shared" ref="F66:G66" si="52">F65/F71</f>
        <v>5.0352930156627396E-2</v>
      </c>
      <c r="G66" s="56">
        <f t="shared" si="52"/>
        <v>0.16144660074784911</v>
      </c>
      <c r="H66" s="13">
        <f>AVERAGE(E66:G66)</f>
        <v>8.4499311318922798E-2</v>
      </c>
      <c r="I66" s="13">
        <f>H66</f>
        <v>8.4499311318922798E-2</v>
      </c>
      <c r="J66" s="13">
        <f t="shared" ref="J66:Q66" si="53">I66</f>
        <v>8.4499311318922798E-2</v>
      </c>
      <c r="K66" s="13">
        <f t="shared" si="53"/>
        <v>8.4499311318922798E-2</v>
      </c>
      <c r="L66" s="13">
        <f t="shared" si="53"/>
        <v>8.4499311318922798E-2</v>
      </c>
      <c r="M66" s="13">
        <f t="shared" si="53"/>
        <v>8.4499311318922798E-2</v>
      </c>
      <c r="N66" s="13">
        <f t="shared" si="53"/>
        <v>8.4499311318922798E-2</v>
      </c>
      <c r="O66" s="13">
        <f t="shared" si="53"/>
        <v>8.4499311318922798E-2</v>
      </c>
      <c r="P66" s="13">
        <f t="shared" si="53"/>
        <v>8.4499311318922798E-2</v>
      </c>
      <c r="Q66" s="13">
        <f t="shared" si="53"/>
        <v>8.4499311318922798E-2</v>
      </c>
    </row>
    <row r="67" spans="2:17" s="2" customFormat="1" outlineLevel="1">
      <c r="C67" s="2" t="s">
        <v>124</v>
      </c>
      <c r="E67" s="33">
        <f>E113</f>
        <v>494.83199999999999</v>
      </c>
      <c r="F67" s="33">
        <f t="shared" ref="F67:G67" si="54">F113</f>
        <v>503.791</v>
      </c>
      <c r="G67" s="33">
        <f t="shared" si="54"/>
        <v>772.00599999999997</v>
      </c>
      <c r="H67" s="33">
        <f>H65+H64</f>
        <v>872.45762213588682</v>
      </c>
      <c r="I67" s="33">
        <f t="shared" ref="I67:Q67" si="55">I65+I64</f>
        <v>1004.5375895448589</v>
      </c>
      <c r="J67" s="33">
        <f t="shared" si="55"/>
        <v>1165.9487637633515</v>
      </c>
      <c r="K67" s="33">
        <f t="shared" si="55"/>
        <v>1332.1956499414898</v>
      </c>
      <c r="L67" s="33">
        <f t="shared" si="55"/>
        <v>1506.5286749109364</v>
      </c>
      <c r="M67" s="33">
        <f t="shared" si="55"/>
        <v>1691.2125060045294</v>
      </c>
      <c r="N67" s="33">
        <f t="shared" si="55"/>
        <v>1883.2703221307079</v>
      </c>
      <c r="O67" s="33">
        <f t="shared" si="55"/>
        <v>2078.5935442318241</v>
      </c>
      <c r="P67" s="33">
        <f t="shared" si="55"/>
        <v>2278.0007324526769</v>
      </c>
      <c r="Q67" s="33">
        <f t="shared" si="55"/>
        <v>2479.1959211366675</v>
      </c>
    </row>
    <row r="69" spans="2:17">
      <c r="B69" s="4" t="s">
        <v>142</v>
      </c>
      <c r="C69" s="5"/>
      <c r="D69" s="14"/>
      <c r="E69" s="15" t="s">
        <v>14</v>
      </c>
      <c r="F69" s="15"/>
      <c r="G69" s="16"/>
      <c r="H69" s="16" t="s">
        <v>9</v>
      </c>
      <c r="I69" s="15"/>
      <c r="J69" s="15"/>
      <c r="K69" s="15"/>
      <c r="L69" s="15"/>
      <c r="M69" s="15"/>
      <c r="N69" s="15"/>
      <c r="O69" s="15"/>
      <c r="P69" s="15"/>
      <c r="Q69" s="16"/>
    </row>
    <row r="70" spans="2:17">
      <c r="B70" s="4" t="s">
        <v>16</v>
      </c>
      <c r="C70" s="5"/>
      <c r="D70" s="24" t="s">
        <v>11</v>
      </c>
      <c r="E70" s="17">
        <f>DATE(2020,12,31)</f>
        <v>44196</v>
      </c>
      <c r="F70" s="17">
        <f t="shared" ref="F70" si="56">EDATE(E70,12)</f>
        <v>44561</v>
      </c>
      <c r="G70" s="17">
        <f t="shared" ref="G70" si="57">EDATE(F70,12)</f>
        <v>44926</v>
      </c>
      <c r="H70" s="17">
        <f t="shared" ref="H70" si="58">EDATE(G70,12)</f>
        <v>45291</v>
      </c>
      <c r="I70" s="17">
        <f t="shared" ref="I70" si="59">EDATE(H70,12)</f>
        <v>45657</v>
      </c>
      <c r="J70" s="17">
        <f t="shared" ref="J70" si="60">EDATE(I70,12)</f>
        <v>46022</v>
      </c>
      <c r="K70" s="17">
        <f t="shared" ref="K70" si="61">EDATE(J70,12)</f>
        <v>46387</v>
      </c>
      <c r="L70" s="17">
        <f t="shared" ref="L70" si="62">EDATE(K70,12)</f>
        <v>46752</v>
      </c>
      <c r="M70" s="17">
        <f t="shared" ref="M70" si="63">EDATE(L70,12)</f>
        <v>47118</v>
      </c>
      <c r="N70" s="17">
        <f t="shared" ref="N70" si="64">EDATE(M70,12)</f>
        <v>47483</v>
      </c>
      <c r="O70" s="17">
        <f t="shared" ref="O70" si="65">EDATE(N70,12)</f>
        <v>47848</v>
      </c>
      <c r="P70" s="17">
        <f t="shared" ref="P70" si="66">EDATE(O70,12)</f>
        <v>48213</v>
      </c>
      <c r="Q70" s="17">
        <f t="shared" ref="Q70" si="67">EDATE(P70,12)</f>
        <v>48579</v>
      </c>
    </row>
    <row r="71" spans="2:17" s="2" customFormat="1" outlineLevel="1">
      <c r="C71" s="2" t="s">
        <v>42</v>
      </c>
      <c r="E71" s="68">
        <v>857.32299999999998</v>
      </c>
      <c r="F71" s="68">
        <v>1494.63</v>
      </c>
      <c r="G71" s="68">
        <v>2195.63</v>
      </c>
      <c r="H71" s="68">
        <f t="shared" ref="H71:Q71" si="68">H19</f>
        <v>2753.1460007999999</v>
      </c>
      <c r="I71" s="68">
        <f t="shared" si="68"/>
        <v>3330.9998374910397</v>
      </c>
      <c r="J71" s="68">
        <f t="shared" si="68"/>
        <v>3945.7586991113876</v>
      </c>
      <c r="K71" s="68">
        <f t="shared" si="68"/>
        <v>4330.0631796816579</v>
      </c>
      <c r="L71" s="68">
        <f t="shared" si="68"/>
        <v>4762.6334419915875</v>
      </c>
      <c r="M71" s="68">
        <f t="shared" si="68"/>
        <v>5238.3901230586198</v>
      </c>
      <c r="N71" s="68">
        <f t="shared" si="68"/>
        <v>5699.8922929000837</v>
      </c>
      <c r="O71" s="68">
        <f t="shared" si="68"/>
        <v>6127.7141548694926</v>
      </c>
      <c r="P71" s="68">
        <f t="shared" si="68"/>
        <v>6571.8400761671819</v>
      </c>
      <c r="Q71" s="68">
        <f t="shared" si="68"/>
        <v>6997.0701579186734</v>
      </c>
    </row>
    <row r="72" spans="2:17" outlineLevel="1">
      <c r="C72" s="45" t="s">
        <v>43</v>
      </c>
      <c r="D72" s="39"/>
      <c r="E72" s="65">
        <v>-493.37399999999997</v>
      </c>
      <c r="F72" s="65">
        <v>-773.37800000000004</v>
      </c>
      <c r="G72" s="65">
        <v>-1195.376</v>
      </c>
      <c r="H72" s="44">
        <f t="shared" ref="H72:Q72" si="69">-H36*H71</f>
        <v>-1502.6248584596788</v>
      </c>
      <c r="I72" s="44">
        <f t="shared" si="69"/>
        <v>-1801.3536200012038</v>
      </c>
      <c r="J72" s="44">
        <f t="shared" si="69"/>
        <v>-2114.0769894699483</v>
      </c>
      <c r="K72" s="44">
        <f t="shared" si="69"/>
        <v>-2298.3311196560862</v>
      </c>
      <c r="L72" s="44">
        <f t="shared" si="69"/>
        <v>-2504.1196127567287</v>
      </c>
      <c r="M72" s="44">
        <f t="shared" si="69"/>
        <v>-2728.073227713624</v>
      </c>
      <c r="N72" s="44">
        <f t="shared" si="69"/>
        <v>-2939.9170176106936</v>
      </c>
      <c r="O72" s="44">
        <f t="shared" si="69"/>
        <v>-3129.942401149387</v>
      </c>
      <c r="P72" s="44">
        <f t="shared" si="69"/>
        <v>-3318.7792384644267</v>
      </c>
      <c r="Q72" s="44">
        <f t="shared" si="69"/>
        <v>-3533.5204297489299</v>
      </c>
    </row>
    <row r="73" spans="2:17" s="2" customFormat="1" outlineLevel="1">
      <c r="C73" s="2" t="s">
        <v>44</v>
      </c>
      <c r="E73" s="33">
        <f t="shared" ref="E73:Q73" si="70">SUM(E71:E72)</f>
        <v>363.94900000000001</v>
      </c>
      <c r="F73" s="33">
        <f t="shared" si="70"/>
        <v>721.25200000000007</v>
      </c>
      <c r="G73" s="33">
        <f t="shared" si="70"/>
        <v>1000.2540000000001</v>
      </c>
      <c r="H73" s="33">
        <f t="shared" si="70"/>
        <v>1250.5211423403211</v>
      </c>
      <c r="I73" s="33">
        <f t="shared" si="70"/>
        <v>1529.6462174898359</v>
      </c>
      <c r="J73" s="33">
        <f t="shared" si="70"/>
        <v>1831.6817096414393</v>
      </c>
      <c r="K73" s="33">
        <f t="shared" si="70"/>
        <v>2031.7320600255716</v>
      </c>
      <c r="L73" s="33">
        <f t="shared" si="70"/>
        <v>2258.5138292348588</v>
      </c>
      <c r="M73" s="33">
        <f t="shared" si="70"/>
        <v>2510.3168953449958</v>
      </c>
      <c r="N73" s="33">
        <f t="shared" si="70"/>
        <v>2759.9752752893901</v>
      </c>
      <c r="O73" s="33">
        <f t="shared" si="70"/>
        <v>2997.7717537201056</v>
      </c>
      <c r="P73" s="33">
        <f t="shared" si="70"/>
        <v>3253.0608377027552</v>
      </c>
      <c r="Q73" s="33">
        <f t="shared" si="70"/>
        <v>3463.5497281697435</v>
      </c>
    </row>
    <row r="74" spans="2:17" outlineLevel="1">
      <c r="E74" s="29"/>
      <c r="F74" s="29"/>
      <c r="G74" s="29"/>
    </row>
    <row r="75" spans="2:17" outlineLevel="1">
      <c r="C75" s="34" t="s">
        <v>45</v>
      </c>
      <c r="E75" s="64">
        <v>-250.726</v>
      </c>
      <c r="F75" s="64">
        <v>-392.80200000000002</v>
      </c>
      <c r="G75" s="64">
        <v>-602.46900000000005</v>
      </c>
      <c r="H75" s="29">
        <f t="shared" ref="H75:Q75" si="71">-H37*H71</f>
        <v>-761.38771304571992</v>
      </c>
      <c r="I75" s="29">
        <f t="shared" si="71"/>
        <v>-921.1942801747573</v>
      </c>
      <c r="J75" s="29">
        <f t="shared" si="71"/>
        <v>-1091.2070014716651</v>
      </c>
      <c r="K75" s="29">
        <f t="shared" si="71"/>
        <v>-1197.487129546819</v>
      </c>
      <c r="L75" s="29">
        <f t="shared" si="71"/>
        <v>-1317.1152504877505</v>
      </c>
      <c r="M75" s="29">
        <f t="shared" si="71"/>
        <v>-1448.6866568928567</v>
      </c>
      <c r="N75" s="29">
        <f t="shared" si="71"/>
        <v>-1576.3159513651174</v>
      </c>
      <c r="O75" s="29">
        <f t="shared" si="71"/>
        <v>-1694.6308932465859</v>
      </c>
      <c r="P75" s="29">
        <f t="shared" si="71"/>
        <v>-1817.4547534497542</v>
      </c>
      <c r="Q75" s="29">
        <f t="shared" si="71"/>
        <v>-1935.052933629423</v>
      </c>
    </row>
    <row r="76" spans="2:17" outlineLevel="1">
      <c r="C76" s="34" t="s">
        <v>103</v>
      </c>
      <c r="E76" s="64">
        <v>-74.334000000000003</v>
      </c>
      <c r="F76" s="64">
        <v>-89.47999999999999</v>
      </c>
      <c r="G76" s="64">
        <v>-113.602</v>
      </c>
      <c r="H76" s="29">
        <f t="shared" ref="H76:Q76" si="72">H59</f>
        <v>-174.08295426476457</v>
      </c>
      <c r="I76" s="29">
        <f t="shared" si="72"/>
        <v>-196.73422270322618</v>
      </c>
      <c r="J76" s="29">
        <f t="shared" si="72"/>
        <v>-226.51750278880542</v>
      </c>
      <c r="K76" s="29">
        <f t="shared" si="72"/>
        <v>-262.91480288660233</v>
      </c>
      <c r="L76" s="29">
        <f t="shared" si="72"/>
        <v>-300.4025284783832</v>
      </c>
      <c r="M76" s="29">
        <f t="shared" si="72"/>
        <v>-339.71363229440823</v>
      </c>
      <c r="N76" s="29">
        <f t="shared" si="72"/>
        <v>-381.3587839146125</v>
      </c>
      <c r="O76" s="29">
        <f t="shared" si="72"/>
        <v>-424.66672714417825</v>
      </c>
      <c r="P76" s="29">
        <f t="shared" si="72"/>
        <v>-468.71100081546456</v>
      </c>
      <c r="Q76" s="29">
        <f t="shared" si="72"/>
        <v>-513.67618557713217</v>
      </c>
    </row>
    <row r="77" spans="2:17" outlineLevel="1">
      <c r="C77" s="38" t="s">
        <v>46</v>
      </c>
      <c r="D77" s="39"/>
      <c r="E77" s="65">
        <v>-10.691000000000001</v>
      </c>
      <c r="F77" s="65">
        <v>-26.131</v>
      </c>
      <c r="G77" s="65">
        <v>-24.369</v>
      </c>
      <c r="H77" s="44">
        <f t="shared" ref="H77:Q77" si="73">-H38*H71</f>
        <v>-37.674356207291183</v>
      </c>
      <c r="I77" s="44">
        <f t="shared" si="73"/>
        <v>-45.581772404224495</v>
      </c>
      <c r="J77" s="44">
        <f t="shared" si="73"/>
        <v>-53.994201068575705</v>
      </c>
      <c r="K77" s="44">
        <f t="shared" si="73"/>
        <v>-59.253066340833435</v>
      </c>
      <c r="L77" s="44">
        <f t="shared" si="73"/>
        <v>-65.172405940771171</v>
      </c>
      <c r="M77" s="44">
        <f t="shared" si="73"/>
        <v>-71.682713300173745</v>
      </c>
      <c r="N77" s="44">
        <f t="shared" si="73"/>
        <v>-77.997960341919054</v>
      </c>
      <c r="O77" s="44">
        <f t="shared" si="73"/>
        <v>-83.852322303260209</v>
      </c>
      <c r="P77" s="44">
        <f t="shared" si="73"/>
        <v>-89.929790826541776</v>
      </c>
      <c r="Q77" s="44">
        <f t="shared" si="73"/>
        <v>-95.748686579003191</v>
      </c>
    </row>
    <row r="78" spans="2:17" s="2" customFormat="1" outlineLevel="1">
      <c r="C78" s="2" t="s">
        <v>47</v>
      </c>
      <c r="E78" s="33">
        <f>E73+E75+E77+E76</f>
        <v>28.198000000000008</v>
      </c>
      <c r="F78" s="33">
        <f t="shared" ref="F78:G78" si="74">F73+F75+F77+F76</f>
        <v>212.83900000000008</v>
      </c>
      <c r="G78" s="33">
        <f t="shared" si="74"/>
        <v>259.81400000000008</v>
      </c>
      <c r="H78" s="33">
        <f>SUM(H75:H77)+H73</f>
        <v>277.37611882254544</v>
      </c>
      <c r="I78" s="33">
        <f t="shared" ref="I78:Q78" si="75">SUM(I75:I77)+I73</f>
        <v>366.13594220762798</v>
      </c>
      <c r="J78" s="33">
        <f t="shared" si="75"/>
        <v>459.9630043123932</v>
      </c>
      <c r="K78" s="33">
        <f t="shared" si="75"/>
        <v>512.07706125131699</v>
      </c>
      <c r="L78" s="33">
        <f t="shared" si="75"/>
        <v>575.82364432795407</v>
      </c>
      <c r="M78" s="33">
        <f t="shared" si="75"/>
        <v>650.23389285755729</v>
      </c>
      <c r="N78" s="33">
        <f t="shared" si="75"/>
        <v>724.30257966774116</v>
      </c>
      <c r="O78" s="33">
        <f t="shared" si="75"/>
        <v>794.6218110260811</v>
      </c>
      <c r="P78" s="33">
        <f t="shared" si="75"/>
        <v>876.96529261099477</v>
      </c>
      <c r="Q78" s="33">
        <f t="shared" si="75"/>
        <v>919.0719223841852</v>
      </c>
    </row>
    <row r="79" spans="2:17" s="2" customFormat="1" outlineLevel="1">
      <c r="E79" s="33"/>
      <c r="F79" s="33"/>
      <c r="G79" s="33"/>
      <c r="H79" s="33"/>
      <c r="I79" s="33"/>
      <c r="J79" s="33"/>
    </row>
    <row r="80" spans="2:17" outlineLevel="1">
      <c r="C80" s="38" t="s">
        <v>48</v>
      </c>
      <c r="D80" s="39"/>
      <c r="E80" s="65">
        <v>-1.9960000000000013</v>
      </c>
      <c r="F80" s="65">
        <v>6.7609999999999975</v>
      </c>
      <c r="G80" s="65">
        <v>3.9929999999999986</v>
      </c>
      <c r="H80" s="60">
        <f>AVERAGE(E80:G80)</f>
        <v>2.919333333333332</v>
      </c>
      <c r="I80" s="60">
        <f t="shared" ref="I80:Q80" si="76">AVERAGE(F80:H80)</f>
        <v>4.5577777777777762</v>
      </c>
      <c r="J80" s="60">
        <f t="shared" si="76"/>
        <v>3.8233703703703692</v>
      </c>
      <c r="K80" s="60">
        <f t="shared" si="76"/>
        <v>3.7668271604938259</v>
      </c>
      <c r="L80" s="60">
        <f t="shared" si="76"/>
        <v>4.0493251028806574</v>
      </c>
      <c r="M80" s="60">
        <f t="shared" si="76"/>
        <v>3.8798408779149511</v>
      </c>
      <c r="N80" s="60">
        <f t="shared" si="76"/>
        <v>3.8986643804298118</v>
      </c>
      <c r="O80" s="60">
        <f t="shared" si="76"/>
        <v>3.9426101204084731</v>
      </c>
      <c r="P80" s="60">
        <f t="shared" si="76"/>
        <v>3.9070384595844119</v>
      </c>
      <c r="Q80" s="60">
        <f t="shared" si="76"/>
        <v>3.9161043201408989</v>
      </c>
    </row>
    <row r="81" spans="2:17" s="2" customFormat="1" outlineLevel="1">
      <c r="C81" s="2" t="s">
        <v>49</v>
      </c>
      <c r="E81" s="33">
        <f>SUM(E80:E80)+E78</f>
        <v>26.202000000000005</v>
      </c>
      <c r="F81" s="33">
        <f>SUM(F80:F80)+F78</f>
        <v>219.60000000000008</v>
      </c>
      <c r="G81" s="33">
        <f>SUM(G80:G80)+G78</f>
        <v>263.80700000000007</v>
      </c>
      <c r="H81" s="33">
        <f>H80+H78</f>
        <v>280.29545215587876</v>
      </c>
      <c r="I81" s="33">
        <f t="shared" ref="I81:Q81" si="77">I80+I78</f>
        <v>370.69371998540578</v>
      </c>
      <c r="J81" s="33">
        <f t="shared" si="77"/>
        <v>463.78637468276355</v>
      </c>
      <c r="K81" s="33">
        <f t="shared" si="77"/>
        <v>515.84388841181078</v>
      </c>
      <c r="L81" s="33">
        <f t="shared" si="77"/>
        <v>579.8729694308347</v>
      </c>
      <c r="M81" s="33">
        <f t="shared" si="77"/>
        <v>654.11373373547224</v>
      </c>
      <c r="N81" s="33">
        <f t="shared" si="77"/>
        <v>728.20124404817102</v>
      </c>
      <c r="O81" s="33">
        <f t="shared" si="77"/>
        <v>798.56442114648962</v>
      </c>
      <c r="P81" s="33">
        <f t="shared" si="77"/>
        <v>880.87233107057921</v>
      </c>
      <c r="Q81" s="33">
        <f t="shared" si="77"/>
        <v>922.9880267043261</v>
      </c>
    </row>
    <row r="82" spans="2:17" outlineLevel="1">
      <c r="C82" s="38" t="s">
        <v>50</v>
      </c>
      <c r="D82" s="39"/>
      <c r="E82" s="65">
        <v>-6.9749999999999996</v>
      </c>
      <c r="F82" s="65">
        <v>-62.683</v>
      </c>
      <c r="G82" s="65">
        <v>-76.218999999999994</v>
      </c>
      <c r="H82" s="44">
        <f t="shared" ref="H82:Q82" si="78">-H81*Tax_Rate</f>
        <v>-80.982836194145406</v>
      </c>
      <c r="I82" s="44">
        <f t="shared" si="78"/>
        <v>-107.10066314983163</v>
      </c>
      <c r="J82" s="44">
        <f t="shared" si="78"/>
        <v>-133.99695114968725</v>
      </c>
      <c r="K82" s="44">
        <f t="shared" si="78"/>
        <v>-149.03738464430359</v>
      </c>
      <c r="L82" s="44">
        <f t="shared" si="78"/>
        <v>-167.53663798553023</v>
      </c>
      <c r="M82" s="44">
        <f t="shared" si="78"/>
        <v>-188.98624627695224</v>
      </c>
      <c r="N82" s="44">
        <f t="shared" si="78"/>
        <v>-210.39157649382892</v>
      </c>
      <c r="O82" s="44">
        <f t="shared" si="78"/>
        <v>-230.7208740305006</v>
      </c>
      <c r="P82" s="44">
        <f t="shared" si="78"/>
        <v>-254.50123841243203</v>
      </c>
      <c r="Q82" s="44">
        <f t="shared" si="78"/>
        <v>-266.66928628647838</v>
      </c>
    </row>
    <row r="83" spans="2:17" s="2" customFormat="1" outlineLevel="1">
      <c r="C83" s="2" t="s">
        <v>51</v>
      </c>
      <c r="E83" s="35">
        <f>E82+E81</f>
        <v>19.227000000000004</v>
      </c>
      <c r="F83" s="35">
        <f t="shared" ref="F83:G83" si="79">F82+F81</f>
        <v>156.91700000000009</v>
      </c>
      <c r="G83" s="35">
        <f t="shared" si="79"/>
        <v>187.58800000000008</v>
      </c>
      <c r="H83" s="33">
        <f>H82+H81</f>
        <v>199.31261596173334</v>
      </c>
      <c r="I83" s="33">
        <f t="shared" ref="I83:Q83" si="80">I82+I81</f>
        <v>263.59305683557415</v>
      </c>
      <c r="J83" s="33">
        <f t="shared" si="80"/>
        <v>329.78942353307627</v>
      </c>
      <c r="K83" s="33">
        <f t="shared" si="80"/>
        <v>366.80650376750719</v>
      </c>
      <c r="L83" s="33">
        <f t="shared" si="80"/>
        <v>412.33633144530449</v>
      </c>
      <c r="M83" s="33">
        <f t="shared" si="80"/>
        <v>465.12748745852002</v>
      </c>
      <c r="N83" s="33">
        <f t="shared" si="80"/>
        <v>517.80966755434213</v>
      </c>
      <c r="O83" s="33">
        <f t="shared" si="80"/>
        <v>567.84354711598905</v>
      </c>
      <c r="P83" s="33">
        <f t="shared" si="80"/>
        <v>626.37109265814718</v>
      </c>
      <c r="Q83" s="33">
        <f t="shared" si="80"/>
        <v>656.31874041784772</v>
      </c>
    </row>
    <row r="85" spans="2:17">
      <c r="B85" s="4" t="s">
        <v>142</v>
      </c>
      <c r="C85" s="5"/>
      <c r="D85" s="14"/>
      <c r="E85" s="15" t="s">
        <v>14</v>
      </c>
      <c r="F85" s="15"/>
      <c r="G85" s="16"/>
      <c r="H85" s="16" t="s">
        <v>9</v>
      </c>
      <c r="I85" s="15"/>
      <c r="J85" s="15"/>
      <c r="K85" s="15"/>
      <c r="L85" s="15"/>
      <c r="M85" s="15"/>
      <c r="N85" s="15"/>
      <c r="O85" s="15"/>
      <c r="P85" s="15"/>
      <c r="Q85" s="16"/>
    </row>
    <row r="86" spans="2:17">
      <c r="B86" s="4" t="s">
        <v>17</v>
      </c>
      <c r="C86" s="5"/>
      <c r="D86" s="24" t="s">
        <v>11</v>
      </c>
      <c r="E86" s="17">
        <f>DATE(2020,12,31)</f>
        <v>44196</v>
      </c>
      <c r="F86" s="17">
        <f t="shared" ref="F86" si="81">EDATE(E86,12)</f>
        <v>44561</v>
      </c>
      <c r="G86" s="17">
        <f t="shared" ref="G86" si="82">EDATE(F86,12)</f>
        <v>44926</v>
      </c>
      <c r="H86" s="17">
        <f t="shared" ref="H86" si="83">EDATE(G86,12)</f>
        <v>45291</v>
      </c>
      <c r="I86" s="17">
        <f t="shared" ref="I86" si="84">EDATE(H86,12)</f>
        <v>45657</v>
      </c>
      <c r="J86" s="17">
        <f t="shared" ref="J86" si="85">EDATE(I86,12)</f>
        <v>46022</v>
      </c>
      <c r="K86" s="17">
        <f t="shared" ref="K86" si="86">EDATE(J86,12)</f>
        <v>46387</v>
      </c>
      <c r="L86" s="17">
        <f t="shared" ref="L86" si="87">EDATE(K86,12)</f>
        <v>46752</v>
      </c>
      <c r="M86" s="17">
        <f t="shared" ref="M86" si="88">EDATE(L86,12)</f>
        <v>47118</v>
      </c>
      <c r="N86" s="17">
        <f t="shared" ref="N86" si="89">EDATE(M86,12)</f>
        <v>47483</v>
      </c>
      <c r="O86" s="17">
        <f t="shared" ref="O86" si="90">EDATE(N86,12)</f>
        <v>47848</v>
      </c>
      <c r="P86" s="17">
        <f t="shared" ref="P86" si="91">EDATE(O86,12)</f>
        <v>48213</v>
      </c>
      <c r="Q86" s="17">
        <f t="shared" ref="Q86" si="92">EDATE(P86,12)</f>
        <v>48579</v>
      </c>
    </row>
    <row r="87" spans="2:17" outlineLevel="1">
      <c r="B87" s="20" t="s">
        <v>52</v>
      </c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spans="2:17" s="2" customFormat="1" outlineLevel="1">
      <c r="C88" s="2" t="s">
        <v>60</v>
      </c>
    </row>
    <row r="89" spans="2:17" outlineLevel="1">
      <c r="C89" s="34" t="s">
        <v>55</v>
      </c>
      <c r="E89" s="66">
        <v>149.14699999999999</v>
      </c>
      <c r="F89" s="66">
        <v>265.245</v>
      </c>
      <c r="G89" s="66">
        <v>86.51</v>
      </c>
      <c r="H89" s="29">
        <f>H149+G89</f>
        <v>258.83163937253016</v>
      </c>
      <c r="I89" s="29">
        <f t="shared" ref="I89:Q89" si="93">I149+H89</f>
        <v>425.73850766536032</v>
      </c>
      <c r="J89" s="29">
        <f t="shared" si="93"/>
        <v>658.1420756239271</v>
      </c>
      <c r="K89" s="29">
        <f t="shared" si="93"/>
        <v>954.71687178333627</v>
      </c>
      <c r="L89" s="29">
        <f t="shared" si="93"/>
        <v>1310.3931981709766</v>
      </c>
      <c r="M89" s="29">
        <f t="shared" si="93"/>
        <v>1735.706310734618</v>
      </c>
      <c r="N89" s="29">
        <f t="shared" si="93"/>
        <v>2238.3917835035936</v>
      </c>
      <c r="O89" s="29">
        <f t="shared" si="93"/>
        <v>2790.8955337953739</v>
      </c>
      <c r="P89" s="29">
        <f t="shared" si="93"/>
        <v>3398.7943706466244</v>
      </c>
      <c r="Q89" s="29">
        <f t="shared" si="93"/>
        <v>4028.8950623010828</v>
      </c>
    </row>
    <row r="90" spans="2:17" outlineLevel="1">
      <c r="C90" s="34" t="s">
        <v>56</v>
      </c>
      <c r="E90" s="64">
        <v>6.202</v>
      </c>
      <c r="F90" s="64">
        <v>8.1470000000000002</v>
      </c>
      <c r="G90" s="64">
        <v>18.184000000000001</v>
      </c>
      <c r="H90" s="29">
        <f t="shared" ref="H90:Q90" si="94">H41*H71</f>
        <v>19.241644782277245</v>
      </c>
      <c r="I90" s="29">
        <f t="shared" si="94"/>
        <v>23.2802458075967</v>
      </c>
      <c r="J90" s="29">
        <f t="shared" si="94"/>
        <v>27.576774810642178</v>
      </c>
      <c r="K90" s="29">
        <f t="shared" si="94"/>
        <v>30.262665897138135</v>
      </c>
      <c r="L90" s="29">
        <f t="shared" si="94"/>
        <v>33.285884908525681</v>
      </c>
      <c r="M90" s="29">
        <f t="shared" si="94"/>
        <v>36.610932347792236</v>
      </c>
      <c r="N90" s="29">
        <f t="shared" si="94"/>
        <v>39.83635548763273</v>
      </c>
      <c r="O90" s="29">
        <f t="shared" si="94"/>
        <v>42.826388088779126</v>
      </c>
      <c r="P90" s="29">
        <f t="shared" si="94"/>
        <v>45.930369212093531</v>
      </c>
      <c r="Q90" s="29">
        <f t="shared" si="94"/>
        <v>48.902287948485785</v>
      </c>
    </row>
    <row r="91" spans="2:17" outlineLevel="1">
      <c r="C91" s="34" t="s">
        <v>57</v>
      </c>
      <c r="E91" s="64">
        <v>171.821</v>
      </c>
      <c r="F91" s="64">
        <v>208.125</v>
      </c>
      <c r="G91" s="64">
        <v>467.63400000000001</v>
      </c>
      <c r="H91" s="29">
        <f t="shared" ref="H91:Q91" si="95">H42*-H72</f>
        <v>505.16802625225483</v>
      </c>
      <c r="I91" s="29">
        <f t="shared" si="95"/>
        <v>605.59776292479114</v>
      </c>
      <c r="J91" s="29">
        <f t="shared" si="95"/>
        <v>710.73235219241542</v>
      </c>
      <c r="K91" s="29">
        <f t="shared" si="95"/>
        <v>772.67681873769243</v>
      </c>
      <c r="L91" s="29">
        <f t="shared" si="95"/>
        <v>841.86093099285847</v>
      </c>
      <c r="M91" s="29">
        <f t="shared" si="95"/>
        <v>917.15198251705897</v>
      </c>
      <c r="N91" s="29">
        <f t="shared" si="95"/>
        <v>988.37182731970756</v>
      </c>
      <c r="O91" s="29">
        <f t="shared" si="95"/>
        <v>1052.2565337383624</v>
      </c>
      <c r="P91" s="29">
        <f t="shared" si="95"/>
        <v>1115.7416623472052</v>
      </c>
      <c r="Q91" s="29">
        <f t="shared" si="95"/>
        <v>1187.9355856311925</v>
      </c>
    </row>
    <row r="92" spans="2:17" outlineLevel="1">
      <c r="C92" s="38" t="s">
        <v>58</v>
      </c>
      <c r="D92" s="39"/>
      <c r="E92" s="65">
        <v>28.170999999999999</v>
      </c>
      <c r="F92" s="65">
        <v>40.018999999999998</v>
      </c>
      <c r="G92" s="65">
        <v>39.520000000000003</v>
      </c>
      <c r="H92" s="44">
        <f t="shared" ref="H92:Q92" si="96">H71*H43</f>
        <v>71.24576441098398</v>
      </c>
      <c r="I92" s="44">
        <f t="shared" si="96"/>
        <v>86.199434975825113</v>
      </c>
      <c r="J92" s="44">
        <f t="shared" si="96"/>
        <v>102.10813179460662</v>
      </c>
      <c r="K92" s="44">
        <f t="shared" si="96"/>
        <v>112.05314251210545</v>
      </c>
      <c r="L92" s="44">
        <f t="shared" si="96"/>
        <v>123.24717253840103</v>
      </c>
      <c r="M92" s="44">
        <f t="shared" si="96"/>
        <v>135.55877839090726</v>
      </c>
      <c r="N92" s="44">
        <f t="shared" si="96"/>
        <v>147.5015067671462</v>
      </c>
      <c r="O92" s="44">
        <f t="shared" si="96"/>
        <v>158.57265794433914</v>
      </c>
      <c r="P92" s="44">
        <f t="shared" si="96"/>
        <v>170.06572469357508</v>
      </c>
      <c r="Q92" s="44">
        <f t="shared" si="96"/>
        <v>181.06980592142386</v>
      </c>
    </row>
    <row r="93" spans="2:17" s="2" customFormat="1" outlineLevel="1">
      <c r="C93" s="2" t="s">
        <v>59</v>
      </c>
      <c r="E93" s="33">
        <f>SUM(E89:E92)</f>
        <v>355.34099999999995</v>
      </c>
      <c r="F93" s="33">
        <f>SUM(F89:F92)</f>
        <v>521.53599999999994</v>
      </c>
      <c r="G93" s="33">
        <f>SUM(G89:G92)</f>
        <v>611.84799999999996</v>
      </c>
      <c r="H93" s="33">
        <f>SUM(H89:H92)</f>
        <v>854.48707481804615</v>
      </c>
      <c r="I93" s="33">
        <f t="shared" ref="I93:Q93" si="97">SUM(I89:I92)</f>
        <v>1140.8159513735734</v>
      </c>
      <c r="J93" s="33">
        <f t="shared" si="97"/>
        <v>1498.5593344215913</v>
      </c>
      <c r="K93" s="33">
        <f t="shared" si="97"/>
        <v>1869.7094989302725</v>
      </c>
      <c r="L93" s="33">
        <f t="shared" si="97"/>
        <v>2308.7871866107621</v>
      </c>
      <c r="M93" s="33">
        <f t="shared" si="97"/>
        <v>2825.0280039903764</v>
      </c>
      <c r="N93" s="33">
        <f t="shared" si="97"/>
        <v>3414.1014730780803</v>
      </c>
      <c r="O93" s="33">
        <f t="shared" si="97"/>
        <v>4044.5511135668539</v>
      </c>
      <c r="P93" s="33">
        <f t="shared" si="97"/>
        <v>4730.5321268994985</v>
      </c>
      <c r="Q93" s="33">
        <f t="shared" si="97"/>
        <v>5446.8027418021848</v>
      </c>
    </row>
    <row r="94" spans="2:17" outlineLevel="1">
      <c r="E94" s="29"/>
      <c r="F94" s="29"/>
      <c r="G94" s="29"/>
    </row>
    <row r="95" spans="2:17" s="2" customFormat="1" outlineLevel="1">
      <c r="C95" s="2" t="s">
        <v>61</v>
      </c>
      <c r="E95" s="29"/>
      <c r="F95" s="29"/>
      <c r="G95" s="29"/>
    </row>
    <row r="96" spans="2:17" outlineLevel="1">
      <c r="C96" s="34" t="s">
        <v>62</v>
      </c>
      <c r="E96" s="64">
        <v>189.56800000000001</v>
      </c>
      <c r="F96" s="64">
        <v>223.19</v>
      </c>
      <c r="G96" s="64">
        <v>308.608</v>
      </c>
      <c r="H96" s="29">
        <f>G96-H130-H138</f>
        <v>407.48516783132106</v>
      </c>
      <c r="I96" s="29">
        <f t="shared" ref="I96:Q96" si="98">H96-I130-I138</f>
        <v>527.11552157282279</v>
      </c>
      <c r="J96" s="29">
        <f t="shared" si="98"/>
        <v>655.014321989721</v>
      </c>
      <c r="K96" s="29">
        <f t="shared" si="98"/>
        <v>775.88477877991511</v>
      </c>
      <c r="L96" s="29">
        <f t="shared" si="98"/>
        <v>887.3982585944475</v>
      </c>
      <c r="M96" s="29">
        <f t="shared" si="98"/>
        <v>986.47846770051876</v>
      </c>
      <c r="N96" s="29">
        <f t="shared" si="98"/>
        <v>1068.6381279107845</v>
      </c>
      <c r="O96" s="29">
        <f t="shared" si="98"/>
        <v>1160.0283755512171</v>
      </c>
      <c r="P96" s="29">
        <f t="shared" si="98"/>
        <v>1261.3283472951819</v>
      </c>
      <c r="Q96" s="29">
        <f t="shared" si="98"/>
        <v>1370.5823349427878</v>
      </c>
    </row>
    <row r="97" spans="2:17" outlineLevel="1">
      <c r="C97" s="34" t="s">
        <v>63</v>
      </c>
      <c r="E97" s="64">
        <v>62.048999999999999</v>
      </c>
      <c r="F97" s="64">
        <v>87.397999999999996</v>
      </c>
      <c r="G97" s="64">
        <v>86.382000000000005</v>
      </c>
      <c r="H97" s="29">
        <f>G97-H139</f>
        <v>89.203000000000003</v>
      </c>
      <c r="I97" s="29">
        <f t="shared" ref="I97:Q97" si="99">H97-I139</f>
        <v>92.024000000000001</v>
      </c>
      <c r="J97" s="29">
        <f t="shared" si="99"/>
        <v>94.844999999999999</v>
      </c>
      <c r="K97" s="29">
        <f t="shared" si="99"/>
        <v>97.665999999999997</v>
      </c>
      <c r="L97" s="29">
        <f t="shared" si="99"/>
        <v>100.48699999999999</v>
      </c>
      <c r="M97" s="29">
        <f t="shared" si="99"/>
        <v>103.30799999999999</v>
      </c>
      <c r="N97" s="29">
        <f t="shared" si="99"/>
        <v>106.12899999999999</v>
      </c>
      <c r="O97" s="29">
        <f t="shared" si="99"/>
        <v>108.94999999999999</v>
      </c>
      <c r="P97" s="29">
        <f t="shared" si="99"/>
        <v>111.77099999999999</v>
      </c>
      <c r="Q97" s="29">
        <f t="shared" si="99"/>
        <v>114.59199999999998</v>
      </c>
    </row>
    <row r="98" spans="2:17" outlineLevel="1">
      <c r="C98" s="34" t="s">
        <v>64</v>
      </c>
      <c r="E98" s="64">
        <v>151.68199999999999</v>
      </c>
      <c r="F98" s="64">
        <v>198.846</v>
      </c>
      <c r="G98" s="64">
        <v>198.846</v>
      </c>
      <c r="H98" s="61">
        <f>G98</f>
        <v>198.846</v>
      </c>
      <c r="I98" s="61">
        <f t="shared" ref="I98:Q98" si="100">H98</f>
        <v>198.846</v>
      </c>
      <c r="J98" s="61">
        <f t="shared" si="100"/>
        <v>198.846</v>
      </c>
      <c r="K98" s="61">
        <f t="shared" si="100"/>
        <v>198.846</v>
      </c>
      <c r="L98" s="61">
        <f t="shared" si="100"/>
        <v>198.846</v>
      </c>
      <c r="M98" s="61">
        <f t="shared" si="100"/>
        <v>198.846</v>
      </c>
      <c r="N98" s="61">
        <f t="shared" si="100"/>
        <v>198.846</v>
      </c>
      <c r="O98" s="61">
        <f t="shared" si="100"/>
        <v>198.846</v>
      </c>
      <c r="P98" s="61">
        <f t="shared" si="100"/>
        <v>198.846</v>
      </c>
      <c r="Q98" s="61">
        <f t="shared" si="100"/>
        <v>198.846</v>
      </c>
    </row>
    <row r="99" spans="2:17" outlineLevel="1">
      <c r="C99" s="34" t="s">
        <v>65</v>
      </c>
      <c r="E99" s="64">
        <v>363.41699999999997</v>
      </c>
      <c r="F99" s="64">
        <v>362.887</v>
      </c>
      <c r="G99" s="64">
        <v>614.06100000000004</v>
      </c>
      <c r="H99" s="29">
        <f t="shared" ref="H99:Q99" si="101">G99+H65+H61</f>
        <v>714.51262213588689</v>
      </c>
      <c r="I99" s="29">
        <f t="shared" si="101"/>
        <v>846.59258954485892</v>
      </c>
      <c r="J99" s="29">
        <f t="shared" si="101"/>
        <v>1008.0037637633516</v>
      </c>
      <c r="K99" s="29">
        <f t="shared" si="101"/>
        <v>1174.2506499414899</v>
      </c>
      <c r="L99" s="29">
        <f t="shared" si="101"/>
        <v>1348.5836749109365</v>
      </c>
      <c r="M99" s="29">
        <f t="shared" si="101"/>
        <v>1533.2675060045294</v>
      </c>
      <c r="N99" s="29">
        <f t="shared" si="101"/>
        <v>1725.3253221307079</v>
      </c>
      <c r="O99" s="29">
        <f t="shared" si="101"/>
        <v>1920.6485442318244</v>
      </c>
      <c r="P99" s="29">
        <f t="shared" si="101"/>
        <v>2120.0557324526771</v>
      </c>
      <c r="Q99" s="29">
        <f t="shared" si="101"/>
        <v>2321.2509211366678</v>
      </c>
    </row>
    <row r="100" spans="2:17" outlineLevel="1">
      <c r="C100" s="38" t="s">
        <v>66</v>
      </c>
      <c r="D100" s="39"/>
      <c r="E100" s="65">
        <v>2.8860000000000001</v>
      </c>
      <c r="F100" s="65">
        <v>4.2709999999999999</v>
      </c>
      <c r="G100" s="65">
        <v>3.83</v>
      </c>
      <c r="H100" s="44">
        <f>G100</f>
        <v>3.83</v>
      </c>
      <c r="I100" s="44">
        <f t="shared" ref="I100:Q100" si="102">H100</f>
        <v>3.83</v>
      </c>
      <c r="J100" s="44">
        <f t="shared" si="102"/>
        <v>3.83</v>
      </c>
      <c r="K100" s="44">
        <f t="shared" si="102"/>
        <v>3.83</v>
      </c>
      <c r="L100" s="44">
        <f t="shared" si="102"/>
        <v>3.83</v>
      </c>
      <c r="M100" s="44">
        <f t="shared" si="102"/>
        <v>3.83</v>
      </c>
      <c r="N100" s="44">
        <f t="shared" si="102"/>
        <v>3.83</v>
      </c>
      <c r="O100" s="44">
        <f t="shared" si="102"/>
        <v>3.83</v>
      </c>
      <c r="P100" s="44">
        <f t="shared" si="102"/>
        <v>3.83</v>
      </c>
      <c r="Q100" s="44">
        <f t="shared" si="102"/>
        <v>3.83</v>
      </c>
    </row>
    <row r="101" spans="2:17" s="2" customFormat="1" outlineLevel="1">
      <c r="C101" s="2" t="s">
        <v>67</v>
      </c>
      <c r="E101" s="33">
        <f>SUM(E96:E100)</f>
        <v>769.60199999999986</v>
      </c>
      <c r="F101" s="33">
        <f>SUM(F96:F100)</f>
        <v>876.59199999999987</v>
      </c>
      <c r="G101" s="33">
        <f>SUM(G96:G100)</f>
        <v>1211.7269999999999</v>
      </c>
      <c r="H101" s="33">
        <f t="shared" ref="H101:Q101" si="103">SUM(H96:H100)</f>
        <v>1413.876789967208</v>
      </c>
      <c r="I101" s="33">
        <f t="shared" si="103"/>
        <v>1668.4081111176815</v>
      </c>
      <c r="J101" s="33">
        <f t="shared" si="103"/>
        <v>1960.5390857530724</v>
      </c>
      <c r="K101" s="33">
        <f t="shared" si="103"/>
        <v>2250.477428721405</v>
      </c>
      <c r="L101" s="33">
        <f t="shared" si="103"/>
        <v>2539.144933505384</v>
      </c>
      <c r="M101" s="33">
        <f t="shared" si="103"/>
        <v>2825.729973705048</v>
      </c>
      <c r="N101" s="33">
        <f t="shared" si="103"/>
        <v>3102.7684500414925</v>
      </c>
      <c r="O101" s="33">
        <f t="shared" si="103"/>
        <v>3392.3029197830415</v>
      </c>
      <c r="P101" s="33">
        <f t="shared" si="103"/>
        <v>3695.8310797478589</v>
      </c>
      <c r="Q101" s="33">
        <f t="shared" si="103"/>
        <v>4009.1012560794557</v>
      </c>
    </row>
    <row r="102" spans="2:17" outlineLevel="1">
      <c r="E102" s="29"/>
      <c r="F102" s="29"/>
      <c r="G102" s="29"/>
    </row>
    <row r="103" spans="2:17" s="35" customFormat="1" outlineLevel="1">
      <c r="C103" s="35" t="s">
        <v>68</v>
      </c>
      <c r="E103" s="35">
        <f>E101+E93</f>
        <v>1124.9429999999998</v>
      </c>
      <c r="F103" s="35">
        <f>F101+F93</f>
        <v>1398.1279999999997</v>
      </c>
      <c r="G103" s="35">
        <f>G101+G93</f>
        <v>1823.5749999999998</v>
      </c>
      <c r="H103" s="35">
        <f t="shared" ref="H103:Q103" si="104">H101+H93</f>
        <v>2268.363864785254</v>
      </c>
      <c r="I103" s="35">
        <f t="shared" si="104"/>
        <v>2809.2240624912547</v>
      </c>
      <c r="J103" s="35">
        <f t="shared" si="104"/>
        <v>3459.0984201746637</v>
      </c>
      <c r="K103" s="35">
        <f t="shared" si="104"/>
        <v>4120.1869276516773</v>
      </c>
      <c r="L103" s="35">
        <f t="shared" si="104"/>
        <v>4847.9321201161456</v>
      </c>
      <c r="M103" s="35">
        <f t="shared" si="104"/>
        <v>5650.7579776954244</v>
      </c>
      <c r="N103" s="35">
        <f t="shared" si="104"/>
        <v>6516.8699231195733</v>
      </c>
      <c r="O103" s="35">
        <f t="shared" si="104"/>
        <v>7436.854033349895</v>
      </c>
      <c r="P103" s="35">
        <f t="shared" si="104"/>
        <v>8426.3632066473583</v>
      </c>
      <c r="Q103" s="35">
        <f t="shared" si="104"/>
        <v>9455.90399788164</v>
      </c>
    </row>
    <row r="104" spans="2:17" outlineLevel="1"/>
    <row r="105" spans="2:17" outlineLevel="1">
      <c r="B105" s="20" t="s">
        <v>53</v>
      </c>
      <c r="C105" s="21"/>
      <c r="D105" s="22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2:17" s="2" customFormat="1" outlineLevel="1">
      <c r="C106" s="2" t="s">
        <v>72</v>
      </c>
      <c r="G106" s="43"/>
    </row>
    <row r="107" spans="2:17" outlineLevel="1">
      <c r="C107" s="34" t="s">
        <v>69</v>
      </c>
      <c r="E107" s="66">
        <v>131.893</v>
      </c>
      <c r="F107" s="66">
        <v>179.34399999999999</v>
      </c>
      <c r="G107" s="66">
        <v>221.71199999999999</v>
      </c>
      <c r="H107" s="46">
        <f t="shared" ref="H107:Q107" si="105">-H72*H45</f>
        <v>278.69888856628563</v>
      </c>
      <c r="I107" s="46">
        <f t="shared" si="105"/>
        <v>334.10551474825235</v>
      </c>
      <c r="J107" s="46">
        <f t="shared" si="105"/>
        <v>392.10778657875107</v>
      </c>
      <c r="K107" s="46">
        <f t="shared" si="105"/>
        <v>426.28226533006364</v>
      </c>
      <c r="L107" s="46">
        <f t="shared" si="105"/>
        <v>464.45082349279204</v>
      </c>
      <c r="M107" s="46">
        <f t="shared" si="105"/>
        <v>505.98855210648611</v>
      </c>
      <c r="N107" s="46">
        <f t="shared" si="105"/>
        <v>545.28021460067964</v>
      </c>
      <c r="O107" s="46">
        <f t="shared" si="105"/>
        <v>580.52511481210331</v>
      </c>
      <c r="P107" s="46">
        <f t="shared" si="105"/>
        <v>615.54956977421739</v>
      </c>
      <c r="Q107" s="46">
        <f t="shared" si="105"/>
        <v>655.37862690943666</v>
      </c>
    </row>
    <row r="108" spans="2:17" outlineLevel="1">
      <c r="C108" s="34" t="s">
        <v>70</v>
      </c>
      <c r="E108" s="64">
        <v>8.2870000000000008</v>
      </c>
      <c r="F108" s="64">
        <v>58.917000000000002</v>
      </c>
      <c r="G108" s="64">
        <v>0</v>
      </c>
      <c r="H108" s="29">
        <f t="shared" ref="H108:Q108" si="106">H46</f>
        <v>0</v>
      </c>
      <c r="I108" s="29">
        <f t="shared" si="106"/>
        <v>0</v>
      </c>
      <c r="J108" s="29">
        <f t="shared" si="106"/>
        <v>0</v>
      </c>
      <c r="K108" s="29">
        <f t="shared" si="106"/>
        <v>0</v>
      </c>
      <c r="L108" s="29">
        <f t="shared" si="106"/>
        <v>0</v>
      </c>
      <c r="M108" s="29">
        <f t="shared" si="106"/>
        <v>0</v>
      </c>
      <c r="N108" s="29">
        <f t="shared" si="106"/>
        <v>0</v>
      </c>
      <c r="O108" s="29">
        <f t="shared" si="106"/>
        <v>0</v>
      </c>
      <c r="P108" s="29">
        <f t="shared" si="106"/>
        <v>0</v>
      </c>
      <c r="Q108" s="29">
        <f t="shared" si="106"/>
        <v>0</v>
      </c>
    </row>
    <row r="109" spans="2:17" outlineLevel="1">
      <c r="C109" s="38" t="s">
        <v>71</v>
      </c>
      <c r="D109" s="39"/>
      <c r="E109" s="65">
        <v>37.563000000000002</v>
      </c>
      <c r="F109" s="65">
        <v>55.720999999999997</v>
      </c>
      <c r="G109" s="65">
        <v>71.653000000000006</v>
      </c>
      <c r="H109" s="44">
        <f t="shared" ref="H109:Q109" si="107">H71*H47</f>
        <v>104.37126883530331</v>
      </c>
      <c r="I109" s="44">
        <f t="shared" si="107"/>
        <v>126.27760366798815</v>
      </c>
      <c r="J109" s="44">
        <f t="shared" si="107"/>
        <v>149.58300134628709</v>
      </c>
      <c r="K109" s="44">
        <f t="shared" si="107"/>
        <v>164.15191496167697</v>
      </c>
      <c r="L109" s="44">
        <f t="shared" si="107"/>
        <v>180.55057566640835</v>
      </c>
      <c r="M109" s="44">
        <f t="shared" si="107"/>
        <v>198.58642572499957</v>
      </c>
      <c r="N109" s="44">
        <f t="shared" si="107"/>
        <v>216.08188983137202</v>
      </c>
      <c r="O109" s="44">
        <f t="shared" si="107"/>
        <v>232.30053953474928</v>
      </c>
      <c r="P109" s="44">
        <f t="shared" si="107"/>
        <v>249.13727318963663</v>
      </c>
      <c r="Q109" s="44">
        <f t="shared" si="107"/>
        <v>265.25766897193319</v>
      </c>
    </row>
    <row r="110" spans="2:17" s="2" customFormat="1" outlineLevel="1">
      <c r="C110" s="2" t="s">
        <v>73</v>
      </c>
      <c r="E110" s="33">
        <f>SUM(E107:E109)</f>
        <v>177.74299999999999</v>
      </c>
      <c r="F110" s="33">
        <f>SUM(F107:F109)</f>
        <v>293.98199999999997</v>
      </c>
      <c r="G110" s="33">
        <f>SUM(G107:G109)</f>
        <v>293.36500000000001</v>
      </c>
      <c r="H110" s="33">
        <f>SUM(H107:H109)</f>
        <v>383.07015740158897</v>
      </c>
      <c r="I110" s="33">
        <f t="shared" ref="I110:Q110" si="108">SUM(I107:I109)</f>
        <v>460.38311841624051</v>
      </c>
      <c r="J110" s="33">
        <f t="shared" si="108"/>
        <v>541.69078792503819</v>
      </c>
      <c r="K110" s="33">
        <f t="shared" si="108"/>
        <v>590.43418029174063</v>
      </c>
      <c r="L110" s="33">
        <f t="shared" si="108"/>
        <v>645.00139915920045</v>
      </c>
      <c r="M110" s="33">
        <f t="shared" si="108"/>
        <v>704.57497783148574</v>
      </c>
      <c r="N110" s="33">
        <f t="shared" si="108"/>
        <v>761.36210443205164</v>
      </c>
      <c r="O110" s="33">
        <f t="shared" si="108"/>
        <v>812.82565434685262</v>
      </c>
      <c r="P110" s="33">
        <f t="shared" si="108"/>
        <v>864.68684296385402</v>
      </c>
      <c r="Q110" s="33">
        <f t="shared" si="108"/>
        <v>920.63629588136985</v>
      </c>
    </row>
    <row r="111" spans="2:17" outlineLevel="1">
      <c r="E111" s="29"/>
      <c r="F111" s="29"/>
      <c r="G111" s="29"/>
    </row>
    <row r="112" spans="2:17" s="2" customFormat="1" outlineLevel="1">
      <c r="C112" s="2" t="s">
        <v>74</v>
      </c>
      <c r="E112" s="29"/>
      <c r="F112" s="29"/>
      <c r="G112" s="29"/>
    </row>
    <row r="113" spans="2:17" outlineLevel="1">
      <c r="C113" s="34" t="s">
        <v>75</v>
      </c>
      <c r="E113" s="64">
        <v>494.83199999999999</v>
      </c>
      <c r="F113" s="64">
        <v>503.791</v>
      </c>
      <c r="G113" s="64">
        <v>772.00599999999997</v>
      </c>
      <c r="H113" s="29">
        <f t="shared" ref="H113:Q113" si="109">H67</f>
        <v>872.45762213588682</v>
      </c>
      <c r="I113" s="29">
        <f t="shared" si="109"/>
        <v>1004.5375895448589</v>
      </c>
      <c r="J113" s="29">
        <f t="shared" si="109"/>
        <v>1165.9487637633515</v>
      </c>
      <c r="K113" s="29">
        <f t="shared" si="109"/>
        <v>1332.1956499414898</v>
      </c>
      <c r="L113" s="29">
        <f t="shared" si="109"/>
        <v>1506.5286749109364</v>
      </c>
      <c r="M113" s="29">
        <f t="shared" si="109"/>
        <v>1691.2125060045294</v>
      </c>
      <c r="N113" s="29">
        <f t="shared" si="109"/>
        <v>1883.2703221307079</v>
      </c>
      <c r="O113" s="29">
        <f t="shared" si="109"/>
        <v>2078.5935442318241</v>
      </c>
      <c r="P113" s="29">
        <f t="shared" si="109"/>
        <v>2278.0007324526769</v>
      </c>
      <c r="Q113" s="29">
        <f t="shared" si="109"/>
        <v>2479.1959211366675</v>
      </c>
    </row>
    <row r="114" spans="2:17" outlineLevel="1">
      <c r="C114" s="34" t="s">
        <v>76</v>
      </c>
      <c r="E114" s="64">
        <v>2.1909999999999989</v>
      </c>
      <c r="F114" s="64">
        <v>-1.5519999999999996</v>
      </c>
      <c r="G114" s="64">
        <v>8.7989999999999995</v>
      </c>
      <c r="H114" s="29">
        <f t="shared" ref="H114:Q114" si="110">-H82*H44</f>
        <v>10.927446412086933</v>
      </c>
      <c r="I114" s="29">
        <f t="shared" si="110"/>
        <v>14.451664232443461</v>
      </c>
      <c r="J114" s="29">
        <f t="shared" si="110"/>
        <v>18.080923957280401</v>
      </c>
      <c r="K114" s="29">
        <f t="shared" si="110"/>
        <v>20.110409941606289</v>
      </c>
      <c r="L114" s="29">
        <f t="shared" si="110"/>
        <v>22.606612952639985</v>
      </c>
      <c r="M114" s="29">
        <f t="shared" si="110"/>
        <v>25.500923107483818</v>
      </c>
      <c r="N114" s="29">
        <f t="shared" si="110"/>
        <v>28.389258585352092</v>
      </c>
      <c r="O114" s="29">
        <f t="shared" si="110"/>
        <v>31.132399229312529</v>
      </c>
      <c r="P114" s="29">
        <f t="shared" si="110"/>
        <v>34.34121074611938</v>
      </c>
      <c r="Q114" s="29">
        <f t="shared" si="110"/>
        <v>35.983110404518385</v>
      </c>
    </row>
    <row r="115" spans="2:17" outlineLevel="1">
      <c r="C115" s="34" t="s">
        <v>80</v>
      </c>
      <c r="E115" s="64">
        <v>74.855000000000004</v>
      </c>
      <c r="F115" s="64">
        <v>0</v>
      </c>
      <c r="G115" s="64">
        <v>0</v>
      </c>
      <c r="H115" s="29">
        <f t="shared" ref="H115:Q115" si="111">H48</f>
        <v>0</v>
      </c>
      <c r="I115" s="29">
        <f t="shared" si="111"/>
        <v>0</v>
      </c>
      <c r="J115" s="29">
        <f t="shared" si="111"/>
        <v>0</v>
      </c>
      <c r="K115" s="29">
        <f t="shared" si="111"/>
        <v>0</v>
      </c>
      <c r="L115" s="29">
        <f t="shared" si="111"/>
        <v>0</v>
      </c>
      <c r="M115" s="29">
        <f t="shared" si="111"/>
        <v>0</v>
      </c>
      <c r="N115" s="29">
        <f t="shared" si="111"/>
        <v>0</v>
      </c>
      <c r="O115" s="29">
        <f t="shared" si="111"/>
        <v>0</v>
      </c>
      <c r="P115" s="29">
        <f t="shared" si="111"/>
        <v>0</v>
      </c>
      <c r="Q115" s="29">
        <f t="shared" si="111"/>
        <v>0</v>
      </c>
    </row>
    <row r="116" spans="2:17" outlineLevel="1">
      <c r="C116" s="38" t="s">
        <v>77</v>
      </c>
      <c r="D116" s="39"/>
      <c r="E116" s="65">
        <v>15.058999999999999</v>
      </c>
      <c r="F116" s="65">
        <v>71.096000000000004</v>
      </c>
      <c r="G116" s="65">
        <v>63.618000000000002</v>
      </c>
      <c r="H116" s="44">
        <f>G116+H133</f>
        <v>58.646000000000008</v>
      </c>
      <c r="I116" s="44">
        <f t="shared" ref="I116:Q116" si="112">H116+I133</f>
        <v>53.889666666666677</v>
      </c>
      <c r="J116" s="44">
        <f t="shared" si="112"/>
        <v>50.678222222222232</v>
      </c>
      <c r="K116" s="44">
        <f t="shared" si="112"/>
        <v>46.364962962962977</v>
      </c>
      <c r="L116" s="44">
        <f t="shared" si="112"/>
        <v>42.271283950617303</v>
      </c>
      <c r="M116" s="44">
        <f t="shared" si="112"/>
        <v>38.398489711934175</v>
      </c>
      <c r="N116" s="44">
        <f t="shared" si="112"/>
        <v>34.305245541838154</v>
      </c>
      <c r="O116" s="44">
        <f t="shared" si="112"/>
        <v>30.285339734796548</v>
      </c>
      <c r="P116" s="44">
        <f t="shared" si="112"/>
        <v>26.290024996189629</v>
      </c>
      <c r="Q116" s="44">
        <f t="shared" si="112"/>
        <v>22.253870090941447</v>
      </c>
    </row>
    <row r="117" spans="2:17" s="2" customFormat="1" outlineLevel="1">
      <c r="C117" s="2" t="s">
        <v>78</v>
      </c>
      <c r="E117" s="33">
        <f>SUM(E113:E116)</f>
        <v>586.9369999999999</v>
      </c>
      <c r="F117" s="33">
        <f>SUM(F113:F116)</f>
        <v>573.33500000000004</v>
      </c>
      <c r="G117" s="33">
        <f>SUM(G113:G116)</f>
        <v>844.423</v>
      </c>
      <c r="H117" s="33">
        <f>SUM(H113:H116)</f>
        <v>942.03106854797375</v>
      </c>
      <c r="I117" s="33">
        <f t="shared" ref="I117:Q117" si="113">SUM(I113:I116)</f>
        <v>1072.878920443969</v>
      </c>
      <c r="J117" s="33">
        <f t="shared" si="113"/>
        <v>1234.7079099428543</v>
      </c>
      <c r="K117" s="33">
        <f t="shared" si="113"/>
        <v>1398.6710228460593</v>
      </c>
      <c r="L117" s="33">
        <f t="shared" si="113"/>
        <v>1571.4065718141937</v>
      </c>
      <c r="M117" s="33">
        <f t="shared" si="113"/>
        <v>1755.1119188239475</v>
      </c>
      <c r="N117" s="33">
        <f t="shared" si="113"/>
        <v>1945.964826257898</v>
      </c>
      <c r="O117" s="33">
        <f t="shared" si="113"/>
        <v>2140.0112831959332</v>
      </c>
      <c r="P117" s="33">
        <f t="shared" si="113"/>
        <v>2338.6319681949858</v>
      </c>
      <c r="Q117" s="33">
        <f t="shared" si="113"/>
        <v>2537.4329016321271</v>
      </c>
    </row>
    <row r="118" spans="2:17" outlineLevel="1">
      <c r="E118" s="29"/>
      <c r="F118" s="29"/>
      <c r="G118" s="29"/>
    </row>
    <row r="119" spans="2:17" s="2" customFormat="1" outlineLevel="1">
      <c r="C119" s="2" t="s">
        <v>81</v>
      </c>
      <c r="E119" s="33">
        <v>360.26299999999998</v>
      </c>
      <c r="F119" s="33">
        <v>530.81100000000004</v>
      </c>
      <c r="G119" s="33">
        <v>685.78700000000003</v>
      </c>
      <c r="H119" s="33">
        <f>G119+H128+H131+H146+H145</f>
        <v>943.26263883569129</v>
      </c>
      <c r="I119" s="33">
        <f t="shared" ref="I119:Q119" si="114">H119+I128+I131+I146+I145</f>
        <v>1275.9620236310454</v>
      </c>
      <c r="J119" s="33">
        <f t="shared" si="114"/>
        <v>1682.6997223067713</v>
      </c>
      <c r="K119" s="33">
        <f t="shared" si="114"/>
        <v>2131.0817245138774</v>
      </c>
      <c r="L119" s="33">
        <f t="shared" si="114"/>
        <v>2631.5241491427514</v>
      </c>
      <c r="M119" s="33">
        <f t="shared" si="114"/>
        <v>3191.0710810399914</v>
      </c>
      <c r="N119" s="33">
        <f t="shared" si="114"/>
        <v>3809.5429924296227</v>
      </c>
      <c r="O119" s="33">
        <f t="shared" si="114"/>
        <v>4484.0170958071094</v>
      </c>
      <c r="P119" s="33">
        <f t="shared" si="114"/>
        <v>5223.0443954885159</v>
      </c>
      <c r="Q119" s="33">
        <f t="shared" si="114"/>
        <v>5997.8348003681422</v>
      </c>
    </row>
    <row r="120" spans="2:17" s="2" customFormat="1" outlineLevel="1">
      <c r="E120" s="29"/>
      <c r="F120" s="29"/>
      <c r="G120" s="29"/>
    </row>
    <row r="121" spans="2:17" s="2" customFormat="1" outlineLevel="1">
      <c r="C121" s="2" t="s">
        <v>79</v>
      </c>
      <c r="E121" s="35">
        <f>E119+E117+E110</f>
        <v>1124.9429999999998</v>
      </c>
      <c r="F121" s="35">
        <f>F119+F117+F110</f>
        <v>1398.1280000000002</v>
      </c>
      <c r="G121" s="35">
        <f>G119+G117+G110</f>
        <v>1823.575</v>
      </c>
      <c r="H121" s="35">
        <f>H119+H117+H110</f>
        <v>2268.363864785254</v>
      </c>
      <c r="I121" s="35">
        <f t="shared" ref="I121:Q121" si="115">I119+I117+I110</f>
        <v>2809.2240624912552</v>
      </c>
      <c r="J121" s="35">
        <f t="shared" si="115"/>
        <v>3459.0984201746642</v>
      </c>
      <c r="K121" s="35">
        <f t="shared" si="115"/>
        <v>4120.1869276516773</v>
      </c>
      <c r="L121" s="35">
        <f t="shared" si="115"/>
        <v>4847.9321201161456</v>
      </c>
      <c r="M121" s="35">
        <f t="shared" si="115"/>
        <v>5650.7579776954244</v>
      </c>
      <c r="N121" s="35">
        <f t="shared" si="115"/>
        <v>6516.8699231195724</v>
      </c>
      <c r="O121" s="35">
        <f t="shared" si="115"/>
        <v>7436.854033349895</v>
      </c>
      <c r="P121" s="35">
        <f t="shared" si="115"/>
        <v>8426.3632066473565</v>
      </c>
      <c r="Q121" s="35">
        <f t="shared" si="115"/>
        <v>9455.90399788164</v>
      </c>
    </row>
    <row r="122" spans="2:17" s="2" customFormat="1" outlineLevel="1">
      <c r="E122" s="40"/>
      <c r="F122" s="40"/>
      <c r="G122" s="40"/>
    </row>
    <row r="123" spans="2:17" s="2" customFormat="1" outlineLevel="1">
      <c r="C123" s="2" t="s">
        <v>82</v>
      </c>
      <c r="E123" s="62">
        <f t="shared" ref="E123:G123" si="116">E121-E103</f>
        <v>0</v>
      </c>
      <c r="F123" s="62">
        <f t="shared" si="116"/>
        <v>0</v>
      </c>
      <c r="G123" s="62">
        <f t="shared" si="116"/>
        <v>0</v>
      </c>
      <c r="H123" s="62">
        <f t="shared" ref="H123:Q123" si="117">H121-H103</f>
        <v>0</v>
      </c>
      <c r="I123" s="62">
        <f t="shared" si="117"/>
        <v>0</v>
      </c>
      <c r="J123" s="62">
        <f t="shared" si="117"/>
        <v>0</v>
      </c>
      <c r="K123" s="62">
        <f t="shared" si="117"/>
        <v>0</v>
      </c>
      <c r="L123" s="62">
        <f t="shared" si="117"/>
        <v>0</v>
      </c>
      <c r="M123" s="62">
        <f t="shared" si="117"/>
        <v>0</v>
      </c>
      <c r="N123" s="62">
        <f t="shared" si="117"/>
        <v>0</v>
      </c>
      <c r="O123" s="62">
        <f t="shared" si="117"/>
        <v>0</v>
      </c>
      <c r="P123" s="62">
        <f t="shared" si="117"/>
        <v>0</v>
      </c>
      <c r="Q123" s="62">
        <f t="shared" si="117"/>
        <v>0</v>
      </c>
    </row>
    <row r="125" spans="2:17">
      <c r="B125" s="4" t="s">
        <v>142</v>
      </c>
      <c r="C125" s="5"/>
      <c r="D125" s="14"/>
      <c r="E125" s="15" t="s">
        <v>14</v>
      </c>
      <c r="F125" s="15"/>
      <c r="G125" s="16"/>
      <c r="H125" s="16" t="s">
        <v>9</v>
      </c>
      <c r="I125" s="15"/>
      <c r="J125" s="15"/>
      <c r="K125" s="15"/>
      <c r="L125" s="15"/>
      <c r="M125" s="15"/>
      <c r="N125" s="15"/>
      <c r="O125" s="15"/>
      <c r="P125" s="15"/>
      <c r="Q125" s="16"/>
    </row>
    <row r="126" spans="2:17">
      <c r="B126" s="4" t="s">
        <v>18</v>
      </c>
      <c r="C126" s="5"/>
      <c r="D126" s="24" t="s">
        <v>11</v>
      </c>
      <c r="E126" s="17">
        <f>DATE(2020,12,31)</f>
        <v>44196</v>
      </c>
      <c r="F126" s="17">
        <f t="shared" ref="F126" si="118">EDATE(E126,12)</f>
        <v>44561</v>
      </c>
      <c r="G126" s="17">
        <f t="shared" ref="G126" si="119">EDATE(F126,12)</f>
        <v>44926</v>
      </c>
      <c r="H126" s="17">
        <f t="shared" ref="H126" si="120">EDATE(G126,12)</f>
        <v>45291</v>
      </c>
      <c r="I126" s="17">
        <f t="shared" ref="I126" si="121">EDATE(H126,12)</f>
        <v>45657</v>
      </c>
      <c r="J126" s="17">
        <f t="shared" ref="J126" si="122">EDATE(I126,12)</f>
        <v>46022</v>
      </c>
      <c r="K126" s="17">
        <f t="shared" ref="K126" si="123">EDATE(J126,12)</f>
        <v>46387</v>
      </c>
      <c r="L126" s="17">
        <f t="shared" ref="L126" si="124">EDATE(K126,12)</f>
        <v>46752</v>
      </c>
      <c r="M126" s="17">
        <f t="shared" ref="M126" si="125">EDATE(L126,12)</f>
        <v>47118</v>
      </c>
      <c r="N126" s="17">
        <f t="shared" ref="N126" si="126">EDATE(M126,12)</f>
        <v>47483</v>
      </c>
      <c r="O126" s="17">
        <f t="shared" ref="O126" si="127">EDATE(N126,12)</f>
        <v>47848</v>
      </c>
      <c r="P126" s="17">
        <f t="shared" ref="P126" si="128">EDATE(O126,12)</f>
        <v>48213</v>
      </c>
      <c r="Q126" s="17">
        <f t="shared" ref="Q126" si="129">EDATE(P126,12)</f>
        <v>48579</v>
      </c>
    </row>
    <row r="127" spans="2:17" outlineLevel="1">
      <c r="B127" s="20" t="s">
        <v>86</v>
      </c>
      <c r="C127" s="21"/>
      <c r="D127" s="2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spans="2:17" s="2" customFormat="1" outlineLevel="1">
      <c r="C128" s="2" t="s">
        <v>51</v>
      </c>
      <c r="E128" s="68">
        <v>19.227</v>
      </c>
      <c r="F128" s="68">
        <v>156.917</v>
      </c>
      <c r="G128" s="68">
        <v>187.58799999999999</v>
      </c>
      <c r="H128" s="68">
        <f>H83</f>
        <v>199.31261596173334</v>
      </c>
      <c r="I128" s="68">
        <f t="shared" ref="I128:Q128" si="130">I83</f>
        <v>263.59305683557415</v>
      </c>
      <c r="J128" s="68">
        <f t="shared" si="130"/>
        <v>329.78942353307627</v>
      </c>
      <c r="K128" s="68">
        <f t="shared" si="130"/>
        <v>366.80650376750719</v>
      </c>
      <c r="L128" s="68">
        <f t="shared" si="130"/>
        <v>412.33633144530449</v>
      </c>
      <c r="M128" s="68">
        <f t="shared" si="130"/>
        <v>465.12748745852002</v>
      </c>
      <c r="N128" s="68">
        <f t="shared" si="130"/>
        <v>517.80966755434213</v>
      </c>
      <c r="O128" s="68">
        <f t="shared" si="130"/>
        <v>567.84354711598905</v>
      </c>
      <c r="P128" s="68">
        <f t="shared" si="130"/>
        <v>626.37109265814718</v>
      </c>
      <c r="Q128" s="68">
        <f t="shared" si="130"/>
        <v>656.31874041784772</v>
      </c>
    </row>
    <row r="129" spans="2:17" s="2" customFormat="1" outlineLevel="1">
      <c r="C129" s="49" t="s">
        <v>87</v>
      </c>
      <c r="E129" s="64"/>
      <c r="F129" s="64"/>
      <c r="G129" s="64"/>
    </row>
    <row r="130" spans="2:17" outlineLevel="1">
      <c r="C130" s="50" t="s">
        <v>94</v>
      </c>
      <c r="E130" s="64">
        <v>38.871000000000002</v>
      </c>
      <c r="F130" s="64">
        <v>44.569000000000003</v>
      </c>
      <c r="G130" s="64">
        <v>52.854999999999997</v>
      </c>
      <c r="H130" s="29">
        <f t="shared" ref="H130:Q130" si="131">H51*H71</f>
        <v>55.062920016</v>
      </c>
      <c r="I130" s="29">
        <f t="shared" si="131"/>
        <v>49.964997562365596</v>
      </c>
      <c r="J130" s="29">
        <f t="shared" si="131"/>
        <v>53.267742438003729</v>
      </c>
      <c r="K130" s="29">
        <f t="shared" si="131"/>
        <v>56.290821335861551</v>
      </c>
      <c r="L130" s="29">
        <f t="shared" si="131"/>
        <v>59.532918024894848</v>
      </c>
      <c r="M130" s="29">
        <f t="shared" si="131"/>
        <v>62.860681476703441</v>
      </c>
      <c r="N130" s="29">
        <f t="shared" si="131"/>
        <v>65.548761368350966</v>
      </c>
      <c r="O130" s="29">
        <f t="shared" si="131"/>
        <v>67.404855703564408</v>
      </c>
      <c r="P130" s="29">
        <f t="shared" si="131"/>
        <v>69.004320799755419</v>
      </c>
      <c r="Q130" s="29">
        <f t="shared" si="131"/>
        <v>72.069822626562342</v>
      </c>
    </row>
    <row r="131" spans="2:17" outlineLevel="1">
      <c r="C131" s="50" t="s">
        <v>95</v>
      </c>
      <c r="E131" s="69">
        <v>10.691000000000001</v>
      </c>
      <c r="F131" s="69">
        <v>26.131</v>
      </c>
      <c r="G131" s="69">
        <v>24.369</v>
      </c>
      <c r="H131" s="69">
        <f>-H77</f>
        <v>37.674356207291183</v>
      </c>
      <c r="I131" s="69">
        <f t="shared" ref="I131:Q131" si="132">-I77</f>
        <v>45.581772404224495</v>
      </c>
      <c r="J131" s="69">
        <f t="shared" si="132"/>
        <v>53.994201068575705</v>
      </c>
      <c r="K131" s="69">
        <f t="shared" si="132"/>
        <v>59.253066340833435</v>
      </c>
      <c r="L131" s="69">
        <f t="shared" si="132"/>
        <v>65.172405940771171</v>
      </c>
      <c r="M131" s="69">
        <f t="shared" si="132"/>
        <v>71.682713300173745</v>
      </c>
      <c r="N131" s="69">
        <f t="shared" si="132"/>
        <v>77.997960341919054</v>
      </c>
      <c r="O131" s="69">
        <f t="shared" si="132"/>
        <v>83.852322303260209</v>
      </c>
      <c r="P131" s="69">
        <f t="shared" si="132"/>
        <v>89.929790826541776</v>
      </c>
      <c r="Q131" s="69">
        <f t="shared" si="132"/>
        <v>95.748686579003191</v>
      </c>
    </row>
    <row r="132" spans="2:17" outlineLevel="1">
      <c r="C132" s="50" t="s">
        <v>136</v>
      </c>
      <c r="E132" s="64">
        <v>4.3040000000000003</v>
      </c>
      <c r="F132" s="64">
        <v>36.518000000000001</v>
      </c>
      <c r="G132" s="64">
        <v>-47.197000000000003</v>
      </c>
      <c r="H132" s="29">
        <f>H114-G114</f>
        <v>2.1284464120869337</v>
      </c>
      <c r="I132" s="29">
        <f t="shared" ref="I132:Q132" si="133">I114-H114</f>
        <v>3.5242178203565278</v>
      </c>
      <c r="J132" s="29">
        <f t="shared" si="133"/>
        <v>3.62925972483694</v>
      </c>
      <c r="K132" s="29">
        <f t="shared" si="133"/>
        <v>2.0294859843258877</v>
      </c>
      <c r="L132" s="29">
        <f t="shared" si="133"/>
        <v>2.4962030110336961</v>
      </c>
      <c r="M132" s="29">
        <f t="shared" si="133"/>
        <v>2.8943101548438328</v>
      </c>
      <c r="N132" s="29">
        <f t="shared" si="133"/>
        <v>2.8883354778682744</v>
      </c>
      <c r="O132" s="29">
        <f t="shared" si="133"/>
        <v>2.7431406439604373</v>
      </c>
      <c r="P132" s="29">
        <f t="shared" si="133"/>
        <v>3.2088115168068505</v>
      </c>
      <c r="Q132" s="29">
        <f t="shared" si="133"/>
        <v>1.6418996583990051</v>
      </c>
    </row>
    <row r="133" spans="2:17" outlineLevel="1">
      <c r="C133" s="50" t="s">
        <v>96</v>
      </c>
      <c r="E133" s="64">
        <v>-5.6189999999999962</v>
      </c>
      <c r="F133" s="64">
        <v>-9.3909999999999894</v>
      </c>
      <c r="G133" s="64">
        <v>9.3999999999996753E-2</v>
      </c>
      <c r="H133" s="61">
        <f>AVERAGE(E133:G133)</f>
        <v>-4.9719999999999969</v>
      </c>
      <c r="I133" s="61">
        <f t="shared" ref="I133:Q133" si="134">AVERAGE(F133:H133)</f>
        <v>-4.7563333333333304</v>
      </c>
      <c r="J133" s="61">
        <f t="shared" si="134"/>
        <v>-3.2114444444444437</v>
      </c>
      <c r="K133" s="61">
        <f t="shared" si="134"/>
        <v>-4.3132592592592571</v>
      </c>
      <c r="L133" s="61">
        <f t="shared" si="134"/>
        <v>-4.0936790123456772</v>
      </c>
      <c r="M133" s="61">
        <f t="shared" si="134"/>
        <v>-3.872794238683126</v>
      </c>
      <c r="N133" s="61">
        <f t="shared" si="134"/>
        <v>-4.0932441700960203</v>
      </c>
      <c r="O133" s="61">
        <f t="shared" si="134"/>
        <v>-4.0199058070416074</v>
      </c>
      <c r="P133" s="61">
        <f t="shared" si="134"/>
        <v>-3.9953147386069183</v>
      </c>
      <c r="Q133" s="61">
        <f t="shared" si="134"/>
        <v>-4.036154905248182</v>
      </c>
    </row>
    <row r="134" spans="2:17" s="2" customFormat="1" outlineLevel="1">
      <c r="C134" s="51" t="s">
        <v>88</v>
      </c>
      <c r="D134" s="47"/>
      <c r="E134" s="67">
        <v>3.9129999999999998</v>
      </c>
      <c r="F134" s="67">
        <v>18.722999999999999</v>
      </c>
      <c r="G134" s="67">
        <v>-228.95599999999999</v>
      </c>
      <c r="H134" s="48">
        <f t="shared" ref="H134:Q134" si="135">H54</f>
        <v>19.387721956073051</v>
      </c>
      <c r="I134" s="48">
        <f t="shared" si="135"/>
        <v>-42.109047248045442</v>
      </c>
      <c r="J134" s="48">
        <f t="shared" si="135"/>
        <v>-44.032145580653548</v>
      </c>
      <c r="K134" s="48">
        <f t="shared" si="135"/>
        <v>-25.831975982569361</v>
      </c>
      <c r="L134" s="48">
        <f t="shared" si="135"/>
        <v>-28.834142425389359</v>
      </c>
      <c r="M134" s="48">
        <f t="shared" si="135"/>
        <v>-31.354126143687949</v>
      </c>
      <c r="N134" s="48">
        <f t="shared" si="135"/>
        <v>-29.60086971816213</v>
      </c>
      <c r="O134" s="48">
        <f t="shared" si="135"/>
        <v>-26.482340282193263</v>
      </c>
      <c r="P134" s="48">
        <f t="shared" si="135"/>
        <v>-26.220987864391759</v>
      </c>
      <c r="Q134" s="48">
        <f t="shared" si="135"/>
        <v>-30.220470330712487</v>
      </c>
    </row>
    <row r="135" spans="2:17" s="2" customFormat="1" outlineLevel="1">
      <c r="C135" s="2" t="s">
        <v>92</v>
      </c>
      <c r="E135" s="35">
        <f>SUM(E128:E134)</f>
        <v>71.387</v>
      </c>
      <c r="F135" s="35">
        <f>SUM(F128:F134)</f>
        <v>273.46699999999998</v>
      </c>
      <c r="G135" s="35">
        <f>SUM(G128:G134)</f>
        <v>-11.246999999999986</v>
      </c>
      <c r="H135" s="35">
        <f>SUM(H128:H134)</f>
        <v>308.59406055318453</v>
      </c>
      <c r="I135" s="35">
        <f t="shared" ref="I135:Q135" si="136">SUM(I128:I134)</f>
        <v>315.79866404114193</v>
      </c>
      <c r="J135" s="35">
        <f t="shared" si="136"/>
        <v>393.43703673939461</v>
      </c>
      <c r="K135" s="35">
        <f t="shared" si="136"/>
        <v>454.23464218669943</v>
      </c>
      <c r="L135" s="35">
        <f t="shared" si="136"/>
        <v>506.61003698426919</v>
      </c>
      <c r="M135" s="35">
        <f t="shared" si="136"/>
        <v>567.33827200787005</v>
      </c>
      <c r="N135" s="35">
        <f t="shared" si="136"/>
        <v>630.55061085422221</v>
      </c>
      <c r="O135" s="35">
        <f t="shared" si="136"/>
        <v>691.34161967753926</v>
      </c>
      <c r="P135" s="35">
        <f t="shared" si="136"/>
        <v>758.2977131982525</v>
      </c>
      <c r="Q135" s="35">
        <f t="shared" si="136"/>
        <v>791.52252404585158</v>
      </c>
    </row>
    <row r="136" spans="2:17" outlineLevel="1">
      <c r="E136" s="42"/>
      <c r="F136" s="42"/>
      <c r="G136" s="42"/>
      <c r="H136" s="29"/>
      <c r="I136" s="29"/>
      <c r="J136" s="29"/>
    </row>
    <row r="137" spans="2:17" outlineLevel="1">
      <c r="B137" s="20" t="s">
        <v>86</v>
      </c>
      <c r="C137" s="21"/>
      <c r="D137" s="2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spans="2:17" outlineLevel="1">
      <c r="C138" s="34" t="s">
        <v>97</v>
      </c>
      <c r="E138" s="64">
        <v>-50.255000000000003</v>
      </c>
      <c r="F138" s="64">
        <v>-65.427000000000007</v>
      </c>
      <c r="G138" s="64">
        <v>-122.767</v>
      </c>
      <c r="H138" s="29">
        <f t="shared" ref="H138:Q138" si="137">-H71*H55</f>
        <v>-153.94008784732105</v>
      </c>
      <c r="I138" s="29">
        <f t="shared" si="137"/>
        <v>-169.59535130386732</v>
      </c>
      <c r="J138" s="29">
        <f t="shared" si="137"/>
        <v>-181.16654285490193</v>
      </c>
      <c r="K138" s="29">
        <f t="shared" si="137"/>
        <v>-177.16127812605563</v>
      </c>
      <c r="L138" s="29">
        <f t="shared" si="137"/>
        <v>-171.04639783942716</v>
      </c>
      <c r="M138" s="29">
        <f t="shared" si="137"/>
        <v>-161.94089058277473</v>
      </c>
      <c r="N138" s="29">
        <f t="shared" si="137"/>
        <v>-147.70842157861674</v>
      </c>
      <c r="O138" s="29">
        <f t="shared" si="137"/>
        <v>-158.79510334399689</v>
      </c>
      <c r="P138" s="29">
        <f t="shared" si="137"/>
        <v>-170.30429254372001</v>
      </c>
      <c r="Q138" s="29">
        <f t="shared" si="137"/>
        <v>-181.32381027416847</v>
      </c>
    </row>
    <row r="139" spans="2:17" outlineLevel="1">
      <c r="C139" s="34" t="s">
        <v>98</v>
      </c>
      <c r="E139" s="64">
        <v>-0.59299999999999997</v>
      </c>
      <c r="F139" s="64">
        <v>-1.5940000000000001</v>
      </c>
      <c r="G139" s="64">
        <v>-2.8210000000000002</v>
      </c>
      <c r="H139" s="61">
        <f>G139</f>
        <v>-2.8210000000000002</v>
      </c>
      <c r="I139" s="61">
        <f t="shared" ref="I139:Q139" si="138">H139</f>
        <v>-2.8210000000000002</v>
      </c>
      <c r="J139" s="61">
        <f t="shared" si="138"/>
        <v>-2.8210000000000002</v>
      </c>
      <c r="K139" s="61">
        <f t="shared" si="138"/>
        <v>-2.8210000000000002</v>
      </c>
      <c r="L139" s="61">
        <f t="shared" si="138"/>
        <v>-2.8210000000000002</v>
      </c>
      <c r="M139" s="61">
        <f t="shared" si="138"/>
        <v>-2.8210000000000002</v>
      </c>
      <c r="N139" s="61">
        <f t="shared" si="138"/>
        <v>-2.8210000000000002</v>
      </c>
      <c r="O139" s="61">
        <f t="shared" si="138"/>
        <v>-2.8210000000000002</v>
      </c>
      <c r="P139" s="61">
        <f t="shared" si="138"/>
        <v>-2.8210000000000002</v>
      </c>
      <c r="Q139" s="61">
        <f t="shared" si="138"/>
        <v>-2.8210000000000002</v>
      </c>
    </row>
    <row r="140" spans="2:17" outlineLevel="1">
      <c r="C140" s="38" t="s">
        <v>99</v>
      </c>
      <c r="D140" s="39"/>
      <c r="E140" s="65">
        <v>0</v>
      </c>
      <c r="F140" s="65">
        <v>-32.555</v>
      </c>
      <c r="G140" s="65">
        <v>-5.625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/>
    </row>
    <row r="141" spans="2:17" s="2" customFormat="1" outlineLevel="1">
      <c r="C141" s="2" t="s">
        <v>91</v>
      </c>
      <c r="E141" s="35">
        <f>SUM(E138:E140)</f>
        <v>-50.847999999999999</v>
      </c>
      <c r="F141" s="35">
        <f>SUM(F138:F140)</f>
        <v>-99.575999999999993</v>
      </c>
      <c r="G141" s="35">
        <f>SUM(G138:G140)</f>
        <v>-131.21299999999999</v>
      </c>
      <c r="H141" s="35">
        <f>SUM(H138:H140)</f>
        <v>-156.76108784732105</v>
      </c>
      <c r="I141" s="35">
        <f t="shared" ref="I141:Q141" si="139">SUM(I138:I140)</f>
        <v>-172.41635130386732</v>
      </c>
      <c r="J141" s="35">
        <f t="shared" si="139"/>
        <v>-183.98754285490193</v>
      </c>
      <c r="K141" s="35">
        <f t="shared" si="139"/>
        <v>-179.98227812605563</v>
      </c>
      <c r="L141" s="35">
        <f t="shared" si="139"/>
        <v>-173.86739783942716</v>
      </c>
      <c r="M141" s="35">
        <f t="shared" si="139"/>
        <v>-164.76189058277473</v>
      </c>
      <c r="N141" s="35">
        <f t="shared" si="139"/>
        <v>-150.52942157861673</v>
      </c>
      <c r="O141" s="35">
        <f t="shared" si="139"/>
        <v>-161.61610334399688</v>
      </c>
      <c r="P141" s="35">
        <f t="shared" si="139"/>
        <v>-173.12529254372001</v>
      </c>
      <c r="Q141" s="35">
        <f t="shared" si="139"/>
        <v>-184.14481027416846</v>
      </c>
    </row>
    <row r="142" spans="2:17" outlineLevel="1"/>
    <row r="143" spans="2:17" outlineLevel="1">
      <c r="B143" s="20" t="s">
        <v>89</v>
      </c>
      <c r="C143" s="21"/>
      <c r="D143" s="22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2:17" outlineLevel="1">
      <c r="C144" s="34" t="s">
        <v>100</v>
      </c>
      <c r="E144" s="64">
        <v>0</v>
      </c>
      <c r="F144" s="64">
        <v>-75</v>
      </c>
      <c r="G144" s="64">
        <v>0</v>
      </c>
      <c r="H144" s="61">
        <v>0</v>
      </c>
      <c r="I144" s="61">
        <v>0</v>
      </c>
      <c r="J144" s="61">
        <v>0</v>
      </c>
      <c r="K144" s="61">
        <v>0</v>
      </c>
      <c r="L144" s="61">
        <v>0</v>
      </c>
      <c r="M144" s="61">
        <v>0</v>
      </c>
      <c r="N144" s="61">
        <v>0</v>
      </c>
      <c r="O144" s="61">
        <v>0</v>
      </c>
      <c r="P144" s="61">
        <v>0</v>
      </c>
      <c r="Q144" s="61">
        <v>0</v>
      </c>
    </row>
    <row r="145" spans="2:17" outlineLevel="1">
      <c r="C145" s="34" t="s">
        <v>101</v>
      </c>
      <c r="E145" s="64">
        <v>-0.52300000000000002</v>
      </c>
      <c r="F145" s="64">
        <v>-8.0289999999999999</v>
      </c>
      <c r="G145" s="64">
        <v>-61.124000000000002</v>
      </c>
      <c r="H145" s="61">
        <v>0</v>
      </c>
      <c r="I145" s="61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0</v>
      </c>
      <c r="O145" s="61">
        <v>0</v>
      </c>
      <c r="P145" s="61">
        <v>0</v>
      </c>
      <c r="Q145" s="61">
        <v>0</v>
      </c>
    </row>
    <row r="146" spans="2:17" outlineLevel="1">
      <c r="C146" s="38" t="s">
        <v>96</v>
      </c>
      <c r="D146" s="39"/>
      <c r="E146" s="65">
        <v>11.381</v>
      </c>
      <c r="F146" s="65">
        <v>25.236000000000001</v>
      </c>
      <c r="G146" s="65">
        <v>24.849</v>
      </c>
      <c r="H146" s="60">
        <f>AVERAGE(E146:G146)</f>
        <v>20.488666666666671</v>
      </c>
      <c r="I146" s="60">
        <f t="shared" ref="I146:Q146" si="140">AVERAGE(F146:H146)</f>
        <v>23.524555555555555</v>
      </c>
      <c r="J146" s="60">
        <f t="shared" si="140"/>
        <v>22.954074074074075</v>
      </c>
      <c r="K146" s="60">
        <f t="shared" si="140"/>
        <v>22.322432098765432</v>
      </c>
      <c r="L146" s="60">
        <f t="shared" si="140"/>
        <v>22.933687242798356</v>
      </c>
      <c r="M146" s="60">
        <f t="shared" si="140"/>
        <v>22.736731138545952</v>
      </c>
      <c r="N146" s="60">
        <f t="shared" si="140"/>
        <v>22.664283493369911</v>
      </c>
      <c r="O146" s="60">
        <f t="shared" si="140"/>
        <v>22.778233958238072</v>
      </c>
      <c r="P146" s="60">
        <f t="shared" si="140"/>
        <v>22.726416196717977</v>
      </c>
      <c r="Q146" s="60">
        <f t="shared" si="140"/>
        <v>22.722977882775321</v>
      </c>
    </row>
    <row r="147" spans="2:17" s="2" customFormat="1" outlineLevel="1">
      <c r="C147" s="2" t="s">
        <v>90</v>
      </c>
      <c r="E147" s="35">
        <f>SUM(E144:E146)</f>
        <v>10.858000000000001</v>
      </c>
      <c r="F147" s="35">
        <f>SUM(F144:F146)</f>
        <v>-57.792999999999992</v>
      </c>
      <c r="G147" s="35">
        <f>SUM(G144:G146)</f>
        <v>-36.275000000000006</v>
      </c>
      <c r="H147" s="35">
        <f>SUM(H144:H146)</f>
        <v>20.488666666666671</v>
      </c>
      <c r="I147" s="35">
        <f t="shared" ref="I147:Q147" si="141">SUM(I144:I146)</f>
        <v>23.524555555555555</v>
      </c>
      <c r="J147" s="35">
        <f t="shared" si="141"/>
        <v>22.954074074074075</v>
      </c>
      <c r="K147" s="35">
        <f t="shared" si="141"/>
        <v>22.322432098765432</v>
      </c>
      <c r="L147" s="35">
        <f t="shared" si="141"/>
        <v>22.933687242798356</v>
      </c>
      <c r="M147" s="35">
        <f t="shared" si="141"/>
        <v>22.736731138545952</v>
      </c>
      <c r="N147" s="35">
        <f t="shared" si="141"/>
        <v>22.664283493369911</v>
      </c>
      <c r="O147" s="35">
        <f t="shared" si="141"/>
        <v>22.778233958238072</v>
      </c>
      <c r="P147" s="35">
        <f t="shared" si="141"/>
        <v>22.726416196717977</v>
      </c>
      <c r="Q147" s="35">
        <f t="shared" si="141"/>
        <v>22.722977882775321</v>
      </c>
    </row>
    <row r="148" spans="2:17" outlineLevel="1"/>
    <row r="149" spans="2:17" s="2" customFormat="1" outlineLevel="1">
      <c r="C149" s="2" t="s">
        <v>93</v>
      </c>
      <c r="E149" s="35">
        <f>E147+E141+E135</f>
        <v>31.397000000000006</v>
      </c>
      <c r="F149" s="35">
        <f>F147+F141+F135</f>
        <v>116.09800000000001</v>
      </c>
      <c r="G149" s="35">
        <f>G147+G141+G135</f>
        <v>-178.73499999999999</v>
      </c>
      <c r="H149" s="35">
        <f>H147+H141+H135</f>
        <v>172.32163937253014</v>
      </c>
      <c r="I149" s="35">
        <f t="shared" ref="I149:Q149" si="142">I147+I141+I135</f>
        <v>166.90686829283018</v>
      </c>
      <c r="J149" s="35">
        <f t="shared" si="142"/>
        <v>232.40356795856675</v>
      </c>
      <c r="K149" s="35">
        <f t="shared" si="142"/>
        <v>296.57479615940923</v>
      </c>
      <c r="L149" s="35">
        <f t="shared" si="142"/>
        <v>355.67632638764042</v>
      </c>
      <c r="M149" s="35">
        <f t="shared" si="142"/>
        <v>425.31311256364131</v>
      </c>
      <c r="N149" s="35">
        <f t="shared" si="142"/>
        <v>502.68547276897539</v>
      </c>
      <c r="O149" s="35">
        <f t="shared" si="142"/>
        <v>552.50375029178042</v>
      </c>
      <c r="P149" s="35">
        <f t="shared" si="142"/>
        <v>607.89883685125051</v>
      </c>
      <c r="Q149" s="35">
        <f t="shared" si="142"/>
        <v>630.10069165445839</v>
      </c>
    </row>
    <row r="152" spans="2:17">
      <c r="B152" s="4" t="s">
        <v>141</v>
      </c>
      <c r="C152" s="5"/>
      <c r="D152" s="14"/>
      <c r="E152" s="15" t="s">
        <v>14</v>
      </c>
      <c r="F152" s="15"/>
      <c r="G152" s="16"/>
      <c r="H152" s="16" t="s">
        <v>9</v>
      </c>
      <c r="I152" s="15"/>
      <c r="J152" s="15"/>
      <c r="K152" s="15"/>
      <c r="L152" s="15"/>
      <c r="M152" s="15"/>
      <c r="N152" s="15"/>
      <c r="O152" s="15"/>
      <c r="P152" s="15"/>
      <c r="Q152" s="16"/>
    </row>
    <row r="153" spans="2:17">
      <c r="B153" s="4" t="s">
        <v>16</v>
      </c>
      <c r="C153" s="5"/>
      <c r="D153" s="24" t="s">
        <v>11</v>
      </c>
      <c r="E153" s="17">
        <f>DATE(2020,12,31)</f>
        <v>44196</v>
      </c>
      <c r="F153" s="17">
        <f t="shared" ref="F153" si="143">EDATE(E153,12)</f>
        <v>44561</v>
      </c>
      <c r="G153" s="17">
        <f t="shared" ref="G153" si="144">EDATE(F153,12)</f>
        <v>44926</v>
      </c>
      <c r="H153" s="17">
        <f t="shared" ref="H153" si="145">EDATE(G153,12)</f>
        <v>45291</v>
      </c>
      <c r="I153" s="17">
        <f t="shared" ref="I153" si="146">EDATE(H153,12)</f>
        <v>45657</v>
      </c>
      <c r="J153" s="17">
        <f t="shared" ref="J153" si="147">EDATE(I153,12)</f>
        <v>46022</v>
      </c>
      <c r="K153" s="17">
        <f t="shared" ref="K153" si="148">EDATE(J153,12)</f>
        <v>46387</v>
      </c>
      <c r="L153" s="17">
        <f t="shared" ref="L153" si="149">EDATE(K153,12)</f>
        <v>46752</v>
      </c>
      <c r="M153" s="17">
        <f t="shared" ref="M153" si="150">EDATE(L153,12)</f>
        <v>47118</v>
      </c>
      <c r="N153" s="17">
        <f t="shared" ref="N153" si="151">EDATE(M153,12)</f>
        <v>47483</v>
      </c>
      <c r="O153" s="17">
        <f t="shared" ref="O153" si="152">EDATE(N153,12)</f>
        <v>47848</v>
      </c>
      <c r="P153" s="17">
        <f t="shared" ref="P153" si="153">EDATE(O153,12)</f>
        <v>48213</v>
      </c>
      <c r="Q153" s="17">
        <f t="shared" ref="Q153" si="154">EDATE(P153,12)</f>
        <v>48579</v>
      </c>
    </row>
    <row r="154" spans="2:17" outlineLevel="1">
      <c r="B154" s="2"/>
      <c r="C154" s="2" t="s">
        <v>42</v>
      </c>
      <c r="D154" s="2"/>
      <c r="E154" s="70">
        <f t="shared" ref="E154:Q154" si="155">E71*Excahnge_Rate</f>
        <v>642.99225000000001</v>
      </c>
      <c r="F154" s="70">
        <f t="shared" si="155"/>
        <v>1120.9725000000001</v>
      </c>
      <c r="G154" s="70">
        <f t="shared" si="155"/>
        <v>1646.7225000000001</v>
      </c>
      <c r="H154" s="70">
        <f t="shared" si="155"/>
        <v>2064.8595006</v>
      </c>
      <c r="I154" s="70">
        <f t="shared" si="155"/>
        <v>2498.2498781182799</v>
      </c>
      <c r="J154" s="70">
        <f t="shared" si="155"/>
        <v>2959.3190243335407</v>
      </c>
      <c r="K154" s="70">
        <f t="shared" si="155"/>
        <v>3247.5473847612434</v>
      </c>
      <c r="L154" s="70">
        <f t="shared" si="155"/>
        <v>3571.9750814936906</v>
      </c>
      <c r="M154" s="70">
        <f t="shared" si="155"/>
        <v>3928.7925922939648</v>
      </c>
      <c r="N154" s="70">
        <f t="shared" si="155"/>
        <v>4274.9192196750628</v>
      </c>
      <c r="O154" s="70">
        <f t="shared" si="155"/>
        <v>4595.7856161521195</v>
      </c>
      <c r="P154" s="70">
        <f t="shared" si="155"/>
        <v>4928.8800571253869</v>
      </c>
      <c r="Q154" s="70">
        <f t="shared" si="155"/>
        <v>5247.8026184390055</v>
      </c>
    </row>
    <row r="155" spans="2:17" outlineLevel="1">
      <c r="C155" s="45" t="s">
        <v>43</v>
      </c>
      <c r="D155" s="39"/>
      <c r="E155" s="71">
        <f t="shared" ref="E155:Q155" si="156">E72*Excahnge_Rate</f>
        <v>-370.03049999999996</v>
      </c>
      <c r="F155" s="71">
        <f t="shared" si="156"/>
        <v>-580.0335</v>
      </c>
      <c r="G155" s="71">
        <f t="shared" si="156"/>
        <v>-896.53199999999993</v>
      </c>
      <c r="H155" s="71">
        <f t="shared" si="156"/>
        <v>-1126.9686438447591</v>
      </c>
      <c r="I155" s="71">
        <f t="shared" si="156"/>
        <v>-1351.0152150009028</v>
      </c>
      <c r="J155" s="71">
        <f t="shared" si="156"/>
        <v>-1585.5577421024614</v>
      </c>
      <c r="K155" s="71">
        <f t="shared" si="156"/>
        <v>-1723.7483397420647</v>
      </c>
      <c r="L155" s="71">
        <f t="shared" si="156"/>
        <v>-1878.0897095675464</v>
      </c>
      <c r="M155" s="71">
        <f t="shared" si="156"/>
        <v>-2046.054920785218</v>
      </c>
      <c r="N155" s="71">
        <f t="shared" si="156"/>
        <v>-2204.9377632080204</v>
      </c>
      <c r="O155" s="71">
        <f t="shared" si="156"/>
        <v>-2347.4568008620404</v>
      </c>
      <c r="P155" s="71">
        <f t="shared" si="156"/>
        <v>-2489.0844288483199</v>
      </c>
      <c r="Q155" s="71">
        <f t="shared" si="156"/>
        <v>-2650.1403223116977</v>
      </c>
    </row>
    <row r="156" spans="2:17" outlineLevel="1">
      <c r="B156" s="2"/>
      <c r="C156" s="2" t="s">
        <v>44</v>
      </c>
      <c r="D156" s="2"/>
      <c r="E156" s="72">
        <f t="shared" ref="E156:Q156" si="157">E73*Excahnge_Rate</f>
        <v>272.96174999999999</v>
      </c>
      <c r="F156" s="72">
        <f t="shared" si="157"/>
        <v>540.93900000000008</v>
      </c>
      <c r="G156" s="72">
        <f t="shared" si="157"/>
        <v>750.19050000000016</v>
      </c>
      <c r="H156" s="72">
        <f t="shared" si="157"/>
        <v>937.89085675524086</v>
      </c>
      <c r="I156" s="72">
        <f t="shared" si="157"/>
        <v>1147.2346631173768</v>
      </c>
      <c r="J156" s="72">
        <f t="shared" si="157"/>
        <v>1373.7612822310793</v>
      </c>
      <c r="K156" s="72">
        <f t="shared" si="157"/>
        <v>1523.7990450191787</v>
      </c>
      <c r="L156" s="72">
        <f t="shared" si="157"/>
        <v>1693.8853719261442</v>
      </c>
      <c r="M156" s="72">
        <f t="shared" si="157"/>
        <v>1882.7376715087469</v>
      </c>
      <c r="N156" s="72">
        <f t="shared" si="157"/>
        <v>2069.9814564670423</v>
      </c>
      <c r="O156" s="72">
        <f t="shared" si="157"/>
        <v>2248.3288152900791</v>
      </c>
      <c r="P156" s="72">
        <f t="shared" si="157"/>
        <v>2439.7956282770665</v>
      </c>
      <c r="Q156" s="72">
        <f t="shared" si="157"/>
        <v>2597.6622961273079</v>
      </c>
    </row>
    <row r="157" spans="2:17" outlineLevel="1">
      <c r="E157" s="73"/>
      <c r="F157" s="73"/>
      <c r="G157" s="73"/>
      <c r="H157" s="74"/>
      <c r="I157" s="74"/>
      <c r="J157" s="74"/>
      <c r="K157" s="74"/>
      <c r="L157" s="74"/>
      <c r="M157" s="74"/>
      <c r="N157" s="74"/>
      <c r="O157" s="74"/>
      <c r="P157" s="74"/>
      <c r="Q157" s="74"/>
    </row>
    <row r="158" spans="2:17" outlineLevel="1">
      <c r="C158" s="34" t="s">
        <v>45</v>
      </c>
      <c r="E158" s="73">
        <f t="shared" ref="E158:Q158" si="158">E75*Excahnge_Rate</f>
        <v>-188.0445</v>
      </c>
      <c r="F158" s="73">
        <f t="shared" si="158"/>
        <v>-294.60149999999999</v>
      </c>
      <c r="G158" s="73">
        <f t="shared" si="158"/>
        <v>-451.85175000000004</v>
      </c>
      <c r="H158" s="73">
        <f t="shared" si="158"/>
        <v>-571.04078478428994</v>
      </c>
      <c r="I158" s="73">
        <f t="shared" si="158"/>
        <v>-690.89571013106797</v>
      </c>
      <c r="J158" s="73">
        <f t="shared" si="158"/>
        <v>-818.40525110374881</v>
      </c>
      <c r="K158" s="73">
        <f t="shared" si="158"/>
        <v>-898.1153471601142</v>
      </c>
      <c r="L158" s="73">
        <f t="shared" si="158"/>
        <v>-987.83643786581285</v>
      </c>
      <c r="M158" s="73">
        <f t="shared" si="158"/>
        <v>-1086.5149926696427</v>
      </c>
      <c r="N158" s="73">
        <f t="shared" si="158"/>
        <v>-1182.2369635238381</v>
      </c>
      <c r="O158" s="73">
        <f t="shared" si="158"/>
        <v>-1270.9731699349395</v>
      </c>
      <c r="P158" s="73">
        <f t="shared" si="158"/>
        <v>-1363.0910650873157</v>
      </c>
      <c r="Q158" s="73">
        <f t="shared" si="158"/>
        <v>-1451.2897002220673</v>
      </c>
    </row>
    <row r="159" spans="2:17" outlineLevel="1">
      <c r="C159" s="34" t="s">
        <v>103</v>
      </c>
      <c r="E159" s="73">
        <f t="shared" ref="E159:Q159" si="159">E76*Excahnge_Rate</f>
        <v>-55.750500000000002</v>
      </c>
      <c r="F159" s="73">
        <f t="shared" si="159"/>
        <v>-67.109999999999985</v>
      </c>
      <c r="G159" s="73">
        <f t="shared" si="159"/>
        <v>-85.20150000000001</v>
      </c>
      <c r="H159" s="73">
        <f t="shared" si="159"/>
        <v>-130.56221569857343</v>
      </c>
      <c r="I159" s="73">
        <f t="shared" si="159"/>
        <v>-147.55066702741965</v>
      </c>
      <c r="J159" s="73">
        <f t="shared" si="159"/>
        <v>-169.88812709160408</v>
      </c>
      <c r="K159" s="73">
        <f t="shared" si="159"/>
        <v>-197.18610216495176</v>
      </c>
      <c r="L159" s="73">
        <f t="shared" si="159"/>
        <v>-225.30189635878742</v>
      </c>
      <c r="M159" s="73">
        <f t="shared" si="159"/>
        <v>-254.78522422080619</v>
      </c>
      <c r="N159" s="73">
        <f t="shared" si="159"/>
        <v>-286.01908793595936</v>
      </c>
      <c r="O159" s="73">
        <f t="shared" si="159"/>
        <v>-318.50004535813366</v>
      </c>
      <c r="P159" s="73">
        <f t="shared" si="159"/>
        <v>-351.53325061159842</v>
      </c>
      <c r="Q159" s="73">
        <f t="shared" si="159"/>
        <v>-385.25713918284913</v>
      </c>
    </row>
    <row r="160" spans="2:17" outlineLevel="1">
      <c r="C160" s="38" t="s">
        <v>46</v>
      </c>
      <c r="D160" s="39"/>
      <c r="E160" s="71">
        <f t="shared" ref="E160:Q160" si="160">E77*Excahnge_Rate</f>
        <v>-8.0182500000000001</v>
      </c>
      <c r="F160" s="71">
        <f t="shared" si="160"/>
        <v>-19.59825</v>
      </c>
      <c r="G160" s="71">
        <f t="shared" si="160"/>
        <v>-18.27675</v>
      </c>
      <c r="H160" s="71">
        <f t="shared" si="160"/>
        <v>-28.255767155468387</v>
      </c>
      <c r="I160" s="71">
        <f t="shared" si="160"/>
        <v>-34.186329303168371</v>
      </c>
      <c r="J160" s="71">
        <f t="shared" si="160"/>
        <v>-40.495650801431779</v>
      </c>
      <c r="K160" s="71">
        <f t="shared" si="160"/>
        <v>-44.439799755625074</v>
      </c>
      <c r="L160" s="71">
        <f t="shared" si="160"/>
        <v>-48.879304455578378</v>
      </c>
      <c r="M160" s="71">
        <f t="shared" si="160"/>
        <v>-53.762034975130305</v>
      </c>
      <c r="N160" s="71">
        <f t="shared" si="160"/>
        <v>-58.49847025643929</v>
      </c>
      <c r="O160" s="71">
        <f t="shared" si="160"/>
        <v>-62.889241727445153</v>
      </c>
      <c r="P160" s="71">
        <f t="shared" si="160"/>
        <v>-67.447343119906336</v>
      </c>
      <c r="Q160" s="71">
        <f t="shared" si="160"/>
        <v>-71.811514934252386</v>
      </c>
    </row>
    <row r="161" spans="2:17" outlineLevel="1">
      <c r="B161" s="2"/>
      <c r="C161" s="2" t="s">
        <v>47</v>
      </c>
      <c r="D161" s="2"/>
      <c r="E161" s="72">
        <f t="shared" ref="E161:Q161" si="161">E78*Excahnge_Rate</f>
        <v>21.148500000000006</v>
      </c>
      <c r="F161" s="72">
        <f t="shared" si="161"/>
        <v>159.62925000000007</v>
      </c>
      <c r="G161" s="72">
        <f t="shared" si="161"/>
        <v>194.86050000000006</v>
      </c>
      <c r="H161" s="72">
        <f t="shared" si="161"/>
        <v>208.03208911690908</v>
      </c>
      <c r="I161" s="72">
        <f t="shared" si="161"/>
        <v>274.60195665572098</v>
      </c>
      <c r="J161" s="72">
        <f t="shared" si="161"/>
        <v>344.9722532342949</v>
      </c>
      <c r="K161" s="72">
        <f t="shared" si="161"/>
        <v>384.05779593848774</v>
      </c>
      <c r="L161" s="72">
        <f t="shared" si="161"/>
        <v>431.86773324596555</v>
      </c>
      <c r="M161" s="72">
        <f t="shared" si="161"/>
        <v>487.67541964316797</v>
      </c>
      <c r="N161" s="72">
        <f t="shared" si="161"/>
        <v>543.22693475080587</v>
      </c>
      <c r="O161" s="72">
        <f t="shared" si="161"/>
        <v>595.96635826956083</v>
      </c>
      <c r="P161" s="72">
        <f t="shared" si="161"/>
        <v>657.72396945824607</v>
      </c>
      <c r="Q161" s="72">
        <f t="shared" si="161"/>
        <v>689.3039417881389</v>
      </c>
    </row>
    <row r="162" spans="2:17" outlineLevel="1">
      <c r="B162" s="2"/>
      <c r="C162" s="2"/>
      <c r="D162" s="2"/>
      <c r="E162" s="72"/>
      <c r="F162" s="72"/>
      <c r="G162" s="72"/>
      <c r="H162" s="72"/>
      <c r="I162" s="72"/>
      <c r="J162" s="72"/>
      <c r="K162" s="75"/>
      <c r="L162" s="75"/>
      <c r="M162" s="75"/>
      <c r="N162" s="75"/>
      <c r="O162" s="75"/>
      <c r="P162" s="75"/>
      <c r="Q162" s="75"/>
    </row>
    <row r="163" spans="2:17" outlineLevel="1">
      <c r="C163" s="38" t="s">
        <v>48</v>
      </c>
      <c r="D163" s="39"/>
      <c r="E163" s="71">
        <f t="shared" ref="E163:Q163" si="162">E80*Excahnge_Rate</f>
        <v>-1.497000000000001</v>
      </c>
      <c r="F163" s="71">
        <f t="shared" si="162"/>
        <v>5.0707499999999985</v>
      </c>
      <c r="G163" s="71">
        <f t="shared" si="162"/>
        <v>2.9947499999999989</v>
      </c>
      <c r="H163" s="71">
        <f t="shared" si="162"/>
        <v>2.1894999999999989</v>
      </c>
      <c r="I163" s="71">
        <f t="shared" si="162"/>
        <v>3.4183333333333321</v>
      </c>
      <c r="J163" s="71">
        <f t="shared" si="162"/>
        <v>2.8675277777777768</v>
      </c>
      <c r="K163" s="71">
        <f t="shared" si="162"/>
        <v>2.8251203703703696</v>
      </c>
      <c r="L163" s="71">
        <f t="shared" si="162"/>
        <v>3.0369938271604928</v>
      </c>
      <c r="M163" s="71">
        <f t="shared" si="162"/>
        <v>2.9098806584362134</v>
      </c>
      <c r="N163" s="71">
        <f t="shared" si="162"/>
        <v>2.9239982853223587</v>
      </c>
      <c r="O163" s="71">
        <f t="shared" si="162"/>
        <v>2.956957590306355</v>
      </c>
      <c r="P163" s="71">
        <f t="shared" si="162"/>
        <v>2.930278844688309</v>
      </c>
      <c r="Q163" s="71">
        <f t="shared" si="162"/>
        <v>2.9370782401056741</v>
      </c>
    </row>
    <row r="164" spans="2:17" outlineLevel="1">
      <c r="B164" s="2"/>
      <c r="C164" s="2" t="s">
        <v>49</v>
      </c>
      <c r="D164" s="2"/>
      <c r="E164" s="72">
        <f t="shared" ref="E164:Q164" si="163">E81*Excahnge_Rate</f>
        <v>19.651500000000006</v>
      </c>
      <c r="F164" s="72">
        <f t="shared" si="163"/>
        <v>164.70000000000005</v>
      </c>
      <c r="G164" s="72">
        <f t="shared" si="163"/>
        <v>197.85525000000007</v>
      </c>
      <c r="H164" s="72">
        <f t="shared" si="163"/>
        <v>210.22158911690906</v>
      </c>
      <c r="I164" s="72">
        <f t="shared" si="163"/>
        <v>278.02028998905433</v>
      </c>
      <c r="J164" s="72">
        <f t="shared" si="163"/>
        <v>347.83978101207265</v>
      </c>
      <c r="K164" s="72">
        <f t="shared" si="163"/>
        <v>386.88291630885806</v>
      </c>
      <c r="L164" s="72">
        <f t="shared" si="163"/>
        <v>434.90472707312603</v>
      </c>
      <c r="M164" s="72">
        <f t="shared" si="163"/>
        <v>490.58530030160421</v>
      </c>
      <c r="N164" s="72">
        <f t="shared" si="163"/>
        <v>546.15093303612821</v>
      </c>
      <c r="O164" s="72">
        <f t="shared" si="163"/>
        <v>598.92331585986722</v>
      </c>
      <c r="P164" s="72">
        <f t="shared" si="163"/>
        <v>660.65424830293443</v>
      </c>
      <c r="Q164" s="72">
        <f t="shared" si="163"/>
        <v>692.24102002824452</v>
      </c>
    </row>
    <row r="165" spans="2:17" outlineLevel="1">
      <c r="C165" s="38" t="s">
        <v>50</v>
      </c>
      <c r="D165" s="39"/>
      <c r="E165" s="71">
        <f t="shared" ref="E165:Q165" si="164">E82*Excahnge_Rate</f>
        <v>-5.2312499999999993</v>
      </c>
      <c r="F165" s="71">
        <f t="shared" si="164"/>
        <v>-47.012250000000002</v>
      </c>
      <c r="G165" s="71">
        <f t="shared" si="164"/>
        <v>-57.164249999999996</v>
      </c>
      <c r="H165" s="71">
        <f t="shared" si="164"/>
        <v>-60.737127145609051</v>
      </c>
      <c r="I165" s="71">
        <f t="shared" si="164"/>
        <v>-80.325497362373724</v>
      </c>
      <c r="J165" s="71">
        <f t="shared" si="164"/>
        <v>-100.49771336226544</v>
      </c>
      <c r="K165" s="71">
        <f t="shared" si="164"/>
        <v>-111.77803848322769</v>
      </c>
      <c r="L165" s="71">
        <f t="shared" si="164"/>
        <v>-125.65247848914768</v>
      </c>
      <c r="M165" s="71">
        <f t="shared" si="164"/>
        <v>-141.73968470771419</v>
      </c>
      <c r="N165" s="71">
        <f t="shared" si="164"/>
        <v>-157.7936823703717</v>
      </c>
      <c r="O165" s="71">
        <f t="shared" si="164"/>
        <v>-173.04065552287545</v>
      </c>
      <c r="P165" s="71">
        <f t="shared" si="164"/>
        <v>-190.87592880932402</v>
      </c>
      <c r="Q165" s="71">
        <f t="shared" si="164"/>
        <v>-200.00196471485879</v>
      </c>
    </row>
    <row r="166" spans="2:17" outlineLevel="1">
      <c r="B166" s="2"/>
      <c r="C166" s="2" t="s">
        <v>51</v>
      </c>
      <c r="D166" s="2"/>
      <c r="E166" s="70">
        <f t="shared" ref="E166:Q166" si="165">E83*Excahnge_Rate</f>
        <v>14.420250000000003</v>
      </c>
      <c r="F166" s="70">
        <f t="shared" si="165"/>
        <v>117.68775000000007</v>
      </c>
      <c r="G166" s="70">
        <f t="shared" si="165"/>
        <v>140.69100000000006</v>
      </c>
      <c r="H166" s="72">
        <f t="shared" si="165"/>
        <v>149.48446197129999</v>
      </c>
      <c r="I166" s="72">
        <f t="shared" si="165"/>
        <v>197.69479262668062</v>
      </c>
      <c r="J166" s="72">
        <f t="shared" si="165"/>
        <v>247.34206764980721</v>
      </c>
      <c r="K166" s="72">
        <f t="shared" si="165"/>
        <v>275.10487782563041</v>
      </c>
      <c r="L166" s="72">
        <f t="shared" si="165"/>
        <v>309.25224858397837</v>
      </c>
      <c r="M166" s="72">
        <f t="shared" si="165"/>
        <v>348.84561559388999</v>
      </c>
      <c r="N166" s="72">
        <f t="shared" si="165"/>
        <v>388.35725066575662</v>
      </c>
      <c r="O166" s="72">
        <f t="shared" si="165"/>
        <v>425.88266033699176</v>
      </c>
      <c r="P166" s="72">
        <f t="shared" si="165"/>
        <v>469.77831949361041</v>
      </c>
      <c r="Q166" s="72">
        <f t="shared" si="165"/>
        <v>492.23905531338579</v>
      </c>
    </row>
    <row r="168" spans="2:17">
      <c r="B168" s="4" t="s">
        <v>141</v>
      </c>
      <c r="C168" s="5"/>
      <c r="D168" s="14"/>
      <c r="E168" s="15" t="s">
        <v>14</v>
      </c>
      <c r="F168" s="15"/>
      <c r="G168" s="16"/>
      <c r="H168" s="16" t="s">
        <v>9</v>
      </c>
      <c r="I168" s="15"/>
      <c r="J168" s="15"/>
      <c r="K168" s="15"/>
      <c r="L168" s="15"/>
      <c r="M168" s="15"/>
      <c r="N168" s="15"/>
      <c r="O168" s="15"/>
      <c r="P168" s="15"/>
      <c r="Q168" s="16"/>
    </row>
    <row r="169" spans="2:17">
      <c r="B169" s="4" t="s">
        <v>17</v>
      </c>
      <c r="C169" s="5"/>
      <c r="D169" s="24" t="s">
        <v>11</v>
      </c>
      <c r="E169" s="17">
        <f>DATE(2020,12,31)</f>
        <v>44196</v>
      </c>
      <c r="F169" s="17">
        <f t="shared" ref="F169" si="166">EDATE(E169,12)</f>
        <v>44561</v>
      </c>
      <c r="G169" s="17">
        <f t="shared" ref="G169" si="167">EDATE(F169,12)</f>
        <v>44926</v>
      </c>
      <c r="H169" s="17">
        <f t="shared" ref="H169" si="168">EDATE(G169,12)</f>
        <v>45291</v>
      </c>
      <c r="I169" s="17">
        <f t="shared" ref="I169" si="169">EDATE(H169,12)</f>
        <v>45657</v>
      </c>
      <c r="J169" s="17">
        <f t="shared" ref="J169" si="170">EDATE(I169,12)</f>
        <v>46022</v>
      </c>
      <c r="K169" s="17">
        <f t="shared" ref="K169" si="171">EDATE(J169,12)</f>
        <v>46387</v>
      </c>
      <c r="L169" s="17">
        <f t="shared" ref="L169" si="172">EDATE(K169,12)</f>
        <v>46752</v>
      </c>
      <c r="M169" s="17">
        <f t="shared" ref="M169" si="173">EDATE(L169,12)</f>
        <v>47118</v>
      </c>
      <c r="N169" s="17">
        <f t="shared" ref="N169" si="174">EDATE(M169,12)</f>
        <v>47483</v>
      </c>
      <c r="O169" s="17">
        <f t="shared" ref="O169" si="175">EDATE(N169,12)</f>
        <v>47848</v>
      </c>
      <c r="P169" s="17">
        <f t="shared" ref="P169" si="176">EDATE(O169,12)</f>
        <v>48213</v>
      </c>
      <c r="Q169" s="17">
        <f t="shared" ref="Q169" si="177">EDATE(P169,12)</f>
        <v>48579</v>
      </c>
    </row>
    <row r="170" spans="2:17" outlineLevel="1">
      <c r="B170" s="20" t="s">
        <v>52</v>
      </c>
      <c r="C170" s="21"/>
      <c r="D170" s="22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2:17" outlineLevel="1">
      <c r="B171" s="2"/>
      <c r="C171" s="2" t="s">
        <v>60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outlineLevel="1">
      <c r="C172" s="34" t="s">
        <v>55</v>
      </c>
      <c r="E172" s="76">
        <f t="shared" ref="E172:Q172" si="178">E89*Excahnge_Rate</f>
        <v>111.86024999999999</v>
      </c>
      <c r="F172" s="76">
        <f t="shared" si="178"/>
        <v>198.93375</v>
      </c>
      <c r="G172" s="76">
        <f t="shared" si="178"/>
        <v>64.882500000000007</v>
      </c>
      <c r="H172" s="73">
        <f t="shared" si="178"/>
        <v>194.12372952939762</v>
      </c>
      <c r="I172" s="73">
        <f t="shared" si="178"/>
        <v>319.30388074902021</v>
      </c>
      <c r="J172" s="73">
        <f t="shared" si="178"/>
        <v>493.6065567179453</v>
      </c>
      <c r="K172" s="73">
        <f t="shared" si="178"/>
        <v>716.03765383750215</v>
      </c>
      <c r="L172" s="73">
        <f t="shared" si="178"/>
        <v>982.79489862823243</v>
      </c>
      <c r="M172" s="73">
        <f t="shared" si="178"/>
        <v>1301.7797330509634</v>
      </c>
      <c r="N172" s="73">
        <f t="shared" si="178"/>
        <v>1678.7938376276952</v>
      </c>
      <c r="O172" s="73">
        <f t="shared" si="178"/>
        <v>2093.1716503465304</v>
      </c>
      <c r="P172" s="73">
        <f t="shared" si="178"/>
        <v>2549.0957779849682</v>
      </c>
      <c r="Q172" s="73">
        <f t="shared" si="178"/>
        <v>3021.6712967258122</v>
      </c>
    </row>
    <row r="173" spans="2:17" outlineLevel="1">
      <c r="C173" s="34" t="s">
        <v>56</v>
      </c>
      <c r="E173" s="73">
        <f t="shared" ref="E173:Q173" si="179">E90*Excahnge_Rate</f>
        <v>4.6515000000000004</v>
      </c>
      <c r="F173" s="73">
        <f t="shared" si="179"/>
        <v>6.1102500000000006</v>
      </c>
      <c r="G173" s="73">
        <f t="shared" si="179"/>
        <v>13.638000000000002</v>
      </c>
      <c r="H173" s="73">
        <f t="shared" si="179"/>
        <v>14.431233586707933</v>
      </c>
      <c r="I173" s="73">
        <f t="shared" si="179"/>
        <v>17.460184355697525</v>
      </c>
      <c r="J173" s="73">
        <f t="shared" si="179"/>
        <v>20.682581107981633</v>
      </c>
      <c r="K173" s="73">
        <f t="shared" si="179"/>
        <v>22.696999422853601</v>
      </c>
      <c r="L173" s="73">
        <f t="shared" si="179"/>
        <v>24.964413681394262</v>
      </c>
      <c r="M173" s="73">
        <f t="shared" si="179"/>
        <v>27.458199260844175</v>
      </c>
      <c r="N173" s="73">
        <f t="shared" si="179"/>
        <v>29.877266615724547</v>
      </c>
      <c r="O173" s="73">
        <f t="shared" si="179"/>
        <v>32.119791066584341</v>
      </c>
      <c r="P173" s="73">
        <f t="shared" si="179"/>
        <v>34.44777690907015</v>
      </c>
      <c r="Q173" s="73">
        <f t="shared" si="179"/>
        <v>36.676715961364337</v>
      </c>
    </row>
    <row r="174" spans="2:17" outlineLevel="1">
      <c r="C174" s="34" t="s">
        <v>57</v>
      </c>
      <c r="E174" s="73">
        <f t="shared" ref="E174:Q174" si="180">E91*Excahnge_Rate</f>
        <v>128.86574999999999</v>
      </c>
      <c r="F174" s="73">
        <f t="shared" si="180"/>
        <v>156.09375</v>
      </c>
      <c r="G174" s="73">
        <f t="shared" si="180"/>
        <v>350.72550000000001</v>
      </c>
      <c r="H174" s="73">
        <f t="shared" si="180"/>
        <v>378.87601968919114</v>
      </c>
      <c r="I174" s="73">
        <f t="shared" si="180"/>
        <v>454.19832219359336</v>
      </c>
      <c r="J174" s="73">
        <f t="shared" si="180"/>
        <v>533.04926414431156</v>
      </c>
      <c r="K174" s="73">
        <f t="shared" si="180"/>
        <v>579.50761405326932</v>
      </c>
      <c r="L174" s="73">
        <f t="shared" si="180"/>
        <v>631.39569824464388</v>
      </c>
      <c r="M174" s="73">
        <f t="shared" si="180"/>
        <v>687.86398688779423</v>
      </c>
      <c r="N174" s="73">
        <f t="shared" si="180"/>
        <v>741.27887048978073</v>
      </c>
      <c r="O174" s="73">
        <f t="shared" si="180"/>
        <v>789.19240030377182</v>
      </c>
      <c r="P174" s="73">
        <f t="shared" si="180"/>
        <v>836.80624676040384</v>
      </c>
      <c r="Q174" s="73">
        <f t="shared" si="180"/>
        <v>890.9516892233944</v>
      </c>
    </row>
    <row r="175" spans="2:17" outlineLevel="1">
      <c r="C175" s="38" t="s">
        <v>58</v>
      </c>
      <c r="D175" s="39"/>
      <c r="E175" s="71">
        <f t="shared" ref="E175:Q175" si="181">E92*Excahnge_Rate</f>
        <v>21.128250000000001</v>
      </c>
      <c r="F175" s="71">
        <f t="shared" si="181"/>
        <v>30.014249999999997</v>
      </c>
      <c r="G175" s="71">
        <f t="shared" si="181"/>
        <v>29.64</v>
      </c>
      <c r="H175" s="71">
        <f t="shared" si="181"/>
        <v>53.434323308237985</v>
      </c>
      <c r="I175" s="71">
        <f t="shared" si="181"/>
        <v>64.649576231868835</v>
      </c>
      <c r="J175" s="71">
        <f t="shared" si="181"/>
        <v>76.581098845954969</v>
      </c>
      <c r="K175" s="71">
        <f t="shared" si="181"/>
        <v>84.039856884079086</v>
      </c>
      <c r="L175" s="71">
        <f t="shared" si="181"/>
        <v>92.435379403800766</v>
      </c>
      <c r="M175" s="71">
        <f t="shared" si="181"/>
        <v>101.66908379318045</v>
      </c>
      <c r="N175" s="71">
        <f t="shared" si="181"/>
        <v>110.62613007535964</v>
      </c>
      <c r="O175" s="71">
        <f t="shared" si="181"/>
        <v>118.92949345825436</v>
      </c>
      <c r="P175" s="71">
        <f t="shared" si="181"/>
        <v>127.54929352018131</v>
      </c>
      <c r="Q175" s="71">
        <f t="shared" si="181"/>
        <v>135.80235444106791</v>
      </c>
    </row>
    <row r="176" spans="2:17" outlineLevel="1">
      <c r="B176" s="2"/>
      <c r="C176" s="2" t="s">
        <v>59</v>
      </c>
      <c r="D176" s="2"/>
      <c r="E176" s="72">
        <f t="shared" ref="E176:Q176" si="182">E93*Excahnge_Rate</f>
        <v>266.50574999999998</v>
      </c>
      <c r="F176" s="72">
        <f t="shared" si="182"/>
        <v>391.15199999999993</v>
      </c>
      <c r="G176" s="72">
        <f t="shared" si="182"/>
        <v>458.88599999999997</v>
      </c>
      <c r="H176" s="72">
        <f t="shared" si="182"/>
        <v>640.86530611353464</v>
      </c>
      <c r="I176" s="72">
        <f t="shared" si="182"/>
        <v>855.61196353017999</v>
      </c>
      <c r="J176" s="72">
        <f t="shared" si="182"/>
        <v>1123.9195008161935</v>
      </c>
      <c r="K176" s="72">
        <f t="shared" si="182"/>
        <v>1402.2821241977044</v>
      </c>
      <c r="L176" s="72">
        <f t="shared" si="182"/>
        <v>1731.5903899580717</v>
      </c>
      <c r="M176" s="72">
        <f t="shared" si="182"/>
        <v>2118.7710029927821</v>
      </c>
      <c r="N176" s="72">
        <f t="shared" si="182"/>
        <v>2560.5761048085601</v>
      </c>
      <c r="O176" s="72">
        <f t="shared" si="182"/>
        <v>3033.4133351751407</v>
      </c>
      <c r="P176" s="72">
        <f t="shared" si="182"/>
        <v>3547.8990951746237</v>
      </c>
      <c r="Q176" s="72">
        <f t="shared" si="182"/>
        <v>4085.1020563516386</v>
      </c>
    </row>
    <row r="177" spans="2:17" outlineLevel="1">
      <c r="E177" s="73"/>
      <c r="F177" s="73"/>
      <c r="G177" s="73"/>
      <c r="H177" s="74"/>
      <c r="I177" s="74"/>
      <c r="J177" s="74"/>
      <c r="K177" s="74"/>
      <c r="L177" s="74"/>
      <c r="M177" s="74"/>
      <c r="N177" s="74"/>
      <c r="O177" s="74"/>
      <c r="P177" s="74"/>
      <c r="Q177" s="74"/>
    </row>
    <row r="178" spans="2:17" outlineLevel="1">
      <c r="B178" s="2"/>
      <c r="C178" s="2" t="s">
        <v>61</v>
      </c>
      <c r="D178" s="2"/>
      <c r="E178" s="73"/>
      <c r="F178" s="73"/>
      <c r="G178" s="73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2:17" outlineLevel="1">
      <c r="C179" s="34" t="s">
        <v>62</v>
      </c>
      <c r="E179" s="73">
        <f t="shared" ref="E179:Q179" si="183">E96*Excahnge_Rate</f>
        <v>142.17600000000002</v>
      </c>
      <c r="F179" s="73">
        <f t="shared" si="183"/>
        <v>167.39249999999998</v>
      </c>
      <c r="G179" s="73">
        <f t="shared" si="183"/>
        <v>231.45600000000002</v>
      </c>
      <c r="H179" s="73">
        <f t="shared" si="183"/>
        <v>305.61387587349077</v>
      </c>
      <c r="I179" s="73">
        <f t="shared" si="183"/>
        <v>395.33664117961712</v>
      </c>
      <c r="J179" s="73">
        <f t="shared" si="183"/>
        <v>491.26074149229078</v>
      </c>
      <c r="K179" s="73">
        <f t="shared" si="183"/>
        <v>581.91358408493636</v>
      </c>
      <c r="L179" s="73">
        <f t="shared" si="183"/>
        <v>665.54869394583557</v>
      </c>
      <c r="M179" s="73">
        <f t="shared" si="183"/>
        <v>739.8588507753891</v>
      </c>
      <c r="N179" s="73">
        <f t="shared" si="183"/>
        <v>801.4785959330884</v>
      </c>
      <c r="O179" s="73">
        <f t="shared" si="183"/>
        <v>870.02128166341276</v>
      </c>
      <c r="P179" s="73">
        <f t="shared" si="183"/>
        <v>945.99626047138645</v>
      </c>
      <c r="Q179" s="73">
        <f t="shared" si="183"/>
        <v>1027.9367512070908</v>
      </c>
    </row>
    <row r="180" spans="2:17" outlineLevel="1">
      <c r="C180" s="34" t="s">
        <v>63</v>
      </c>
      <c r="E180" s="73">
        <f t="shared" ref="E180:Q180" si="184">E97*Excahnge_Rate</f>
        <v>46.536749999999998</v>
      </c>
      <c r="F180" s="73">
        <f t="shared" si="184"/>
        <v>65.54849999999999</v>
      </c>
      <c r="G180" s="73">
        <f t="shared" si="184"/>
        <v>64.786500000000004</v>
      </c>
      <c r="H180" s="73">
        <f t="shared" si="184"/>
        <v>66.902250000000009</v>
      </c>
      <c r="I180" s="73">
        <f t="shared" si="184"/>
        <v>69.018000000000001</v>
      </c>
      <c r="J180" s="73">
        <f t="shared" si="184"/>
        <v>71.133749999999992</v>
      </c>
      <c r="K180" s="73">
        <f t="shared" si="184"/>
        <v>73.249499999999998</v>
      </c>
      <c r="L180" s="73">
        <f t="shared" si="184"/>
        <v>75.365250000000003</v>
      </c>
      <c r="M180" s="73">
        <f t="shared" si="184"/>
        <v>77.480999999999995</v>
      </c>
      <c r="N180" s="73">
        <f t="shared" si="184"/>
        <v>79.596749999999986</v>
      </c>
      <c r="O180" s="73">
        <f t="shared" si="184"/>
        <v>81.712499999999991</v>
      </c>
      <c r="P180" s="73">
        <f t="shared" si="184"/>
        <v>83.828249999999997</v>
      </c>
      <c r="Q180" s="73">
        <f t="shared" si="184"/>
        <v>85.943999999999988</v>
      </c>
    </row>
    <row r="181" spans="2:17" outlineLevel="1">
      <c r="C181" s="34" t="s">
        <v>64</v>
      </c>
      <c r="E181" s="73">
        <f t="shared" ref="E181:Q181" si="185">E98*Excahnge_Rate</f>
        <v>113.76149999999998</v>
      </c>
      <c r="F181" s="73">
        <f t="shared" si="185"/>
        <v>149.1345</v>
      </c>
      <c r="G181" s="73">
        <f t="shared" si="185"/>
        <v>149.1345</v>
      </c>
      <c r="H181" s="73">
        <f t="shared" si="185"/>
        <v>149.1345</v>
      </c>
      <c r="I181" s="73">
        <f t="shared" si="185"/>
        <v>149.1345</v>
      </c>
      <c r="J181" s="73">
        <f t="shared" si="185"/>
        <v>149.1345</v>
      </c>
      <c r="K181" s="73">
        <f t="shared" si="185"/>
        <v>149.1345</v>
      </c>
      <c r="L181" s="73">
        <f t="shared" si="185"/>
        <v>149.1345</v>
      </c>
      <c r="M181" s="73">
        <f t="shared" si="185"/>
        <v>149.1345</v>
      </c>
      <c r="N181" s="73">
        <f t="shared" si="185"/>
        <v>149.1345</v>
      </c>
      <c r="O181" s="73">
        <f t="shared" si="185"/>
        <v>149.1345</v>
      </c>
      <c r="P181" s="73">
        <f t="shared" si="185"/>
        <v>149.1345</v>
      </c>
      <c r="Q181" s="73">
        <f t="shared" si="185"/>
        <v>149.1345</v>
      </c>
    </row>
    <row r="182" spans="2:17" outlineLevel="1">
      <c r="C182" s="34" t="s">
        <v>65</v>
      </c>
      <c r="E182" s="73">
        <f t="shared" ref="E182:Q182" si="186">E99*Excahnge_Rate</f>
        <v>272.56274999999999</v>
      </c>
      <c r="F182" s="73">
        <f t="shared" si="186"/>
        <v>272.16525000000001</v>
      </c>
      <c r="G182" s="73">
        <f t="shared" si="186"/>
        <v>460.54575</v>
      </c>
      <c r="H182" s="73">
        <f t="shared" si="186"/>
        <v>535.88446660191516</v>
      </c>
      <c r="I182" s="73">
        <f t="shared" si="186"/>
        <v>634.94444215864416</v>
      </c>
      <c r="J182" s="73">
        <f t="shared" si="186"/>
        <v>756.00282282251374</v>
      </c>
      <c r="K182" s="73">
        <f t="shared" si="186"/>
        <v>880.68798745611741</v>
      </c>
      <c r="L182" s="73">
        <f t="shared" si="186"/>
        <v>1011.4377561832023</v>
      </c>
      <c r="M182" s="73">
        <f t="shared" si="186"/>
        <v>1149.9506295033971</v>
      </c>
      <c r="N182" s="73">
        <f t="shared" si="186"/>
        <v>1293.993991598031</v>
      </c>
      <c r="O182" s="73">
        <f t="shared" si="186"/>
        <v>1440.4864081738683</v>
      </c>
      <c r="P182" s="73">
        <f t="shared" si="186"/>
        <v>1590.0417993395079</v>
      </c>
      <c r="Q182" s="73">
        <f t="shared" si="186"/>
        <v>1740.9381908525008</v>
      </c>
    </row>
    <row r="183" spans="2:17" outlineLevel="1">
      <c r="C183" s="38" t="s">
        <v>66</v>
      </c>
      <c r="D183" s="39"/>
      <c r="E183" s="71">
        <f t="shared" ref="E183:Q183" si="187">E100*Excahnge_Rate</f>
        <v>2.1645000000000003</v>
      </c>
      <c r="F183" s="71">
        <f t="shared" si="187"/>
        <v>3.2032499999999997</v>
      </c>
      <c r="G183" s="71">
        <f t="shared" si="187"/>
        <v>2.8725000000000001</v>
      </c>
      <c r="H183" s="71">
        <f t="shared" si="187"/>
        <v>2.8725000000000001</v>
      </c>
      <c r="I183" s="71">
        <f t="shared" si="187"/>
        <v>2.8725000000000001</v>
      </c>
      <c r="J183" s="71">
        <f t="shared" si="187"/>
        <v>2.8725000000000001</v>
      </c>
      <c r="K183" s="71">
        <f t="shared" si="187"/>
        <v>2.8725000000000001</v>
      </c>
      <c r="L183" s="71">
        <f t="shared" si="187"/>
        <v>2.8725000000000001</v>
      </c>
      <c r="M183" s="71">
        <f t="shared" si="187"/>
        <v>2.8725000000000001</v>
      </c>
      <c r="N183" s="71">
        <f t="shared" si="187"/>
        <v>2.8725000000000001</v>
      </c>
      <c r="O183" s="71">
        <f t="shared" si="187"/>
        <v>2.8725000000000001</v>
      </c>
      <c r="P183" s="71">
        <f t="shared" si="187"/>
        <v>2.8725000000000001</v>
      </c>
      <c r="Q183" s="71">
        <f t="shared" si="187"/>
        <v>2.8725000000000001</v>
      </c>
    </row>
    <row r="184" spans="2:17" outlineLevel="1">
      <c r="B184" s="2"/>
      <c r="C184" s="2" t="s">
        <v>67</v>
      </c>
      <c r="D184" s="2"/>
      <c r="E184" s="72">
        <f t="shared" ref="E184:Q184" si="188">E101*Excahnge_Rate</f>
        <v>577.2014999999999</v>
      </c>
      <c r="F184" s="72">
        <f t="shared" si="188"/>
        <v>657.44399999999996</v>
      </c>
      <c r="G184" s="72">
        <f t="shared" si="188"/>
        <v>908.7952499999999</v>
      </c>
      <c r="H184" s="72">
        <f t="shared" si="188"/>
        <v>1060.4075924754061</v>
      </c>
      <c r="I184" s="72">
        <f t="shared" si="188"/>
        <v>1251.306083338261</v>
      </c>
      <c r="J184" s="72">
        <f t="shared" si="188"/>
        <v>1470.4043143148042</v>
      </c>
      <c r="K184" s="72">
        <f t="shared" si="188"/>
        <v>1687.8580715410537</v>
      </c>
      <c r="L184" s="72">
        <f t="shared" si="188"/>
        <v>1904.358700129038</v>
      </c>
      <c r="M184" s="72">
        <f t="shared" si="188"/>
        <v>2119.2974802787858</v>
      </c>
      <c r="N184" s="72">
        <f t="shared" si="188"/>
        <v>2327.0763375311194</v>
      </c>
      <c r="O184" s="72">
        <f t="shared" si="188"/>
        <v>2544.227189837281</v>
      </c>
      <c r="P184" s="72">
        <f t="shared" si="188"/>
        <v>2771.8733098108942</v>
      </c>
      <c r="Q184" s="72">
        <f t="shared" si="188"/>
        <v>3006.8259420595919</v>
      </c>
    </row>
    <row r="185" spans="2:17" outlineLevel="1">
      <c r="E185" s="73"/>
      <c r="F185" s="73"/>
      <c r="G185" s="73"/>
      <c r="H185" s="74"/>
      <c r="I185" s="74"/>
      <c r="J185" s="74"/>
      <c r="K185" s="74"/>
      <c r="L185" s="74"/>
      <c r="M185" s="74"/>
      <c r="N185" s="74"/>
      <c r="O185" s="74"/>
      <c r="P185" s="74"/>
      <c r="Q185" s="74"/>
    </row>
    <row r="186" spans="2:17" outlineLevel="1">
      <c r="B186" s="35"/>
      <c r="C186" s="35" t="s">
        <v>68</v>
      </c>
      <c r="D186" s="35"/>
      <c r="E186" s="70">
        <f t="shared" ref="E186:Q186" si="189">E103*Excahnge_Rate</f>
        <v>843.70724999999982</v>
      </c>
      <c r="F186" s="70">
        <f t="shared" si="189"/>
        <v>1048.5959999999998</v>
      </c>
      <c r="G186" s="70">
        <f t="shared" si="189"/>
        <v>1367.6812499999999</v>
      </c>
      <c r="H186" s="70">
        <f t="shared" si="189"/>
        <v>1701.2728985889405</v>
      </c>
      <c r="I186" s="70">
        <f t="shared" si="189"/>
        <v>2106.9180468684408</v>
      </c>
      <c r="J186" s="70">
        <f t="shared" si="189"/>
        <v>2594.3238151309979</v>
      </c>
      <c r="K186" s="70">
        <f t="shared" si="189"/>
        <v>3090.1401957387579</v>
      </c>
      <c r="L186" s="70">
        <f t="shared" si="189"/>
        <v>3635.9490900871092</v>
      </c>
      <c r="M186" s="70">
        <f t="shared" si="189"/>
        <v>4238.0684832715688</v>
      </c>
      <c r="N186" s="70">
        <f t="shared" si="189"/>
        <v>4887.6524423396804</v>
      </c>
      <c r="O186" s="70">
        <f t="shared" si="189"/>
        <v>5577.6405250124208</v>
      </c>
      <c r="P186" s="70">
        <f t="shared" si="189"/>
        <v>6319.7724049855187</v>
      </c>
      <c r="Q186" s="70">
        <f t="shared" si="189"/>
        <v>7091.92799841123</v>
      </c>
    </row>
    <row r="187" spans="2:17" outlineLevel="1"/>
    <row r="188" spans="2:17" outlineLevel="1">
      <c r="B188" s="20" t="s">
        <v>53</v>
      </c>
      <c r="C188" s="21"/>
      <c r="D188" s="22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2:17" outlineLevel="1">
      <c r="B189" s="2"/>
      <c r="C189" s="2" t="s">
        <v>72</v>
      </c>
      <c r="D189" s="2"/>
      <c r="E189" s="2"/>
      <c r="F189" s="2"/>
      <c r="G189" s="43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outlineLevel="1">
      <c r="C190" s="34" t="s">
        <v>69</v>
      </c>
      <c r="E190" s="76">
        <f t="shared" ref="E190:Q190" si="190">E107*Excahnge_Rate</f>
        <v>98.919749999999993</v>
      </c>
      <c r="F190" s="76">
        <f t="shared" si="190"/>
        <v>134.50799999999998</v>
      </c>
      <c r="G190" s="76">
        <f t="shared" si="190"/>
        <v>166.28399999999999</v>
      </c>
      <c r="H190" s="76">
        <f t="shared" si="190"/>
        <v>209.02416642471422</v>
      </c>
      <c r="I190" s="76">
        <f t="shared" si="190"/>
        <v>250.57913606118927</v>
      </c>
      <c r="J190" s="76">
        <f t="shared" si="190"/>
        <v>294.08083993406331</v>
      </c>
      <c r="K190" s="76">
        <f t="shared" si="190"/>
        <v>319.71169899754773</v>
      </c>
      <c r="L190" s="76">
        <f t="shared" si="190"/>
        <v>348.33811761959402</v>
      </c>
      <c r="M190" s="76">
        <f t="shared" si="190"/>
        <v>379.49141407986457</v>
      </c>
      <c r="N190" s="76">
        <f t="shared" si="190"/>
        <v>408.9601609505097</v>
      </c>
      <c r="O190" s="76">
        <f t="shared" si="190"/>
        <v>435.39383610907748</v>
      </c>
      <c r="P190" s="76">
        <f t="shared" si="190"/>
        <v>461.66217733066304</v>
      </c>
      <c r="Q190" s="76">
        <f t="shared" si="190"/>
        <v>491.5339701820775</v>
      </c>
    </row>
    <row r="191" spans="2:17" outlineLevel="1">
      <c r="C191" s="34" t="s">
        <v>70</v>
      </c>
      <c r="E191" s="73">
        <f t="shared" ref="E191:Q191" si="191">E108*Excahnge_Rate</f>
        <v>6.2152500000000011</v>
      </c>
      <c r="F191" s="73">
        <f t="shared" si="191"/>
        <v>44.187750000000001</v>
      </c>
      <c r="G191" s="73">
        <f t="shared" si="191"/>
        <v>0</v>
      </c>
      <c r="H191" s="73">
        <f t="shared" si="191"/>
        <v>0</v>
      </c>
      <c r="I191" s="73">
        <f t="shared" si="191"/>
        <v>0</v>
      </c>
      <c r="J191" s="73">
        <f t="shared" si="191"/>
        <v>0</v>
      </c>
      <c r="K191" s="73">
        <f t="shared" si="191"/>
        <v>0</v>
      </c>
      <c r="L191" s="73">
        <f t="shared" si="191"/>
        <v>0</v>
      </c>
      <c r="M191" s="73">
        <f t="shared" si="191"/>
        <v>0</v>
      </c>
      <c r="N191" s="73">
        <f t="shared" si="191"/>
        <v>0</v>
      </c>
      <c r="O191" s="73">
        <f t="shared" si="191"/>
        <v>0</v>
      </c>
      <c r="P191" s="73">
        <f t="shared" si="191"/>
        <v>0</v>
      </c>
      <c r="Q191" s="73">
        <f t="shared" si="191"/>
        <v>0</v>
      </c>
    </row>
    <row r="192" spans="2:17" outlineLevel="1">
      <c r="C192" s="38" t="s">
        <v>71</v>
      </c>
      <c r="D192" s="39"/>
      <c r="E192" s="71">
        <f t="shared" ref="E192:Q192" si="192">E109*Excahnge_Rate</f>
        <v>28.172250000000002</v>
      </c>
      <c r="F192" s="71">
        <f t="shared" si="192"/>
        <v>41.790749999999996</v>
      </c>
      <c r="G192" s="71">
        <f t="shared" si="192"/>
        <v>53.739750000000001</v>
      </c>
      <c r="H192" s="71">
        <f t="shared" si="192"/>
        <v>78.278451626477477</v>
      </c>
      <c r="I192" s="71">
        <f t="shared" si="192"/>
        <v>94.708202750991106</v>
      </c>
      <c r="J192" s="71">
        <f t="shared" si="192"/>
        <v>112.18725100971531</v>
      </c>
      <c r="K192" s="71">
        <f t="shared" si="192"/>
        <v>123.11393622125772</v>
      </c>
      <c r="L192" s="71">
        <f t="shared" si="192"/>
        <v>135.41293174980626</v>
      </c>
      <c r="M192" s="71">
        <f t="shared" si="192"/>
        <v>148.93981929374968</v>
      </c>
      <c r="N192" s="71">
        <f t="shared" si="192"/>
        <v>162.06141737352903</v>
      </c>
      <c r="O192" s="71">
        <f t="shared" si="192"/>
        <v>174.22540465106195</v>
      </c>
      <c r="P192" s="71">
        <f t="shared" si="192"/>
        <v>186.85295489222747</v>
      </c>
      <c r="Q192" s="71">
        <f t="shared" si="192"/>
        <v>198.94325172894989</v>
      </c>
    </row>
    <row r="193" spans="2:17" outlineLevel="1">
      <c r="B193" s="2"/>
      <c r="C193" s="2" t="s">
        <v>73</v>
      </c>
      <c r="D193" s="2"/>
      <c r="E193" s="72">
        <f t="shared" ref="E193:Q193" si="193">E110*Excahnge_Rate</f>
        <v>133.30725000000001</v>
      </c>
      <c r="F193" s="72">
        <f t="shared" si="193"/>
        <v>220.48649999999998</v>
      </c>
      <c r="G193" s="72">
        <f t="shared" si="193"/>
        <v>220.02375000000001</v>
      </c>
      <c r="H193" s="72">
        <f t="shared" si="193"/>
        <v>287.30261805119176</v>
      </c>
      <c r="I193" s="72">
        <f t="shared" si="193"/>
        <v>345.28733881218039</v>
      </c>
      <c r="J193" s="72">
        <f t="shared" si="193"/>
        <v>406.26809094377865</v>
      </c>
      <c r="K193" s="72">
        <f t="shared" si="193"/>
        <v>442.82563521880547</v>
      </c>
      <c r="L193" s="72">
        <f t="shared" si="193"/>
        <v>483.75104936940033</v>
      </c>
      <c r="M193" s="72">
        <f t="shared" si="193"/>
        <v>528.4312333736143</v>
      </c>
      <c r="N193" s="72">
        <f t="shared" si="193"/>
        <v>571.02157832403873</v>
      </c>
      <c r="O193" s="72">
        <f t="shared" si="193"/>
        <v>609.61924076013952</v>
      </c>
      <c r="P193" s="72">
        <f t="shared" si="193"/>
        <v>648.51513222289054</v>
      </c>
      <c r="Q193" s="72">
        <f t="shared" si="193"/>
        <v>690.47722191102741</v>
      </c>
    </row>
    <row r="194" spans="2:17" outlineLevel="1">
      <c r="E194" s="73"/>
      <c r="F194" s="73"/>
      <c r="G194" s="73"/>
      <c r="H194" s="74"/>
      <c r="I194" s="74"/>
      <c r="J194" s="74"/>
      <c r="K194" s="74"/>
      <c r="L194" s="74"/>
      <c r="M194" s="74"/>
      <c r="N194" s="74"/>
      <c r="O194" s="74"/>
      <c r="P194" s="74"/>
      <c r="Q194" s="74"/>
    </row>
    <row r="195" spans="2:17" outlineLevel="1">
      <c r="B195" s="2"/>
      <c r="C195" s="2" t="s">
        <v>74</v>
      </c>
      <c r="D195" s="2"/>
      <c r="E195" s="73"/>
      <c r="F195" s="73"/>
      <c r="G195" s="73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2:17" outlineLevel="1">
      <c r="C196" s="34" t="s">
        <v>75</v>
      </c>
      <c r="E196" s="73">
        <f t="shared" ref="E196:Q196" si="194">E113*Excahnge_Rate</f>
        <v>371.12400000000002</v>
      </c>
      <c r="F196" s="73">
        <f t="shared" si="194"/>
        <v>377.84325000000001</v>
      </c>
      <c r="G196" s="73">
        <f t="shared" si="194"/>
        <v>579.00450000000001</v>
      </c>
      <c r="H196" s="73">
        <f t="shared" si="194"/>
        <v>654.34321660191517</v>
      </c>
      <c r="I196" s="73">
        <f t="shared" si="194"/>
        <v>753.40319215864417</v>
      </c>
      <c r="J196" s="73">
        <f t="shared" si="194"/>
        <v>874.46157282251363</v>
      </c>
      <c r="K196" s="73">
        <f t="shared" si="194"/>
        <v>999.14673745611731</v>
      </c>
      <c r="L196" s="73">
        <f t="shared" si="194"/>
        <v>1129.8965061832023</v>
      </c>
      <c r="M196" s="73">
        <f t="shared" si="194"/>
        <v>1268.4093795033971</v>
      </c>
      <c r="N196" s="73">
        <f t="shared" si="194"/>
        <v>1412.452741598031</v>
      </c>
      <c r="O196" s="73">
        <f t="shared" si="194"/>
        <v>1558.9451581738681</v>
      </c>
      <c r="P196" s="73">
        <f t="shared" si="194"/>
        <v>1708.5005493395076</v>
      </c>
      <c r="Q196" s="73">
        <f t="shared" si="194"/>
        <v>1859.3969408525006</v>
      </c>
    </row>
    <row r="197" spans="2:17" outlineLevel="1">
      <c r="C197" s="34" t="s">
        <v>76</v>
      </c>
      <c r="E197" s="73">
        <f t="shared" ref="E197:Q197" si="195">E114*Excahnge_Rate</f>
        <v>1.6432499999999992</v>
      </c>
      <c r="F197" s="73">
        <f t="shared" si="195"/>
        <v>-1.1639999999999997</v>
      </c>
      <c r="G197" s="73">
        <f t="shared" si="195"/>
        <v>6.5992499999999996</v>
      </c>
      <c r="H197" s="73">
        <f t="shared" si="195"/>
        <v>8.195584809065199</v>
      </c>
      <c r="I197" s="73">
        <f t="shared" si="195"/>
        <v>10.838748174332595</v>
      </c>
      <c r="J197" s="73">
        <f t="shared" si="195"/>
        <v>13.5606929679603</v>
      </c>
      <c r="K197" s="73">
        <f t="shared" si="195"/>
        <v>15.082807456204716</v>
      </c>
      <c r="L197" s="73">
        <f t="shared" si="195"/>
        <v>16.95495971447999</v>
      </c>
      <c r="M197" s="73">
        <f t="shared" si="195"/>
        <v>19.125692330612864</v>
      </c>
      <c r="N197" s="73">
        <f t="shared" si="195"/>
        <v>21.291943939014068</v>
      </c>
      <c r="O197" s="73">
        <f t="shared" si="195"/>
        <v>23.349299421984398</v>
      </c>
      <c r="P197" s="73">
        <f t="shared" si="195"/>
        <v>25.755908059589537</v>
      </c>
      <c r="Q197" s="73">
        <f t="shared" si="195"/>
        <v>26.987332803388789</v>
      </c>
    </row>
    <row r="198" spans="2:17" outlineLevel="1">
      <c r="C198" s="34" t="s">
        <v>80</v>
      </c>
      <c r="E198" s="73">
        <f t="shared" ref="E198:Q198" si="196">E115*Excahnge_Rate</f>
        <v>56.141249999999999</v>
      </c>
      <c r="F198" s="73">
        <f t="shared" si="196"/>
        <v>0</v>
      </c>
      <c r="G198" s="73">
        <f t="shared" si="196"/>
        <v>0</v>
      </c>
      <c r="H198" s="73">
        <f t="shared" si="196"/>
        <v>0</v>
      </c>
      <c r="I198" s="73">
        <f t="shared" si="196"/>
        <v>0</v>
      </c>
      <c r="J198" s="73">
        <f t="shared" si="196"/>
        <v>0</v>
      </c>
      <c r="K198" s="73">
        <f t="shared" si="196"/>
        <v>0</v>
      </c>
      <c r="L198" s="73">
        <f t="shared" si="196"/>
        <v>0</v>
      </c>
      <c r="M198" s="73">
        <f t="shared" si="196"/>
        <v>0</v>
      </c>
      <c r="N198" s="73">
        <f t="shared" si="196"/>
        <v>0</v>
      </c>
      <c r="O198" s="73">
        <f t="shared" si="196"/>
        <v>0</v>
      </c>
      <c r="P198" s="73">
        <f t="shared" si="196"/>
        <v>0</v>
      </c>
      <c r="Q198" s="73">
        <f t="shared" si="196"/>
        <v>0</v>
      </c>
    </row>
    <row r="199" spans="2:17" outlineLevel="1">
      <c r="C199" s="38" t="s">
        <v>77</v>
      </c>
      <c r="D199" s="39"/>
      <c r="E199" s="71">
        <f t="shared" ref="E199:Q199" si="197">E116*Excahnge_Rate</f>
        <v>11.29425</v>
      </c>
      <c r="F199" s="71">
        <f t="shared" si="197"/>
        <v>53.322000000000003</v>
      </c>
      <c r="G199" s="71">
        <f t="shared" si="197"/>
        <v>47.713500000000003</v>
      </c>
      <c r="H199" s="71">
        <f t="shared" si="197"/>
        <v>43.984500000000004</v>
      </c>
      <c r="I199" s="71">
        <f t="shared" si="197"/>
        <v>40.41725000000001</v>
      </c>
      <c r="J199" s="71">
        <f t="shared" si="197"/>
        <v>38.00866666666667</v>
      </c>
      <c r="K199" s="71">
        <f t="shared" si="197"/>
        <v>34.773722222222233</v>
      </c>
      <c r="L199" s="71">
        <f t="shared" si="197"/>
        <v>31.703462962962977</v>
      </c>
      <c r="M199" s="71">
        <f t="shared" si="197"/>
        <v>28.798867283950631</v>
      </c>
      <c r="N199" s="71">
        <f t="shared" si="197"/>
        <v>25.728934156378614</v>
      </c>
      <c r="O199" s="71">
        <f t="shared" si="197"/>
        <v>22.71400480109741</v>
      </c>
      <c r="P199" s="71">
        <f t="shared" si="197"/>
        <v>19.717518747142222</v>
      </c>
      <c r="Q199" s="71">
        <f t="shared" si="197"/>
        <v>16.690402568206085</v>
      </c>
    </row>
    <row r="200" spans="2:17" outlineLevel="1">
      <c r="B200" s="2"/>
      <c r="C200" s="2" t="s">
        <v>78</v>
      </c>
      <c r="D200" s="2"/>
      <c r="E200" s="72">
        <f t="shared" ref="E200:Q200" si="198">E117*Excahnge_Rate</f>
        <v>440.20274999999992</v>
      </c>
      <c r="F200" s="72">
        <f t="shared" si="198"/>
        <v>430.00125000000003</v>
      </c>
      <c r="G200" s="72">
        <f t="shared" si="198"/>
        <v>633.31725000000006</v>
      </c>
      <c r="H200" s="72">
        <f t="shared" si="198"/>
        <v>706.52330141098037</v>
      </c>
      <c r="I200" s="72">
        <f t="shared" si="198"/>
        <v>804.65919033297678</v>
      </c>
      <c r="J200" s="72">
        <f t="shared" si="198"/>
        <v>926.03093245714069</v>
      </c>
      <c r="K200" s="72">
        <f t="shared" si="198"/>
        <v>1049.0032671345443</v>
      </c>
      <c r="L200" s="72">
        <f t="shared" si="198"/>
        <v>1178.5549288606453</v>
      </c>
      <c r="M200" s="72">
        <f t="shared" si="198"/>
        <v>1316.3339391179607</v>
      </c>
      <c r="N200" s="72">
        <f t="shared" si="198"/>
        <v>1459.4736196934236</v>
      </c>
      <c r="O200" s="72">
        <f t="shared" si="198"/>
        <v>1605.0084623969499</v>
      </c>
      <c r="P200" s="72">
        <f t="shared" si="198"/>
        <v>1753.9739761462392</v>
      </c>
      <c r="Q200" s="72">
        <f t="shared" si="198"/>
        <v>1903.0746762240954</v>
      </c>
    </row>
    <row r="201" spans="2:17" outlineLevel="1">
      <c r="E201" s="73"/>
      <c r="F201" s="73"/>
      <c r="G201" s="73"/>
      <c r="H201" s="74"/>
      <c r="I201" s="74"/>
      <c r="J201" s="74"/>
      <c r="K201" s="74"/>
      <c r="L201" s="74"/>
      <c r="M201" s="74"/>
      <c r="N201" s="74"/>
      <c r="O201" s="74"/>
      <c r="P201" s="74"/>
      <c r="Q201" s="74"/>
    </row>
    <row r="202" spans="2:17" outlineLevel="1">
      <c r="B202" s="2"/>
      <c r="C202" s="2" t="s">
        <v>81</v>
      </c>
      <c r="D202" s="2"/>
      <c r="E202" s="72">
        <f t="shared" ref="E202:Q202" si="199">E119*Excahnge_Rate</f>
        <v>270.19725</v>
      </c>
      <c r="F202" s="72">
        <f t="shared" si="199"/>
        <v>398.10825</v>
      </c>
      <c r="G202" s="72">
        <f t="shared" si="199"/>
        <v>514.34024999999997</v>
      </c>
      <c r="H202" s="72">
        <f t="shared" si="199"/>
        <v>707.4469791267685</v>
      </c>
      <c r="I202" s="72">
        <f t="shared" si="199"/>
        <v>956.97151772328402</v>
      </c>
      <c r="J202" s="72">
        <f t="shared" si="199"/>
        <v>1262.0247917300785</v>
      </c>
      <c r="K202" s="72">
        <f t="shared" si="199"/>
        <v>1598.3112933854081</v>
      </c>
      <c r="L202" s="72">
        <f t="shared" si="199"/>
        <v>1973.6431118570636</v>
      </c>
      <c r="M202" s="72">
        <f t="shared" si="199"/>
        <v>2393.3033107799938</v>
      </c>
      <c r="N202" s="72">
        <f t="shared" si="199"/>
        <v>2857.1572443222171</v>
      </c>
      <c r="O202" s="72">
        <f t="shared" si="199"/>
        <v>3363.0128218553318</v>
      </c>
      <c r="P202" s="72">
        <f t="shared" si="199"/>
        <v>3917.2832966163869</v>
      </c>
      <c r="Q202" s="72">
        <f t="shared" si="199"/>
        <v>4498.3761002761066</v>
      </c>
    </row>
    <row r="203" spans="2:17" outlineLevel="1">
      <c r="B203" s="2"/>
      <c r="C203" s="2"/>
      <c r="D203" s="2"/>
      <c r="E203" s="73"/>
      <c r="F203" s="73"/>
      <c r="G203" s="73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2:17" outlineLevel="1">
      <c r="B204" s="2"/>
      <c r="C204" s="2" t="s">
        <v>79</v>
      </c>
      <c r="D204" s="2"/>
      <c r="E204" s="70">
        <f t="shared" ref="E204:Q204" si="200">E121*Excahnge_Rate</f>
        <v>843.70724999999982</v>
      </c>
      <c r="F204" s="70">
        <f t="shared" si="200"/>
        <v>1048.596</v>
      </c>
      <c r="G204" s="70">
        <f t="shared" si="200"/>
        <v>1367.6812500000001</v>
      </c>
      <c r="H204" s="70">
        <f t="shared" si="200"/>
        <v>1701.2728985889405</v>
      </c>
      <c r="I204" s="70">
        <f t="shared" si="200"/>
        <v>2106.9180468684413</v>
      </c>
      <c r="J204" s="70">
        <f t="shared" si="200"/>
        <v>2594.3238151309979</v>
      </c>
      <c r="K204" s="70">
        <f t="shared" si="200"/>
        <v>3090.1401957387579</v>
      </c>
      <c r="L204" s="70">
        <f t="shared" si="200"/>
        <v>3635.9490900871092</v>
      </c>
      <c r="M204" s="70">
        <f t="shared" si="200"/>
        <v>4238.0684832715688</v>
      </c>
      <c r="N204" s="70">
        <f t="shared" si="200"/>
        <v>4887.6524423396795</v>
      </c>
      <c r="O204" s="70">
        <f t="shared" si="200"/>
        <v>5577.6405250124208</v>
      </c>
      <c r="P204" s="70">
        <f t="shared" si="200"/>
        <v>6319.7724049855169</v>
      </c>
      <c r="Q204" s="70">
        <f t="shared" si="200"/>
        <v>7091.92799841123</v>
      </c>
    </row>
    <row r="205" spans="2:17" outlineLevel="1">
      <c r="B205" s="2"/>
      <c r="C205" s="2"/>
      <c r="D205" s="2"/>
      <c r="E205" s="40"/>
      <c r="F205" s="40"/>
      <c r="G205" s="40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2:17" outlineLevel="1">
      <c r="B206" s="2"/>
      <c r="C206" s="2" t="s">
        <v>82</v>
      </c>
      <c r="D206" s="2"/>
      <c r="E206" s="62">
        <f t="shared" ref="E206:Q206" si="201">E123*Excahnge_Rate</f>
        <v>0</v>
      </c>
      <c r="F206" s="62">
        <f t="shared" si="201"/>
        <v>0</v>
      </c>
      <c r="G206" s="62">
        <f t="shared" si="201"/>
        <v>0</v>
      </c>
      <c r="H206" s="62">
        <f t="shared" si="201"/>
        <v>0</v>
      </c>
      <c r="I206" s="62">
        <f t="shared" si="201"/>
        <v>0</v>
      </c>
      <c r="J206" s="62">
        <f t="shared" si="201"/>
        <v>0</v>
      </c>
      <c r="K206" s="62">
        <f t="shared" si="201"/>
        <v>0</v>
      </c>
      <c r="L206" s="62">
        <f t="shared" si="201"/>
        <v>0</v>
      </c>
      <c r="M206" s="62">
        <f t="shared" si="201"/>
        <v>0</v>
      </c>
      <c r="N206" s="62">
        <f t="shared" si="201"/>
        <v>0</v>
      </c>
      <c r="O206" s="62">
        <f t="shared" si="201"/>
        <v>0</v>
      </c>
      <c r="P206" s="62">
        <f t="shared" si="201"/>
        <v>0</v>
      </c>
      <c r="Q206" s="62">
        <f t="shared" si="201"/>
        <v>0</v>
      </c>
    </row>
    <row r="208" spans="2:17">
      <c r="B208" s="4" t="s">
        <v>141</v>
      </c>
      <c r="C208" s="5"/>
      <c r="D208" s="14"/>
      <c r="E208" s="15" t="s">
        <v>14</v>
      </c>
      <c r="F208" s="15"/>
      <c r="G208" s="16"/>
      <c r="H208" s="16" t="s">
        <v>9</v>
      </c>
      <c r="I208" s="15"/>
      <c r="J208" s="15"/>
      <c r="K208" s="15"/>
      <c r="L208" s="15"/>
      <c r="M208" s="15"/>
      <c r="N208" s="15"/>
      <c r="O208" s="15"/>
      <c r="P208" s="15"/>
      <c r="Q208" s="16"/>
    </row>
    <row r="209" spans="2:17">
      <c r="B209" s="4" t="s">
        <v>18</v>
      </c>
      <c r="C209" s="5"/>
      <c r="D209" s="24" t="s">
        <v>11</v>
      </c>
      <c r="E209" s="17">
        <f>DATE(2020,12,31)</f>
        <v>44196</v>
      </c>
      <c r="F209" s="17">
        <f t="shared" ref="F209" si="202">EDATE(E209,12)</f>
        <v>44561</v>
      </c>
      <c r="G209" s="17">
        <f t="shared" ref="G209" si="203">EDATE(F209,12)</f>
        <v>44926</v>
      </c>
      <c r="H209" s="17">
        <f t="shared" ref="H209" si="204">EDATE(G209,12)</f>
        <v>45291</v>
      </c>
      <c r="I209" s="17">
        <f t="shared" ref="I209" si="205">EDATE(H209,12)</f>
        <v>45657</v>
      </c>
      <c r="J209" s="17">
        <f t="shared" ref="J209" si="206">EDATE(I209,12)</f>
        <v>46022</v>
      </c>
      <c r="K209" s="17">
        <f t="shared" ref="K209" si="207">EDATE(J209,12)</f>
        <v>46387</v>
      </c>
      <c r="L209" s="17">
        <f t="shared" ref="L209" si="208">EDATE(K209,12)</f>
        <v>46752</v>
      </c>
      <c r="M209" s="17">
        <f t="shared" ref="M209" si="209">EDATE(L209,12)</f>
        <v>47118</v>
      </c>
      <c r="N209" s="17">
        <f t="shared" ref="N209" si="210">EDATE(M209,12)</f>
        <v>47483</v>
      </c>
      <c r="O209" s="17">
        <f t="shared" ref="O209" si="211">EDATE(N209,12)</f>
        <v>47848</v>
      </c>
      <c r="P209" s="17">
        <f t="shared" ref="P209" si="212">EDATE(O209,12)</f>
        <v>48213</v>
      </c>
      <c r="Q209" s="17">
        <f t="shared" ref="Q209" si="213">EDATE(P209,12)</f>
        <v>48579</v>
      </c>
    </row>
    <row r="210" spans="2:17" outlineLevel="1">
      <c r="B210" s="20" t="s">
        <v>86</v>
      </c>
      <c r="C210" s="21"/>
      <c r="D210" s="2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2:17" outlineLevel="1">
      <c r="B211" s="2"/>
      <c r="C211" s="2" t="s">
        <v>51</v>
      </c>
      <c r="D211" s="2"/>
      <c r="E211" s="70">
        <f t="shared" ref="E211:Q211" si="214">E128*Excahnge_Rate</f>
        <v>14.420249999999999</v>
      </c>
      <c r="F211" s="70">
        <f t="shared" si="214"/>
        <v>117.68774999999999</v>
      </c>
      <c r="G211" s="70">
        <f t="shared" si="214"/>
        <v>140.691</v>
      </c>
      <c r="H211" s="70">
        <f t="shared" si="214"/>
        <v>149.48446197129999</v>
      </c>
      <c r="I211" s="70">
        <f t="shared" si="214"/>
        <v>197.69479262668062</v>
      </c>
      <c r="J211" s="70">
        <f t="shared" si="214"/>
        <v>247.34206764980721</v>
      </c>
      <c r="K211" s="70">
        <f t="shared" si="214"/>
        <v>275.10487782563041</v>
      </c>
      <c r="L211" s="70">
        <f t="shared" si="214"/>
        <v>309.25224858397837</v>
      </c>
      <c r="M211" s="70">
        <f t="shared" si="214"/>
        <v>348.84561559388999</v>
      </c>
      <c r="N211" s="70">
        <f t="shared" si="214"/>
        <v>388.35725066575662</v>
      </c>
      <c r="O211" s="70">
        <f t="shared" si="214"/>
        <v>425.88266033699176</v>
      </c>
      <c r="P211" s="70">
        <f t="shared" si="214"/>
        <v>469.77831949361041</v>
      </c>
      <c r="Q211" s="70">
        <f t="shared" si="214"/>
        <v>492.23905531338579</v>
      </c>
    </row>
    <row r="212" spans="2:17" outlineLevel="1">
      <c r="B212" s="2"/>
      <c r="C212" s="49" t="s">
        <v>87</v>
      </c>
      <c r="D212" s="2"/>
      <c r="E212" s="73"/>
      <c r="F212" s="73"/>
      <c r="G212" s="73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2:17" outlineLevel="1">
      <c r="C213" s="50" t="s">
        <v>94</v>
      </c>
      <c r="E213" s="73">
        <f t="shared" ref="E213:Q213" si="215">E130*Excahnge_Rate</f>
        <v>29.15325</v>
      </c>
      <c r="F213" s="73">
        <f t="shared" si="215"/>
        <v>33.426749999999998</v>
      </c>
      <c r="G213" s="73">
        <f t="shared" si="215"/>
        <v>39.641249999999999</v>
      </c>
      <c r="H213" s="73">
        <f t="shared" si="215"/>
        <v>41.297190012000002</v>
      </c>
      <c r="I213" s="73">
        <f t="shared" si="215"/>
        <v>37.473748171774197</v>
      </c>
      <c r="J213" s="73">
        <f t="shared" si="215"/>
        <v>39.950806828502799</v>
      </c>
      <c r="K213" s="73">
        <f t="shared" si="215"/>
        <v>42.218116001896163</v>
      </c>
      <c r="L213" s="73">
        <f t="shared" si="215"/>
        <v>44.649688518671134</v>
      </c>
      <c r="M213" s="73">
        <f t="shared" si="215"/>
        <v>47.145511107527582</v>
      </c>
      <c r="N213" s="73">
        <f t="shared" si="215"/>
        <v>49.161571026263225</v>
      </c>
      <c r="O213" s="73">
        <f t="shared" si="215"/>
        <v>50.553641777673306</v>
      </c>
      <c r="P213" s="73">
        <f t="shared" si="215"/>
        <v>51.753240599816564</v>
      </c>
      <c r="Q213" s="73">
        <f t="shared" si="215"/>
        <v>54.052366969921756</v>
      </c>
    </row>
    <row r="214" spans="2:17" outlineLevel="1">
      <c r="C214" s="50" t="s">
        <v>95</v>
      </c>
      <c r="E214" s="73">
        <f t="shared" ref="E214:Q214" si="216">E131*Excahnge_Rate</f>
        <v>8.0182500000000001</v>
      </c>
      <c r="F214" s="73">
        <f t="shared" si="216"/>
        <v>19.59825</v>
      </c>
      <c r="G214" s="73">
        <f t="shared" si="216"/>
        <v>18.27675</v>
      </c>
      <c r="H214" s="73">
        <f t="shared" si="216"/>
        <v>28.255767155468387</v>
      </c>
      <c r="I214" s="73">
        <f t="shared" si="216"/>
        <v>34.186329303168371</v>
      </c>
      <c r="J214" s="73">
        <f t="shared" si="216"/>
        <v>40.495650801431779</v>
      </c>
      <c r="K214" s="73">
        <f t="shared" si="216"/>
        <v>44.439799755625074</v>
      </c>
      <c r="L214" s="73">
        <f t="shared" si="216"/>
        <v>48.879304455578378</v>
      </c>
      <c r="M214" s="73">
        <f t="shared" si="216"/>
        <v>53.762034975130305</v>
      </c>
      <c r="N214" s="73">
        <f t="shared" si="216"/>
        <v>58.49847025643929</v>
      </c>
      <c r="O214" s="73">
        <f t="shared" si="216"/>
        <v>62.889241727445153</v>
      </c>
      <c r="P214" s="73">
        <f t="shared" si="216"/>
        <v>67.447343119906336</v>
      </c>
      <c r="Q214" s="73">
        <f t="shared" si="216"/>
        <v>71.811514934252386</v>
      </c>
    </row>
    <row r="215" spans="2:17" outlineLevel="1">
      <c r="C215" s="50" t="s">
        <v>136</v>
      </c>
      <c r="E215" s="73">
        <f t="shared" ref="E215:Q215" si="217">E132*Excahnge_Rate</f>
        <v>3.2280000000000002</v>
      </c>
      <c r="F215" s="73">
        <f t="shared" si="217"/>
        <v>27.388500000000001</v>
      </c>
      <c r="G215" s="73">
        <f t="shared" si="217"/>
        <v>-35.397750000000002</v>
      </c>
      <c r="H215" s="73">
        <f t="shared" si="217"/>
        <v>1.5963348090652003</v>
      </c>
      <c r="I215" s="73">
        <f t="shared" si="217"/>
        <v>2.6431633652673958</v>
      </c>
      <c r="J215" s="73">
        <f t="shared" si="217"/>
        <v>2.721944793627705</v>
      </c>
      <c r="K215" s="73">
        <f t="shared" si="217"/>
        <v>1.5221144882444158</v>
      </c>
      <c r="L215" s="73">
        <f t="shared" si="217"/>
        <v>1.8721522582752721</v>
      </c>
      <c r="M215" s="73">
        <f t="shared" si="217"/>
        <v>2.1707326161328746</v>
      </c>
      <c r="N215" s="73">
        <f t="shared" si="217"/>
        <v>2.1662516084012058</v>
      </c>
      <c r="O215" s="73">
        <f t="shared" si="217"/>
        <v>2.057355482970328</v>
      </c>
      <c r="P215" s="73">
        <f t="shared" si="217"/>
        <v>2.4066086376051379</v>
      </c>
      <c r="Q215" s="73">
        <f t="shared" si="217"/>
        <v>1.2314247437992538</v>
      </c>
    </row>
    <row r="216" spans="2:17" outlineLevel="1">
      <c r="C216" s="50" t="s">
        <v>96</v>
      </c>
      <c r="E216" s="73">
        <f t="shared" ref="E216:Q216" si="218">E133*Excahnge_Rate</f>
        <v>-4.2142499999999972</v>
      </c>
      <c r="F216" s="73">
        <f t="shared" si="218"/>
        <v>-7.0432499999999916</v>
      </c>
      <c r="G216" s="73">
        <f t="shared" si="218"/>
        <v>7.0499999999997565E-2</v>
      </c>
      <c r="H216" s="73">
        <f t="shared" si="218"/>
        <v>-3.7289999999999974</v>
      </c>
      <c r="I216" s="73">
        <f t="shared" si="218"/>
        <v>-3.5672499999999978</v>
      </c>
      <c r="J216" s="73">
        <f t="shared" si="218"/>
        <v>-2.4085833333333326</v>
      </c>
      <c r="K216" s="73">
        <f t="shared" si="218"/>
        <v>-3.2349444444444426</v>
      </c>
      <c r="L216" s="73">
        <f t="shared" si="218"/>
        <v>-3.0702592592592577</v>
      </c>
      <c r="M216" s="73">
        <f t="shared" si="218"/>
        <v>-2.9045956790123446</v>
      </c>
      <c r="N216" s="73">
        <f t="shared" si="218"/>
        <v>-3.069933127572015</v>
      </c>
      <c r="O216" s="73">
        <f t="shared" si="218"/>
        <v>-3.0149293552812058</v>
      </c>
      <c r="P216" s="73">
        <f t="shared" si="218"/>
        <v>-2.9964860539551887</v>
      </c>
      <c r="Q216" s="73">
        <f t="shared" si="218"/>
        <v>-3.0271161789361365</v>
      </c>
    </row>
    <row r="217" spans="2:17" outlineLevel="1">
      <c r="B217" s="2"/>
      <c r="C217" s="51" t="s">
        <v>88</v>
      </c>
      <c r="D217" s="47"/>
      <c r="E217" s="77">
        <f t="shared" ref="E217:Q217" si="219">E134*Excahnge_Rate</f>
        <v>2.9347499999999997</v>
      </c>
      <c r="F217" s="77">
        <f t="shared" si="219"/>
        <v>14.042249999999999</v>
      </c>
      <c r="G217" s="77">
        <f t="shared" si="219"/>
        <v>-171.71699999999998</v>
      </c>
      <c r="H217" s="77">
        <f t="shared" si="219"/>
        <v>14.540791467054788</v>
      </c>
      <c r="I217" s="77">
        <f t="shared" si="219"/>
        <v>-31.581785436034082</v>
      </c>
      <c r="J217" s="77">
        <f t="shared" si="219"/>
        <v>-33.024109185490161</v>
      </c>
      <c r="K217" s="77">
        <f t="shared" si="219"/>
        <v>-19.373981986927021</v>
      </c>
      <c r="L217" s="77">
        <f t="shared" si="219"/>
        <v>-21.625606819042019</v>
      </c>
      <c r="M217" s="77">
        <f t="shared" si="219"/>
        <v>-23.515594607765962</v>
      </c>
      <c r="N217" s="77">
        <f t="shared" si="219"/>
        <v>-22.200652288621598</v>
      </c>
      <c r="O217" s="77">
        <f t="shared" si="219"/>
        <v>-19.861755211644947</v>
      </c>
      <c r="P217" s="77">
        <f t="shared" si="219"/>
        <v>-19.665740898293819</v>
      </c>
      <c r="Q217" s="77">
        <f t="shared" si="219"/>
        <v>-22.665352748034366</v>
      </c>
    </row>
    <row r="218" spans="2:17" outlineLevel="1">
      <c r="B218" s="2"/>
      <c r="C218" s="2" t="s">
        <v>92</v>
      </c>
      <c r="D218" s="2"/>
      <c r="E218" s="70">
        <f t="shared" ref="E218:Q218" si="220">E135*Excahnge_Rate</f>
        <v>53.54025</v>
      </c>
      <c r="F218" s="70">
        <f t="shared" si="220"/>
        <v>205.10024999999999</v>
      </c>
      <c r="G218" s="70">
        <f t="shared" si="220"/>
        <v>-8.4352499999999893</v>
      </c>
      <c r="H218" s="70">
        <f t="shared" si="220"/>
        <v>231.44554541488839</v>
      </c>
      <c r="I218" s="70">
        <f t="shared" si="220"/>
        <v>236.84899803085645</v>
      </c>
      <c r="J218" s="70">
        <f t="shared" si="220"/>
        <v>295.07777755454595</v>
      </c>
      <c r="K218" s="70">
        <f t="shared" si="220"/>
        <v>340.67598164002459</v>
      </c>
      <c r="L218" s="70">
        <f t="shared" si="220"/>
        <v>379.95752773820186</v>
      </c>
      <c r="M218" s="70">
        <f t="shared" si="220"/>
        <v>425.50370400590253</v>
      </c>
      <c r="N218" s="70">
        <f t="shared" si="220"/>
        <v>472.91295814066666</v>
      </c>
      <c r="O218" s="70">
        <f t="shared" si="220"/>
        <v>518.50621475815444</v>
      </c>
      <c r="P218" s="70">
        <f t="shared" si="220"/>
        <v>568.72328489868937</v>
      </c>
      <c r="Q218" s="70">
        <f t="shared" si="220"/>
        <v>593.64189303438866</v>
      </c>
    </row>
    <row r="219" spans="2:17" outlineLevel="1">
      <c r="E219" s="42"/>
      <c r="F219" s="42"/>
      <c r="G219" s="42"/>
      <c r="H219" s="29"/>
      <c r="I219" s="29"/>
      <c r="J219" s="29"/>
    </row>
    <row r="220" spans="2:17" outlineLevel="1">
      <c r="B220" s="20" t="s">
        <v>86</v>
      </c>
      <c r="C220" s="21"/>
      <c r="D220" s="2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2:17" outlineLevel="1">
      <c r="C221" s="34" t="s">
        <v>97</v>
      </c>
      <c r="E221" s="73">
        <f t="shared" ref="E221:Q221" si="221">E138*Excahnge_Rate</f>
        <v>-37.691250000000004</v>
      </c>
      <c r="F221" s="73">
        <f t="shared" si="221"/>
        <v>-49.070250000000001</v>
      </c>
      <c r="G221" s="73">
        <f t="shared" si="221"/>
        <v>-92.075249999999997</v>
      </c>
      <c r="H221" s="73">
        <f t="shared" si="221"/>
        <v>-115.4550658854908</v>
      </c>
      <c r="I221" s="73">
        <f t="shared" si="221"/>
        <v>-127.19651347790048</v>
      </c>
      <c r="J221" s="73">
        <f t="shared" si="221"/>
        <v>-135.87490714117644</v>
      </c>
      <c r="K221" s="73">
        <f t="shared" si="221"/>
        <v>-132.87095859454172</v>
      </c>
      <c r="L221" s="73">
        <f t="shared" si="221"/>
        <v>-128.28479837957036</v>
      </c>
      <c r="M221" s="73">
        <f t="shared" si="221"/>
        <v>-121.45566793708105</v>
      </c>
      <c r="N221" s="73">
        <f t="shared" si="221"/>
        <v>-110.78131618396256</v>
      </c>
      <c r="O221" s="73">
        <f t="shared" si="221"/>
        <v>-119.09632750799767</v>
      </c>
      <c r="P221" s="73">
        <f t="shared" si="221"/>
        <v>-127.72821940779001</v>
      </c>
      <c r="Q221" s="73">
        <f t="shared" si="221"/>
        <v>-135.99285770562636</v>
      </c>
    </row>
    <row r="222" spans="2:17" outlineLevel="1">
      <c r="C222" s="34" t="s">
        <v>98</v>
      </c>
      <c r="E222" s="73">
        <f t="shared" ref="E222:Q222" si="222">E139*Excahnge_Rate</f>
        <v>-0.44474999999999998</v>
      </c>
      <c r="F222" s="73">
        <f t="shared" si="222"/>
        <v>-1.1955</v>
      </c>
      <c r="G222" s="73">
        <f t="shared" si="222"/>
        <v>-2.1157500000000002</v>
      </c>
      <c r="H222" s="73">
        <f t="shared" si="222"/>
        <v>-2.1157500000000002</v>
      </c>
      <c r="I222" s="73">
        <f t="shared" si="222"/>
        <v>-2.1157500000000002</v>
      </c>
      <c r="J222" s="73">
        <f t="shared" si="222"/>
        <v>-2.1157500000000002</v>
      </c>
      <c r="K222" s="73">
        <f t="shared" si="222"/>
        <v>-2.1157500000000002</v>
      </c>
      <c r="L222" s="73">
        <f t="shared" si="222"/>
        <v>-2.1157500000000002</v>
      </c>
      <c r="M222" s="73">
        <f t="shared" si="222"/>
        <v>-2.1157500000000002</v>
      </c>
      <c r="N222" s="73">
        <f t="shared" si="222"/>
        <v>-2.1157500000000002</v>
      </c>
      <c r="O222" s="73">
        <f t="shared" si="222"/>
        <v>-2.1157500000000002</v>
      </c>
      <c r="P222" s="73">
        <f t="shared" si="222"/>
        <v>-2.1157500000000002</v>
      </c>
      <c r="Q222" s="73">
        <f t="shared" si="222"/>
        <v>-2.1157500000000002</v>
      </c>
    </row>
    <row r="223" spans="2:17" outlineLevel="1">
      <c r="C223" s="38" t="s">
        <v>99</v>
      </c>
      <c r="D223" s="39"/>
      <c r="E223" s="71">
        <f t="shared" ref="E223:Q223" si="223">E140*Excahnge_Rate</f>
        <v>0</v>
      </c>
      <c r="F223" s="71">
        <f t="shared" si="223"/>
        <v>-24.416249999999998</v>
      </c>
      <c r="G223" s="71">
        <f t="shared" si="223"/>
        <v>-4.21875</v>
      </c>
      <c r="H223" s="71">
        <f t="shared" si="223"/>
        <v>0</v>
      </c>
      <c r="I223" s="71">
        <f t="shared" si="223"/>
        <v>0</v>
      </c>
      <c r="J223" s="71">
        <f t="shared" si="223"/>
        <v>0</v>
      </c>
      <c r="K223" s="71">
        <f t="shared" si="223"/>
        <v>0</v>
      </c>
      <c r="L223" s="71">
        <f t="shared" si="223"/>
        <v>0</v>
      </c>
      <c r="M223" s="71">
        <f t="shared" si="223"/>
        <v>0</v>
      </c>
      <c r="N223" s="71">
        <f t="shared" si="223"/>
        <v>0</v>
      </c>
      <c r="O223" s="71">
        <f t="shared" si="223"/>
        <v>0</v>
      </c>
      <c r="P223" s="71">
        <f t="shared" si="223"/>
        <v>0</v>
      </c>
      <c r="Q223" s="71">
        <f t="shared" si="223"/>
        <v>0</v>
      </c>
    </row>
    <row r="224" spans="2:17" outlineLevel="1">
      <c r="B224" s="2"/>
      <c r="C224" s="2" t="s">
        <v>91</v>
      </c>
      <c r="D224" s="2"/>
      <c r="E224" s="70">
        <f t="shared" ref="E224:Q224" si="224">E141*Excahnge_Rate</f>
        <v>-38.135999999999996</v>
      </c>
      <c r="F224" s="70">
        <f t="shared" si="224"/>
        <v>-74.681999999999988</v>
      </c>
      <c r="G224" s="70">
        <f t="shared" si="224"/>
        <v>-98.409750000000003</v>
      </c>
      <c r="H224" s="70">
        <f t="shared" si="224"/>
        <v>-117.57081588549079</v>
      </c>
      <c r="I224" s="70">
        <f t="shared" si="224"/>
        <v>-129.3122634779005</v>
      </c>
      <c r="J224" s="70">
        <f t="shared" si="224"/>
        <v>-137.99065714117646</v>
      </c>
      <c r="K224" s="70">
        <f t="shared" si="224"/>
        <v>-134.98670859454171</v>
      </c>
      <c r="L224" s="70">
        <f t="shared" si="224"/>
        <v>-130.40054837957035</v>
      </c>
      <c r="M224" s="70">
        <f t="shared" si="224"/>
        <v>-123.57141793708104</v>
      </c>
      <c r="N224" s="70">
        <f t="shared" si="224"/>
        <v>-112.89706618396255</v>
      </c>
      <c r="O224" s="70">
        <f t="shared" si="224"/>
        <v>-121.21207750799766</v>
      </c>
      <c r="P224" s="70">
        <f t="shared" si="224"/>
        <v>-129.84396940779001</v>
      </c>
      <c r="Q224" s="70">
        <f t="shared" si="224"/>
        <v>-138.10860770562635</v>
      </c>
    </row>
    <row r="225" spans="2:17" outlineLevel="1"/>
    <row r="226" spans="2:17" outlineLevel="1">
      <c r="B226" s="20" t="s">
        <v>89</v>
      </c>
      <c r="C226" s="21"/>
      <c r="D226" s="2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2:17" outlineLevel="1">
      <c r="C227" s="34" t="s">
        <v>100</v>
      </c>
      <c r="E227" s="73">
        <f t="shared" ref="E227:Q227" si="225">E144*Excahnge_Rate</f>
        <v>0</v>
      </c>
      <c r="F227" s="73">
        <f t="shared" si="225"/>
        <v>-56.25</v>
      </c>
      <c r="G227" s="73">
        <f t="shared" si="225"/>
        <v>0</v>
      </c>
      <c r="H227" s="73">
        <f t="shared" si="225"/>
        <v>0</v>
      </c>
      <c r="I227" s="73">
        <f t="shared" si="225"/>
        <v>0</v>
      </c>
      <c r="J227" s="73">
        <f t="shared" si="225"/>
        <v>0</v>
      </c>
      <c r="K227" s="73">
        <f t="shared" si="225"/>
        <v>0</v>
      </c>
      <c r="L227" s="73">
        <f t="shared" si="225"/>
        <v>0</v>
      </c>
      <c r="M227" s="73">
        <f t="shared" si="225"/>
        <v>0</v>
      </c>
      <c r="N227" s="73">
        <f t="shared" si="225"/>
        <v>0</v>
      </c>
      <c r="O227" s="73">
        <f t="shared" si="225"/>
        <v>0</v>
      </c>
      <c r="P227" s="73">
        <f t="shared" si="225"/>
        <v>0</v>
      </c>
      <c r="Q227" s="73">
        <f t="shared" si="225"/>
        <v>0</v>
      </c>
    </row>
    <row r="228" spans="2:17" outlineLevel="1">
      <c r="C228" s="34" t="s">
        <v>101</v>
      </c>
      <c r="E228" s="73">
        <f t="shared" ref="E228:Q228" si="226">E145*Excahnge_Rate</f>
        <v>-0.39224999999999999</v>
      </c>
      <c r="F228" s="73">
        <f t="shared" si="226"/>
        <v>-6.0217499999999999</v>
      </c>
      <c r="G228" s="73">
        <f t="shared" si="226"/>
        <v>-45.843000000000004</v>
      </c>
      <c r="H228" s="73">
        <f t="shared" si="226"/>
        <v>0</v>
      </c>
      <c r="I228" s="73">
        <f t="shared" si="226"/>
        <v>0</v>
      </c>
      <c r="J228" s="73">
        <f t="shared" si="226"/>
        <v>0</v>
      </c>
      <c r="K228" s="73">
        <f t="shared" si="226"/>
        <v>0</v>
      </c>
      <c r="L228" s="73">
        <f t="shared" si="226"/>
        <v>0</v>
      </c>
      <c r="M228" s="73">
        <f t="shared" si="226"/>
        <v>0</v>
      </c>
      <c r="N228" s="73">
        <f t="shared" si="226"/>
        <v>0</v>
      </c>
      <c r="O228" s="73">
        <f t="shared" si="226"/>
        <v>0</v>
      </c>
      <c r="P228" s="73">
        <f t="shared" si="226"/>
        <v>0</v>
      </c>
      <c r="Q228" s="73">
        <f t="shared" si="226"/>
        <v>0</v>
      </c>
    </row>
    <row r="229" spans="2:17" outlineLevel="1">
      <c r="C229" s="38" t="s">
        <v>96</v>
      </c>
      <c r="D229" s="39"/>
      <c r="E229" s="71">
        <f t="shared" ref="E229:Q229" si="227">E146*Excahnge_Rate</f>
        <v>8.5357500000000002</v>
      </c>
      <c r="F229" s="71">
        <f t="shared" si="227"/>
        <v>18.927</v>
      </c>
      <c r="G229" s="71">
        <f t="shared" si="227"/>
        <v>18.636749999999999</v>
      </c>
      <c r="H229" s="71">
        <f t="shared" si="227"/>
        <v>15.366500000000002</v>
      </c>
      <c r="I229" s="71">
        <f t="shared" si="227"/>
        <v>17.643416666666667</v>
      </c>
      <c r="J229" s="71">
        <f t="shared" si="227"/>
        <v>17.215555555555557</v>
      </c>
      <c r="K229" s="71">
        <f t="shared" si="227"/>
        <v>16.741824074074074</v>
      </c>
      <c r="L229" s="71">
        <f t="shared" si="227"/>
        <v>17.200265432098767</v>
      </c>
      <c r="M229" s="71">
        <f t="shared" si="227"/>
        <v>17.052548353909465</v>
      </c>
      <c r="N229" s="71">
        <f t="shared" si="227"/>
        <v>16.998212620027434</v>
      </c>
      <c r="O229" s="71">
        <f t="shared" si="227"/>
        <v>17.083675468678553</v>
      </c>
      <c r="P229" s="71">
        <f t="shared" si="227"/>
        <v>17.044812147538483</v>
      </c>
      <c r="Q229" s="71">
        <f t="shared" si="227"/>
        <v>17.04223341208149</v>
      </c>
    </row>
    <row r="230" spans="2:17" outlineLevel="1">
      <c r="B230" s="2"/>
      <c r="C230" s="2" t="s">
        <v>90</v>
      </c>
      <c r="D230" s="2"/>
      <c r="E230" s="70">
        <f t="shared" ref="E230:Q230" si="228">E147*Excahnge_Rate</f>
        <v>8.1434999999999995</v>
      </c>
      <c r="F230" s="70">
        <f t="shared" si="228"/>
        <v>-43.344749999999991</v>
      </c>
      <c r="G230" s="70">
        <f t="shared" si="228"/>
        <v>-27.206250000000004</v>
      </c>
      <c r="H230" s="70">
        <f t="shared" si="228"/>
        <v>15.366500000000002</v>
      </c>
      <c r="I230" s="70">
        <f t="shared" si="228"/>
        <v>17.643416666666667</v>
      </c>
      <c r="J230" s="70">
        <f t="shared" si="228"/>
        <v>17.215555555555557</v>
      </c>
      <c r="K230" s="70">
        <f t="shared" si="228"/>
        <v>16.741824074074074</v>
      </c>
      <c r="L230" s="70">
        <f t="shared" si="228"/>
        <v>17.200265432098767</v>
      </c>
      <c r="M230" s="70">
        <f t="shared" si="228"/>
        <v>17.052548353909465</v>
      </c>
      <c r="N230" s="70">
        <f t="shared" si="228"/>
        <v>16.998212620027434</v>
      </c>
      <c r="O230" s="70">
        <f t="shared" si="228"/>
        <v>17.083675468678553</v>
      </c>
      <c r="P230" s="70">
        <f t="shared" si="228"/>
        <v>17.044812147538483</v>
      </c>
      <c r="Q230" s="70">
        <f t="shared" si="228"/>
        <v>17.04223341208149</v>
      </c>
    </row>
    <row r="231" spans="2:17" outlineLevel="1"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</row>
    <row r="232" spans="2:17" outlineLevel="1">
      <c r="B232" s="2"/>
      <c r="C232" s="2" t="s">
        <v>93</v>
      </c>
      <c r="D232" s="2"/>
      <c r="E232" s="70">
        <f t="shared" ref="E232:Q232" si="229">E149*Excahnge_Rate</f>
        <v>23.547750000000004</v>
      </c>
      <c r="F232" s="70">
        <f t="shared" si="229"/>
        <v>87.07350000000001</v>
      </c>
      <c r="G232" s="70">
        <f t="shared" si="229"/>
        <v>-134.05124999999998</v>
      </c>
      <c r="H232" s="70">
        <f t="shared" si="229"/>
        <v>129.2412295293976</v>
      </c>
      <c r="I232" s="70">
        <f t="shared" si="229"/>
        <v>125.18015121962264</v>
      </c>
      <c r="J232" s="70">
        <f t="shared" si="229"/>
        <v>174.30267596892506</v>
      </c>
      <c r="K232" s="70">
        <f t="shared" si="229"/>
        <v>222.43109711955691</v>
      </c>
      <c r="L232" s="70">
        <f t="shared" si="229"/>
        <v>266.75724479073028</v>
      </c>
      <c r="M232" s="70">
        <f t="shared" si="229"/>
        <v>318.98483442273096</v>
      </c>
      <c r="N232" s="70">
        <f t="shared" si="229"/>
        <v>377.01410457673154</v>
      </c>
      <c r="O232" s="70">
        <f t="shared" si="229"/>
        <v>414.37781271883534</v>
      </c>
      <c r="P232" s="70">
        <f t="shared" si="229"/>
        <v>455.92412763843788</v>
      </c>
      <c r="Q232" s="70">
        <f t="shared" si="229"/>
        <v>472.57551874084379</v>
      </c>
    </row>
    <row r="233" spans="2:17">
      <c r="H233" s="29"/>
      <c r="I233" s="29"/>
      <c r="J233" s="29"/>
      <c r="K233" s="29"/>
      <c r="L233" s="29"/>
      <c r="M233" s="29"/>
      <c r="N233" s="29"/>
      <c r="O233" s="29"/>
      <c r="P233" s="29"/>
      <c r="Q233" s="29"/>
    </row>
  </sheetData>
  <dataValidations count="1">
    <dataValidation type="list" allowBlank="1" showInputMessage="1" showErrorMessage="1" sqref="D12" xr:uid="{569E7444-E964-490B-AC22-4449FBF5578F}">
      <formula1>$C$32:$C$34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2C76-6CD3-44FD-A500-258CE56D02E4}">
  <dimension ref="A1:R34"/>
  <sheetViews>
    <sheetView showGridLines="0" topLeftCell="D1" zoomScale="85" zoomScaleNormal="85" workbookViewId="0">
      <selection activeCell="E20" sqref="E20"/>
    </sheetView>
  </sheetViews>
  <sheetFormatPr defaultRowHeight="14.4" outlineLevelCol="1"/>
  <cols>
    <col min="1" max="1" width="1.77734375" customWidth="1"/>
    <col min="2" max="2" width="3.77734375" customWidth="1"/>
    <col min="3" max="3" width="35.44140625" bestFit="1" customWidth="1"/>
    <col min="4" max="4" width="13.77734375" bestFit="1" customWidth="1"/>
    <col min="5" max="7" width="15.77734375" customWidth="1" outlineLevel="1"/>
    <col min="8" max="17" width="15.77734375" customWidth="1"/>
    <col min="18" max="18" width="9.5546875" bestFit="1" customWidth="1"/>
  </cols>
  <sheetData>
    <row r="1" spans="1:17" ht="19.8">
      <c r="A1" s="36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>
      <c r="A2" s="1"/>
      <c r="B2" s="4" t="s">
        <v>19</v>
      </c>
      <c r="C2" s="5"/>
      <c r="D2" s="25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6">
      <c r="A3" s="1"/>
      <c r="B3" s="1"/>
      <c r="C3" s="8" t="s">
        <v>0</v>
      </c>
      <c r="D3" s="26" t="str">
        <f>Company_Name</f>
        <v>Aritzia Inc</v>
      </c>
      <c r="E3" s="1"/>
      <c r="F3" s="1"/>
      <c r="G3" s="1"/>
      <c r="H3" s="1"/>
      <c r="I3" s="20" t="s">
        <v>20</v>
      </c>
      <c r="J3" s="22"/>
      <c r="K3" s="22"/>
      <c r="L3" s="22"/>
      <c r="M3" s="1"/>
      <c r="N3" s="20" t="s">
        <v>21</v>
      </c>
      <c r="O3" s="22"/>
      <c r="P3" s="22"/>
      <c r="Q3" s="22"/>
    </row>
    <row r="4" spans="1:17" ht="15.6">
      <c r="A4" s="1"/>
      <c r="B4" s="1"/>
      <c r="C4" s="8" t="s">
        <v>22</v>
      </c>
      <c r="D4" s="26" t="str">
        <f>Ticker</f>
        <v>ATZ.TO</v>
      </c>
      <c r="E4" s="1"/>
      <c r="F4" s="1"/>
      <c r="G4" s="1"/>
      <c r="H4" s="1"/>
      <c r="I4" s="1" t="s">
        <v>26</v>
      </c>
      <c r="J4" s="1"/>
      <c r="K4" s="1"/>
      <c r="L4" s="27">
        <v>8</v>
      </c>
      <c r="M4" s="1"/>
      <c r="N4" s="1" t="s">
        <v>23</v>
      </c>
      <c r="O4" s="1"/>
      <c r="P4" s="1"/>
      <c r="Q4" s="28">
        <v>3.4000000000000002E-2</v>
      </c>
    </row>
    <row r="5" spans="1:17" ht="15.6">
      <c r="A5" s="1"/>
      <c r="B5" s="1"/>
      <c r="C5" s="8" t="s">
        <v>3</v>
      </c>
      <c r="D5" s="9">
        <f>Conversion_Unit</f>
        <v>1000</v>
      </c>
      <c r="E5" s="1"/>
      <c r="F5" s="1"/>
      <c r="G5" s="1"/>
      <c r="H5" s="1"/>
      <c r="I5" s="1" t="s">
        <v>24</v>
      </c>
      <c r="J5" s="1"/>
      <c r="K5" s="1"/>
      <c r="L5" s="29">
        <f>Q30*L4</f>
        <v>7929.1339600859801</v>
      </c>
      <c r="M5" s="1"/>
      <c r="N5" s="1" t="s">
        <v>24</v>
      </c>
      <c r="O5" s="1"/>
      <c r="P5" s="1"/>
      <c r="Q5" s="29">
        <f>Q28*(1+Q4)/($D$11-Q4)</f>
        <v>6542.7652571003955</v>
      </c>
    </row>
    <row r="6" spans="1:17" ht="15.6">
      <c r="A6" s="1"/>
      <c r="B6" s="1"/>
      <c r="C6" s="8" t="s">
        <v>4</v>
      </c>
      <c r="D6" s="10">
        <f>Share_Price</f>
        <v>24.12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>
      <c r="A7" s="1"/>
      <c r="B7" s="1"/>
      <c r="C7" s="8" t="s">
        <v>5</v>
      </c>
      <c r="D7" s="10">
        <v>115.301</v>
      </c>
      <c r="E7" s="1"/>
      <c r="F7" s="1"/>
      <c r="G7" s="1"/>
      <c r="H7" s="1"/>
      <c r="I7" s="1" t="s">
        <v>27</v>
      </c>
      <c r="J7" s="1"/>
      <c r="K7" s="1"/>
      <c r="L7" s="29">
        <f>H34</f>
        <v>1705.9617902635327</v>
      </c>
      <c r="M7" s="1"/>
      <c r="N7" s="1" t="s">
        <v>27</v>
      </c>
      <c r="O7" s="1"/>
      <c r="P7" s="1"/>
      <c r="Q7" s="29">
        <f>H34</f>
        <v>1705.9617902635327</v>
      </c>
    </row>
    <row r="8" spans="1:17" ht="15.6">
      <c r="A8" s="1"/>
      <c r="B8" s="1"/>
      <c r="C8" s="8" t="s">
        <v>6</v>
      </c>
      <c r="D8" s="11">
        <f>Exchange_Rate</f>
        <v>0.75</v>
      </c>
      <c r="E8" s="1"/>
      <c r="F8" s="1"/>
      <c r="G8" s="1"/>
      <c r="H8" s="1"/>
      <c r="I8" s="1" t="s">
        <v>28</v>
      </c>
      <c r="J8" s="1"/>
      <c r="K8" s="1"/>
      <c r="L8" s="29">
        <f>L5*Q33</f>
        <v>3004.1522804690812</v>
      </c>
      <c r="M8" s="1"/>
      <c r="N8" s="1" t="s">
        <v>28</v>
      </c>
      <c r="O8" s="1"/>
      <c r="P8" s="1"/>
      <c r="Q8" s="29">
        <f>Q5*Q33</f>
        <v>2478.8915493967634</v>
      </c>
    </row>
    <row r="9" spans="1:17" ht="15.6">
      <c r="A9" s="1"/>
      <c r="B9" s="1"/>
      <c r="C9" s="8" t="s">
        <v>25</v>
      </c>
      <c r="D9" s="30">
        <f ca="1">TODAY()</f>
        <v>45162</v>
      </c>
      <c r="E9" s="1"/>
      <c r="F9" s="1"/>
      <c r="G9" s="1"/>
      <c r="H9" s="1"/>
      <c r="I9" s="1"/>
      <c r="J9" s="1"/>
      <c r="K9" s="1"/>
      <c r="L9" s="29"/>
      <c r="M9" s="1"/>
      <c r="N9" s="1"/>
      <c r="O9" s="1"/>
      <c r="P9" s="1"/>
      <c r="Q9" s="1"/>
    </row>
    <row r="10" spans="1:17" ht="15.6">
      <c r="A10" s="1"/>
      <c r="B10" s="1"/>
      <c r="C10" s="8"/>
      <c r="D10" s="1"/>
      <c r="E10" s="1"/>
      <c r="F10" s="1"/>
      <c r="G10" s="1"/>
      <c r="H10" s="1"/>
      <c r="I10" s="31" t="s">
        <v>31</v>
      </c>
      <c r="J10" s="31"/>
      <c r="K10" s="31"/>
      <c r="L10" s="32">
        <f>L8+L7</f>
        <v>4710.114070732614</v>
      </c>
      <c r="M10" s="1"/>
      <c r="N10" s="31" t="s">
        <v>31</v>
      </c>
      <c r="O10" s="31"/>
      <c r="P10" s="31"/>
      <c r="Q10" s="32">
        <f>Q8+Q7</f>
        <v>4184.8533396602961</v>
      </c>
    </row>
    <row r="11" spans="1:17" ht="15.6">
      <c r="A11" s="1"/>
      <c r="B11" s="1"/>
      <c r="C11" s="1" t="s">
        <v>29</v>
      </c>
      <c r="D11" s="28">
        <f>WACC!$D$7</f>
        <v>0.11550000000000002</v>
      </c>
      <c r="E11" s="1"/>
      <c r="F11" s="1"/>
      <c r="G11" s="1"/>
      <c r="H11" s="1"/>
      <c r="I11" s="34" t="s">
        <v>33</v>
      </c>
      <c r="J11" s="1"/>
      <c r="K11" s="1"/>
      <c r="L11" s="29">
        <f>Cash</f>
        <v>86.51</v>
      </c>
      <c r="M11" s="1"/>
      <c r="N11" s="34" t="s">
        <v>33</v>
      </c>
      <c r="O11" s="1"/>
      <c r="P11" s="1"/>
      <c r="Q11" s="29">
        <f>Cash</f>
        <v>86.51</v>
      </c>
    </row>
    <row r="12" spans="1:17" ht="15.6">
      <c r="A12" s="1"/>
      <c r="B12" s="20" t="s">
        <v>30</v>
      </c>
      <c r="C12" s="22"/>
      <c r="D12" s="22"/>
      <c r="E12" s="1"/>
      <c r="F12" s="1"/>
      <c r="G12" s="1"/>
      <c r="H12" s="1"/>
      <c r="I12" s="34" t="s">
        <v>35</v>
      </c>
      <c r="J12" s="1"/>
      <c r="K12" s="1"/>
      <c r="L12" s="29">
        <v>0</v>
      </c>
      <c r="M12" s="1"/>
      <c r="N12" s="34" t="s">
        <v>35</v>
      </c>
      <c r="O12" s="1"/>
      <c r="P12" s="1"/>
      <c r="Q12" s="29">
        <v>0</v>
      </c>
    </row>
    <row r="13" spans="1:17" ht="15.6">
      <c r="A13" s="1"/>
      <c r="B13" s="2" t="s">
        <v>32</v>
      </c>
      <c r="C13" s="2"/>
      <c r="D13" s="33">
        <f>D7*D6</f>
        <v>2781.0601200000001</v>
      </c>
      <c r="E13" s="1"/>
      <c r="F13" s="1"/>
      <c r="G13" s="1"/>
      <c r="H13" s="1"/>
      <c r="I13" s="31" t="s">
        <v>36</v>
      </c>
      <c r="J13" s="31"/>
      <c r="K13" s="31"/>
      <c r="L13" s="32">
        <f>L10+L11+L12</f>
        <v>4796.6240707326142</v>
      </c>
      <c r="M13" s="1"/>
      <c r="N13" s="31" t="s">
        <v>36</v>
      </c>
      <c r="O13" s="31"/>
      <c r="P13" s="31"/>
      <c r="Q13" s="32">
        <f>SUM(Q10:Q12)</f>
        <v>4271.3633396602963</v>
      </c>
    </row>
    <row r="14" spans="1:17" ht="15.6">
      <c r="A14" s="1"/>
      <c r="B14" s="34" t="s">
        <v>34</v>
      </c>
      <c r="C14" s="1"/>
      <c r="D14" s="29">
        <f>-Cash</f>
        <v>-86.51</v>
      </c>
      <c r="E14" s="1"/>
      <c r="F14" s="1"/>
      <c r="G14" s="1"/>
      <c r="H14" s="1"/>
      <c r="I14" s="2" t="s">
        <v>37</v>
      </c>
      <c r="J14" s="2"/>
      <c r="K14" s="2"/>
      <c r="L14" s="33">
        <f>L13/$D$7</f>
        <v>41.600888723711108</v>
      </c>
      <c r="M14" s="1"/>
      <c r="N14" s="2" t="s">
        <v>37</v>
      </c>
      <c r="O14" s="2"/>
      <c r="P14" s="2"/>
      <c r="Q14" s="33">
        <f>Q13/$D$7</f>
        <v>37.045327791261968</v>
      </c>
    </row>
    <row r="15" spans="1:17" ht="15.6">
      <c r="A15" s="1"/>
      <c r="B15" s="34" t="s">
        <v>143</v>
      </c>
      <c r="C15" s="1"/>
      <c r="D15" s="29">
        <v>0</v>
      </c>
      <c r="E15" s="1"/>
      <c r="F15" s="1"/>
      <c r="G15" s="1"/>
      <c r="H15" s="1"/>
      <c r="I15" s="58" t="s">
        <v>111</v>
      </c>
      <c r="L15" s="58">
        <f>L14/D6-1</f>
        <v>0.72474663033628128</v>
      </c>
      <c r="M15" s="1"/>
      <c r="N15" s="2" t="s">
        <v>111</v>
      </c>
      <c r="O15" s="1"/>
      <c r="P15" s="1"/>
      <c r="Q15" s="58">
        <f>Q14/Share_Price-1</f>
        <v>0.53587594491135859</v>
      </c>
    </row>
    <row r="16" spans="1:17" ht="15.6">
      <c r="A16" s="1"/>
      <c r="B16" s="2" t="s">
        <v>31</v>
      </c>
      <c r="C16" s="1"/>
      <c r="D16" s="33">
        <f>SUM(D13:D15)</f>
        <v>2694.5501199999999</v>
      </c>
      <c r="E16" s="1"/>
      <c r="F16" s="1"/>
      <c r="G16" s="1"/>
      <c r="H16" s="1"/>
      <c r="M16" s="1"/>
    </row>
    <row r="17" spans="1:18" ht="15.6">
      <c r="A17" s="1"/>
      <c r="D17" s="1"/>
      <c r="E17" s="1"/>
      <c r="F17" s="1"/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</row>
    <row r="18" spans="1:18" ht="15.6">
      <c r="B18" s="4"/>
      <c r="C18" s="5"/>
      <c r="D18" s="14"/>
      <c r="E18" s="15" t="s">
        <v>8</v>
      </c>
      <c r="F18" s="15"/>
      <c r="G18" s="16"/>
      <c r="H18" s="16" t="s">
        <v>9</v>
      </c>
      <c r="I18" s="15"/>
      <c r="J18" s="15"/>
      <c r="K18" s="15"/>
      <c r="L18" s="15"/>
      <c r="M18" s="15"/>
      <c r="N18" s="15"/>
      <c r="O18" s="15"/>
      <c r="P18" s="15"/>
      <c r="Q18" s="16"/>
    </row>
    <row r="19" spans="1:18" ht="15.6">
      <c r="B19" s="4" t="s">
        <v>38</v>
      </c>
      <c r="C19" s="5"/>
      <c r="D19" s="24" t="s">
        <v>11</v>
      </c>
      <c r="E19" s="17">
        <f>DATE(2020,12,31)</f>
        <v>44196</v>
      </c>
      <c r="F19" s="17">
        <f>EDATE(E19,12)</f>
        <v>44561</v>
      </c>
      <c r="G19" s="18">
        <f>EDATE(F19,12)</f>
        <v>44926</v>
      </c>
      <c r="H19" s="17">
        <f t="shared" ref="H19:Q19" si="0">EDATE(G19,12)</f>
        <v>45291</v>
      </c>
      <c r="I19" s="17">
        <f t="shared" si="0"/>
        <v>45657</v>
      </c>
      <c r="J19" s="17">
        <f t="shared" si="0"/>
        <v>46022</v>
      </c>
      <c r="K19" s="17">
        <f t="shared" si="0"/>
        <v>46387</v>
      </c>
      <c r="L19" s="17">
        <f t="shared" si="0"/>
        <v>46752</v>
      </c>
      <c r="M19" s="17">
        <f t="shared" si="0"/>
        <v>47118</v>
      </c>
      <c r="N19" s="17">
        <f t="shared" si="0"/>
        <v>47483</v>
      </c>
      <c r="O19" s="17">
        <f t="shared" si="0"/>
        <v>47848</v>
      </c>
      <c r="P19" s="17">
        <f t="shared" si="0"/>
        <v>48213</v>
      </c>
      <c r="Q19" s="17">
        <f t="shared" si="0"/>
        <v>48579</v>
      </c>
    </row>
    <row r="20" spans="1:18" s="2" customFormat="1" ht="15.6">
      <c r="C20" s="2" t="s">
        <v>144</v>
      </c>
      <c r="E20" s="68">
        <f>Financial_Model!E78</f>
        <v>28.198000000000008</v>
      </c>
      <c r="F20" s="68">
        <f>Financial_Model!F78</f>
        <v>212.83900000000008</v>
      </c>
      <c r="G20" s="68">
        <f>Financial_Model!G78</f>
        <v>259.81400000000008</v>
      </c>
      <c r="H20" s="68">
        <f>Financial_Model!H78</f>
        <v>277.37611882254544</v>
      </c>
      <c r="I20" s="68">
        <f>Financial_Model!I78</f>
        <v>366.13594220762798</v>
      </c>
      <c r="J20" s="68">
        <f>Financial_Model!J78</f>
        <v>459.9630043123932</v>
      </c>
      <c r="K20" s="68">
        <f>Financial_Model!K78</f>
        <v>512.07706125131699</v>
      </c>
      <c r="L20" s="68">
        <f>Financial_Model!L78</f>
        <v>575.82364432795407</v>
      </c>
      <c r="M20" s="68">
        <f>Financial_Model!M78</f>
        <v>650.23389285755729</v>
      </c>
      <c r="N20" s="68">
        <f>Financial_Model!N78</f>
        <v>724.30257966774116</v>
      </c>
      <c r="O20" s="68">
        <f>Financial_Model!O78</f>
        <v>794.6218110260811</v>
      </c>
      <c r="P20" s="68">
        <f>Financial_Model!P78</f>
        <v>876.96529261099477</v>
      </c>
      <c r="Q20" s="68">
        <f>Financial_Model!Q78</f>
        <v>919.0719223841852</v>
      </c>
    </row>
    <row r="21" spans="1:18" s="1" customFormat="1" ht="15.6">
      <c r="C21" s="38" t="s">
        <v>146</v>
      </c>
      <c r="D21" s="39"/>
      <c r="E21" s="44">
        <f t="shared" ref="E21:Q21" si="1">-E20*Tax_Rate</f>
        <v>-8.1469535000966609</v>
      </c>
      <c r="F21" s="44">
        <f t="shared" si="1"/>
        <v>-61.493348322826918</v>
      </c>
      <c r="G21" s="44">
        <f t="shared" si="1"/>
        <v>-75.065344232715574</v>
      </c>
      <c r="H21" s="44">
        <f t="shared" si="1"/>
        <v>-80.139383718156012</v>
      </c>
      <c r="I21" s="44">
        <f t="shared" si="1"/>
        <v>-105.78383204055687</v>
      </c>
      <c r="J21" s="44">
        <f t="shared" si="1"/>
        <v>-132.89230469883773</v>
      </c>
      <c r="K21" s="44">
        <f t="shared" si="1"/>
        <v>-147.94907463226571</v>
      </c>
      <c r="L21" s="44">
        <f t="shared" si="1"/>
        <v>-166.36670879480951</v>
      </c>
      <c r="M21" s="44">
        <f t="shared" si="1"/>
        <v>-187.86528439241621</v>
      </c>
      <c r="N21" s="44">
        <f t="shared" si="1"/>
        <v>-209.26517613139737</v>
      </c>
      <c r="O21" s="44">
        <f t="shared" si="1"/>
        <v>-229.58177688460449</v>
      </c>
      <c r="P21" s="44">
        <f t="shared" si="1"/>
        <v>-253.37241861481078</v>
      </c>
      <c r="Q21" s="44">
        <f t="shared" si="1"/>
        <v>-265.53784718449543</v>
      </c>
    </row>
    <row r="22" spans="1:18" s="2" customFormat="1" ht="15.6">
      <c r="C22" s="2" t="s">
        <v>145</v>
      </c>
      <c r="E22" s="33">
        <f>E21+E20</f>
        <v>20.051046499903347</v>
      </c>
      <c r="F22" s="33">
        <f t="shared" ref="F22:Q22" si="2">F21+F20</f>
        <v>151.34565167717318</v>
      </c>
      <c r="G22" s="33">
        <f t="shared" si="2"/>
        <v>184.7486557672845</v>
      </c>
      <c r="H22" s="33">
        <f t="shared" si="2"/>
        <v>197.23673510438942</v>
      </c>
      <c r="I22" s="33">
        <f t="shared" si="2"/>
        <v>260.35211016707109</v>
      </c>
      <c r="J22" s="33">
        <f t="shared" si="2"/>
        <v>327.07069961355546</v>
      </c>
      <c r="K22" s="33">
        <f t="shared" si="2"/>
        <v>364.12798661905128</v>
      </c>
      <c r="L22" s="33">
        <f t="shared" si="2"/>
        <v>409.45693553314459</v>
      </c>
      <c r="M22" s="33">
        <f t="shared" si="2"/>
        <v>462.36860846514105</v>
      </c>
      <c r="N22" s="33">
        <f t="shared" si="2"/>
        <v>515.03740353634385</v>
      </c>
      <c r="O22" s="33">
        <f t="shared" si="2"/>
        <v>565.04003414147655</v>
      </c>
      <c r="P22" s="33">
        <f t="shared" si="2"/>
        <v>623.59287399618393</v>
      </c>
      <c r="Q22" s="33">
        <f t="shared" si="2"/>
        <v>653.53407519968982</v>
      </c>
    </row>
    <row r="23" spans="1:18" s="1" customFormat="1" ht="15.6">
      <c r="C23" s="34" t="s">
        <v>94</v>
      </c>
      <c r="E23" s="69">
        <f>Financial_Model!E130</f>
        <v>38.871000000000002</v>
      </c>
      <c r="F23" s="69">
        <f>Financial_Model!F130</f>
        <v>44.569000000000003</v>
      </c>
      <c r="G23" s="69">
        <f>Financial_Model!G130</f>
        <v>52.854999999999997</v>
      </c>
      <c r="H23" s="69">
        <f>Financial_Model!H130</f>
        <v>55.062920016</v>
      </c>
      <c r="I23" s="69">
        <f>Financial_Model!I130</f>
        <v>49.964997562365596</v>
      </c>
      <c r="J23" s="69">
        <f>Financial_Model!J130</f>
        <v>53.267742438003729</v>
      </c>
      <c r="K23" s="69">
        <f>Financial_Model!K130</f>
        <v>56.290821335861551</v>
      </c>
      <c r="L23" s="69">
        <f>Financial_Model!L130</f>
        <v>59.532918024894848</v>
      </c>
      <c r="M23" s="69">
        <f>Financial_Model!M130</f>
        <v>62.860681476703441</v>
      </c>
      <c r="N23" s="69">
        <f>Financial_Model!N130</f>
        <v>65.548761368350966</v>
      </c>
      <c r="O23" s="69">
        <f>Financial_Model!O130</f>
        <v>67.404855703564408</v>
      </c>
      <c r="P23" s="69">
        <f>Financial_Model!P130</f>
        <v>69.004320799755419</v>
      </c>
      <c r="Q23" s="69">
        <f>Financial_Model!Q130</f>
        <v>72.069822626562342</v>
      </c>
    </row>
    <row r="24" spans="1:18" s="1" customFormat="1" ht="15.6">
      <c r="C24" s="34" t="s">
        <v>97</v>
      </c>
      <c r="E24" s="69">
        <f>Financial_Model!E138</f>
        <v>-50.255000000000003</v>
      </c>
      <c r="F24" s="69">
        <f>Financial_Model!F138</f>
        <v>-65.427000000000007</v>
      </c>
      <c r="G24" s="69">
        <f>Financial_Model!G138</f>
        <v>-122.767</v>
      </c>
      <c r="H24" s="69">
        <f>Financial_Model!H138</f>
        <v>-153.94008784732105</v>
      </c>
      <c r="I24" s="69">
        <f>Financial_Model!I138</f>
        <v>-169.59535130386732</v>
      </c>
      <c r="J24" s="69">
        <f>Financial_Model!J138</f>
        <v>-181.16654285490193</v>
      </c>
      <c r="K24" s="69">
        <f>Financial_Model!K138</f>
        <v>-177.16127812605563</v>
      </c>
      <c r="L24" s="69">
        <f>Financial_Model!L138</f>
        <v>-171.04639783942716</v>
      </c>
      <c r="M24" s="69">
        <f>Financial_Model!M138</f>
        <v>-161.94089058277473</v>
      </c>
      <c r="N24" s="69">
        <f>Financial_Model!N138</f>
        <v>-147.70842157861674</v>
      </c>
      <c r="O24" s="69">
        <f>Financial_Model!O138</f>
        <v>-158.79510334399689</v>
      </c>
      <c r="P24" s="69">
        <f>Financial_Model!P138</f>
        <v>-170.30429254372001</v>
      </c>
      <c r="Q24" s="69">
        <f>Financial_Model!Q138</f>
        <v>-181.32381027416847</v>
      </c>
    </row>
    <row r="25" spans="1:18" s="1" customFormat="1" ht="15.6">
      <c r="C25" s="34" t="s">
        <v>153</v>
      </c>
      <c r="E25" s="69">
        <f>Financial_Model!E134</f>
        <v>3.9129999999999998</v>
      </c>
      <c r="F25" s="69">
        <f>Financial_Model!F134</f>
        <v>18.722999999999999</v>
      </c>
      <c r="G25" s="69">
        <f>Financial_Model!G134</f>
        <v>-228.95599999999999</v>
      </c>
      <c r="H25" s="69">
        <f>Financial_Model!H134</f>
        <v>19.387721956073051</v>
      </c>
      <c r="I25" s="69">
        <f>Financial_Model!I134</f>
        <v>-42.109047248045442</v>
      </c>
      <c r="J25" s="69">
        <f>Financial_Model!J134</f>
        <v>-44.032145580653548</v>
      </c>
      <c r="K25" s="69">
        <f>Financial_Model!K134</f>
        <v>-25.831975982569361</v>
      </c>
      <c r="L25" s="69">
        <f>Financial_Model!L134</f>
        <v>-28.834142425389359</v>
      </c>
      <c r="M25" s="69">
        <f>Financial_Model!M134</f>
        <v>-31.354126143687949</v>
      </c>
      <c r="N25" s="69">
        <f>Financial_Model!N134</f>
        <v>-29.60086971816213</v>
      </c>
      <c r="O25" s="69">
        <f>Financial_Model!O134</f>
        <v>-26.482340282193263</v>
      </c>
      <c r="P25" s="69">
        <f>Financial_Model!P134</f>
        <v>-26.220987864391759</v>
      </c>
      <c r="Q25" s="69">
        <f>Financial_Model!Q134</f>
        <v>-30.220470330712487</v>
      </c>
      <c r="R25" s="29"/>
    </row>
    <row r="26" spans="1:18" s="1" customFormat="1" ht="15.6">
      <c r="C26" s="34" t="s">
        <v>136</v>
      </c>
      <c r="E26" s="69">
        <f>Financial_Model!E132</f>
        <v>4.3040000000000003</v>
      </c>
      <c r="F26" s="69">
        <f>Financial_Model!F132</f>
        <v>36.518000000000001</v>
      </c>
      <c r="G26" s="69">
        <f>Financial_Model!G132</f>
        <v>-47.197000000000003</v>
      </c>
      <c r="H26" s="69">
        <f>Financial_Model!H132</f>
        <v>2.1284464120869337</v>
      </c>
      <c r="I26" s="69">
        <f>Financial_Model!I132</f>
        <v>3.5242178203565278</v>
      </c>
      <c r="J26" s="69">
        <f>Financial_Model!J132</f>
        <v>3.62925972483694</v>
      </c>
      <c r="K26" s="69">
        <f>Financial_Model!K132</f>
        <v>2.0294859843258877</v>
      </c>
      <c r="L26" s="69">
        <f>Financial_Model!L132</f>
        <v>2.4962030110336961</v>
      </c>
      <c r="M26" s="69">
        <f>Financial_Model!M132</f>
        <v>2.8943101548438328</v>
      </c>
      <c r="N26" s="69">
        <f>Financial_Model!N132</f>
        <v>2.8883354778682744</v>
      </c>
      <c r="O26" s="69">
        <f>Financial_Model!O132</f>
        <v>2.7431406439604373</v>
      </c>
      <c r="P26" s="69">
        <f>Financial_Model!P132</f>
        <v>3.2088115168068505</v>
      </c>
      <c r="Q26" s="69">
        <f>Financial_Model!Q132</f>
        <v>1.6418996583990051</v>
      </c>
    </row>
    <row r="27" spans="1:18" s="1" customFormat="1" ht="15.6">
      <c r="C27" s="34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1:18" s="1" customFormat="1" ht="15.6">
      <c r="B28" s="82"/>
      <c r="C28" s="82" t="s">
        <v>38</v>
      </c>
      <c r="D28" s="83"/>
      <c r="E28" s="84">
        <f>SUM(E22:E26)</f>
        <v>16.884046499903341</v>
      </c>
      <c r="F28" s="84">
        <f t="shared" ref="F28:Q28" si="3">SUM(F22:F26)</f>
        <v>185.72865167717319</v>
      </c>
      <c r="G28" s="84">
        <f t="shared" si="3"/>
        <v>-161.31634423271549</v>
      </c>
      <c r="H28" s="84">
        <f t="shared" si="3"/>
        <v>119.87573564122835</v>
      </c>
      <c r="I28" s="84">
        <f t="shared" si="3"/>
        <v>102.13692699788042</v>
      </c>
      <c r="J28" s="84">
        <f t="shared" si="3"/>
        <v>158.76901334084064</v>
      </c>
      <c r="K28" s="84">
        <f t="shared" si="3"/>
        <v>219.45503983061371</v>
      </c>
      <c r="L28" s="84">
        <f t="shared" si="3"/>
        <v>271.60551630425664</v>
      </c>
      <c r="M28" s="84">
        <f t="shared" si="3"/>
        <v>334.82858337022566</v>
      </c>
      <c r="N28" s="84">
        <f t="shared" si="3"/>
        <v>406.16520908578423</v>
      </c>
      <c r="O28" s="84">
        <f t="shared" si="3"/>
        <v>449.91058686281127</v>
      </c>
      <c r="P28" s="84">
        <f t="shared" si="3"/>
        <v>499.28072590463449</v>
      </c>
      <c r="Q28" s="84">
        <f t="shared" si="3"/>
        <v>515.70151687977011</v>
      </c>
    </row>
    <row r="30" spans="1:18" ht="15.6">
      <c r="B30" s="86"/>
      <c r="C30" s="85" t="s">
        <v>154</v>
      </c>
      <c r="D30" s="86"/>
      <c r="E30" s="87">
        <f>E20+E23</f>
        <v>67.069000000000017</v>
      </c>
      <c r="F30" s="87">
        <f t="shared" ref="F30:Q30" si="4">F20+F23</f>
        <v>257.40800000000007</v>
      </c>
      <c r="G30" s="87">
        <f t="shared" si="4"/>
        <v>312.6690000000001</v>
      </c>
      <c r="H30" s="87">
        <f t="shared" si="4"/>
        <v>332.43903883854546</v>
      </c>
      <c r="I30" s="87">
        <f t="shared" si="4"/>
        <v>416.1009397699936</v>
      </c>
      <c r="J30" s="87">
        <f t="shared" si="4"/>
        <v>513.23074675039697</v>
      </c>
      <c r="K30" s="87">
        <f t="shared" si="4"/>
        <v>568.36788258717854</v>
      </c>
      <c r="L30" s="87">
        <f t="shared" si="4"/>
        <v>635.35656235284887</v>
      </c>
      <c r="M30" s="87">
        <f t="shared" si="4"/>
        <v>713.09457433426076</v>
      </c>
      <c r="N30" s="87">
        <f t="shared" si="4"/>
        <v>789.85134103609209</v>
      </c>
      <c r="O30" s="87">
        <f t="shared" si="4"/>
        <v>862.02666672964551</v>
      </c>
      <c r="P30" s="87">
        <f t="shared" si="4"/>
        <v>945.96961341075018</v>
      </c>
      <c r="Q30" s="87">
        <f t="shared" si="4"/>
        <v>991.14174501074751</v>
      </c>
    </row>
    <row r="32" spans="1:18">
      <c r="C32" t="s">
        <v>155</v>
      </c>
      <c r="H32" s="88">
        <f>0.5*_xlfn.DAYS(H19,DATE(2023,8,15))/365</f>
        <v>0.18904109589041096</v>
      </c>
      <c r="I32" s="88">
        <f>(_xlfn.DAYS(H19,DATE(2023,8,15))+_xlfn.DAYS(I19,H19)*0.5)/365</f>
        <v>0.8794520547945206</v>
      </c>
      <c r="J32" s="88">
        <f>I32+1</f>
        <v>1.8794520547945206</v>
      </c>
      <c r="K32" s="88">
        <f t="shared" ref="K32:Q32" si="5">J32+1</f>
        <v>2.8794520547945206</v>
      </c>
      <c r="L32" s="88">
        <f t="shared" si="5"/>
        <v>3.8794520547945206</v>
      </c>
      <c r="M32" s="88">
        <f t="shared" si="5"/>
        <v>4.8794520547945206</v>
      </c>
      <c r="N32" s="88">
        <f t="shared" si="5"/>
        <v>5.8794520547945206</v>
      </c>
      <c r="O32" s="88">
        <f t="shared" si="5"/>
        <v>6.8794520547945206</v>
      </c>
      <c r="P32" s="88">
        <f t="shared" si="5"/>
        <v>7.8794520547945206</v>
      </c>
      <c r="Q32" s="88">
        <f t="shared" si="5"/>
        <v>8.8794520547945197</v>
      </c>
    </row>
    <row r="33" spans="3:17">
      <c r="C33" t="s">
        <v>156</v>
      </c>
      <c r="H33" s="88">
        <f>1/(1+$D$11)^H32</f>
        <v>0.97954930222817571</v>
      </c>
      <c r="I33" s="88">
        <f t="shared" ref="I33:Q33" si="6">1/(1+$D$11)^I32</f>
        <v>0.90834908920092361</v>
      </c>
      <c r="J33" s="88">
        <f t="shared" si="6"/>
        <v>0.81429770434865412</v>
      </c>
      <c r="K33" s="88">
        <f t="shared" si="6"/>
        <v>0.72998449515791508</v>
      </c>
      <c r="L33" s="88">
        <f t="shared" si="6"/>
        <v>0.65440116105595258</v>
      </c>
      <c r="M33" s="88">
        <f t="shared" si="6"/>
        <v>0.58664380193272314</v>
      </c>
      <c r="N33" s="88">
        <f t="shared" si="6"/>
        <v>0.52590210841122642</v>
      </c>
      <c r="O33" s="88">
        <f t="shared" si="6"/>
        <v>0.47144967136819949</v>
      </c>
      <c r="P33" s="88">
        <f t="shared" si="6"/>
        <v>0.42263529481685297</v>
      </c>
      <c r="Q33" s="88">
        <f t="shared" si="6"/>
        <v>0.37887520826253079</v>
      </c>
    </row>
    <row r="34" spans="3:17">
      <c r="C34" t="s">
        <v>27</v>
      </c>
      <c r="H34" s="88">
        <f>SUMPRODUCT(H33:Q33,H28:Q28)</f>
        <v>1705.9617902635327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CEB1-1883-44DA-88DE-CCC7B216416C}">
  <dimension ref="A1:L7"/>
  <sheetViews>
    <sheetView showGridLines="0" workbookViewId="0">
      <selection activeCell="D7" sqref="D7"/>
    </sheetView>
  </sheetViews>
  <sheetFormatPr defaultRowHeight="14.4"/>
  <cols>
    <col min="1" max="1" width="2.77734375" customWidth="1"/>
    <col min="2" max="2" width="12.44140625" bestFit="1" customWidth="1"/>
    <col min="4" max="4" width="15.77734375" customWidth="1"/>
  </cols>
  <sheetData>
    <row r="1" spans="1:12">
      <c r="A1" s="78" t="s">
        <v>147</v>
      </c>
    </row>
    <row r="2" spans="1:12" s="79" customFormat="1">
      <c r="A2" s="80" t="s">
        <v>148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5.6">
      <c r="B3" s="1" t="s">
        <v>149</v>
      </c>
      <c r="C3" s="1"/>
      <c r="D3" s="81">
        <v>1.56</v>
      </c>
    </row>
    <row r="4" spans="1:12" ht="15.6">
      <c r="B4" s="1" t="s">
        <v>150</v>
      </c>
      <c r="C4" s="1"/>
      <c r="D4" s="28">
        <v>3.7499999999999999E-2</v>
      </c>
    </row>
    <row r="5" spans="1:12" ht="15.6">
      <c r="B5" s="1" t="s">
        <v>151</v>
      </c>
      <c r="C5" s="1"/>
      <c r="D5" s="28">
        <v>0.05</v>
      </c>
    </row>
    <row r="6" spans="1:12" ht="15.6">
      <c r="B6" s="1" t="s">
        <v>148</v>
      </c>
      <c r="C6" s="1"/>
      <c r="D6" s="28">
        <f>D4+D3*D5</f>
        <v>0.11550000000000002</v>
      </c>
    </row>
    <row r="7" spans="1:12" ht="15.6">
      <c r="B7" s="1" t="s">
        <v>152</v>
      </c>
      <c r="C7" s="1"/>
      <c r="D7" s="56">
        <f>D6</f>
        <v>0.11550000000000002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Cover_Page</vt:lpstr>
      <vt:lpstr>Financial_Model</vt:lpstr>
      <vt:lpstr>DCF_Model</vt:lpstr>
      <vt:lpstr>WACC</vt:lpstr>
      <vt:lpstr>Cases</vt:lpstr>
      <vt:lpstr>Cash</vt:lpstr>
      <vt:lpstr>Company_Name</vt:lpstr>
      <vt:lpstr>Conversion_Unit</vt:lpstr>
      <vt:lpstr>Diluted_Share_Counts</vt:lpstr>
      <vt:lpstr>Excahnge_Rate</vt:lpstr>
      <vt:lpstr>Exchange_Rate</vt:lpstr>
      <vt:lpstr>Share_Price</vt:lpstr>
      <vt:lpstr>Tax_Rate</vt:lpstr>
      <vt:lpstr>Ticker</vt:lpstr>
      <vt:lpstr>US_GDP_Growth_Rate</vt:lpstr>
      <vt:lpstr>US_Inflation_Rate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cp:lastPrinted>2023-08-16T01:12:14Z</cp:lastPrinted>
  <dcterms:created xsi:type="dcterms:W3CDTF">2015-06-05T18:17:20Z</dcterms:created>
  <dcterms:modified xsi:type="dcterms:W3CDTF">2023-08-24T16:59:02Z</dcterms:modified>
</cp:coreProperties>
</file>