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Financial Modelling\Great Canadian Gaming Corporation LBO\"/>
    </mc:Choice>
  </mc:AlternateContent>
  <xr:revisionPtr revIDLastSave="0" documentId="13_ncr:1_{3A4DAE09-6AF7-4DF8-BBC7-EDD012A38D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reat_Canadian_Gaming_LBO" sheetId="1" r:id="rId1"/>
  </sheets>
  <definedNames>
    <definedName name="Buyer_Share_Price">Great_Canadian_Gaming_LBO!$E$11</definedName>
    <definedName name="Company_Name">Great_Canadian_Gaming_LBO!$E$7</definedName>
    <definedName name="Exit_Multiple">Great_Canadian_Gaming_LBO!$K$36</definedName>
    <definedName name="Exit_Year">Great_Canadian_Gaming_LBO!$K$30</definedName>
    <definedName name="FY20_Cash">Great_Canadian_Gaming_LBO!$G$184</definedName>
    <definedName name="Hist_Year">Great_Canadian_Gaming_LBO!$E$8</definedName>
    <definedName name="LTM_EBITDA">Great_Canadian_Gaming_LBO!$E$28</definedName>
    <definedName name="Mgmt_Equity">Great_Canadian_Gaming_LBO!$D$51</definedName>
    <definedName name="Mgmt_Pct">Great_Canadian_Gaming_LBO!$E$51</definedName>
    <definedName name="Min_Cash">Great_Canadian_Gaming_LBO!$K$27</definedName>
    <definedName name="Offer_Price">Great_Canadian_Gaming_LBO!$E$13</definedName>
    <definedName name="_xlnm.Print_Area" localSheetId="0">Great_Canadian_Gaming_LBO!$A$1:$O$417</definedName>
    <definedName name="Purchase_Equity_Price">Great_Canadian_Gaming_LBO!$E$18</definedName>
    <definedName name="Purchase_Multiple">Great_Canadian_Gaming_LBO!$E$26</definedName>
    <definedName name="Scenario">Great_Canadian_Gaming_LBO!$K$26</definedName>
    <definedName name="Sponsor_Equity">Great_Canadian_Gaming_LBO!$D$52</definedName>
    <definedName name="Sponsor_Pct">Great_Canadian_Gaming_LBO!$E$52</definedName>
    <definedName name="Tax_Rate">Great_Canadian_Gaming_LBO!$K$28</definedName>
    <definedName name="Total_Equity">Great_Canadian_Gaming_LBO!$D$53</definedName>
    <definedName name="Units">Great_Canadian_Gaming_LBO!$E$9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2" i="1" l="1"/>
  <c r="G412" i="1" s="1"/>
  <c r="H412" i="1" s="1"/>
  <c r="I412" i="1" s="1"/>
  <c r="J412" i="1" s="1"/>
  <c r="K412" i="1" s="1"/>
  <c r="L412" i="1" s="1"/>
  <c r="M412" i="1" s="1"/>
  <c r="D414" i="1"/>
  <c r="D415" i="1"/>
  <c r="D413" i="1"/>
  <c r="L404" i="1"/>
  <c r="K404" i="1"/>
  <c r="L394" i="1"/>
  <c r="K394" i="1"/>
  <c r="K361" i="1"/>
  <c r="J202" i="1"/>
  <c r="L322" i="1"/>
  <c r="M322" i="1"/>
  <c r="N322" i="1"/>
  <c r="O322" i="1"/>
  <c r="K322" i="1"/>
  <c r="L281" i="1"/>
  <c r="M281" i="1"/>
  <c r="N281" i="1"/>
  <c r="O281" i="1"/>
  <c r="J307" i="1"/>
  <c r="J301" i="1"/>
  <c r="J295" i="1"/>
  <c r="K281" i="1"/>
  <c r="D265" i="1"/>
  <c r="K265" i="1" s="1"/>
  <c r="E265" i="1"/>
  <c r="D266" i="1"/>
  <c r="K266" i="1" s="1"/>
  <c r="E266" i="1"/>
  <c r="F267" i="1"/>
  <c r="G267" i="1"/>
  <c r="F268" i="1"/>
  <c r="E264" i="1"/>
  <c r="D264" i="1"/>
  <c r="O264" i="1" s="1"/>
  <c r="L128" i="1"/>
  <c r="M128" i="1"/>
  <c r="N128" i="1"/>
  <c r="O128" i="1"/>
  <c r="L126" i="1"/>
  <c r="M126" i="1" s="1"/>
  <c r="N126" i="1" s="1"/>
  <c r="O126" i="1" s="1"/>
  <c r="L231" i="1"/>
  <c r="M231" i="1"/>
  <c r="N231" i="1"/>
  <c r="O231" i="1"/>
  <c r="K231" i="1"/>
  <c r="J213" i="1"/>
  <c r="J209" i="1"/>
  <c r="J208" i="1"/>
  <c r="J201" i="1"/>
  <c r="J194" i="1"/>
  <c r="J191" i="1"/>
  <c r="J186" i="1"/>
  <c r="J185" i="1"/>
  <c r="K226" i="1"/>
  <c r="L135" i="1"/>
  <c r="M135" i="1"/>
  <c r="N135" i="1"/>
  <c r="O135" i="1"/>
  <c r="K135" i="1"/>
  <c r="L132" i="1"/>
  <c r="M132" i="1" s="1"/>
  <c r="N132" i="1" s="1"/>
  <c r="L124" i="1"/>
  <c r="L226" i="1" s="1"/>
  <c r="F121" i="1"/>
  <c r="G121" i="1"/>
  <c r="E121" i="1"/>
  <c r="F116" i="1"/>
  <c r="G116" i="1"/>
  <c r="E116" i="1"/>
  <c r="E117" i="1"/>
  <c r="K154" i="1"/>
  <c r="L154" i="1" s="1"/>
  <c r="M154" i="1" s="1"/>
  <c r="F110" i="1"/>
  <c r="F132" i="1" s="1"/>
  <c r="G110" i="1"/>
  <c r="G109" i="1" s="1"/>
  <c r="E110" i="1"/>
  <c r="E134" i="1" s="1"/>
  <c r="G107" i="1"/>
  <c r="F107" i="1"/>
  <c r="N107" i="1" s="1"/>
  <c r="O107" i="1" s="1"/>
  <c r="F106" i="1"/>
  <c r="G106" i="1"/>
  <c r="E106" i="1"/>
  <c r="O100" i="1"/>
  <c r="N100" i="1"/>
  <c r="M100" i="1"/>
  <c r="L100" i="1"/>
  <c r="K100" i="1"/>
  <c r="L92" i="1"/>
  <c r="M92" i="1"/>
  <c r="N92" i="1"/>
  <c r="O92" i="1"/>
  <c r="K92" i="1"/>
  <c r="K89" i="1"/>
  <c r="L89" i="1" s="1"/>
  <c r="E78" i="1"/>
  <c r="H207" i="1" s="1"/>
  <c r="L71" i="1"/>
  <c r="K73" i="1" s="1"/>
  <c r="E73" i="1"/>
  <c r="I192" i="1" s="1"/>
  <c r="E72" i="1"/>
  <c r="K34" i="1"/>
  <c r="N376" i="1" s="1"/>
  <c r="E22" i="1"/>
  <c r="E21" i="1"/>
  <c r="E20" i="1"/>
  <c r="K42" i="1" s="1"/>
  <c r="H206" i="1" s="1"/>
  <c r="E19" i="1"/>
  <c r="D46" i="1" s="1"/>
  <c r="I184" i="1" s="1"/>
  <c r="J184" i="1" s="1"/>
  <c r="K250" i="1" s="1"/>
  <c r="M23" i="1"/>
  <c r="M22" i="1"/>
  <c r="E13" i="1"/>
  <c r="M13" i="1" s="1"/>
  <c r="K264" i="1" l="1"/>
  <c r="N264" i="1"/>
  <c r="L264" i="1"/>
  <c r="O265" i="1"/>
  <c r="M376" i="1"/>
  <c r="M267" i="1"/>
  <c r="M265" i="1"/>
  <c r="O376" i="1"/>
  <c r="M264" i="1"/>
  <c r="N265" i="1"/>
  <c r="O266" i="1"/>
  <c r="L265" i="1"/>
  <c r="N266" i="1"/>
  <c r="K267" i="1"/>
  <c r="M266" i="1"/>
  <c r="O267" i="1"/>
  <c r="L266" i="1"/>
  <c r="N267" i="1"/>
  <c r="L267" i="1"/>
  <c r="K165" i="1"/>
  <c r="K278" i="1"/>
  <c r="J203" i="1"/>
  <c r="K110" i="1"/>
  <c r="K245" i="1" s="1"/>
  <c r="G135" i="1"/>
  <c r="K97" i="1"/>
  <c r="K158" i="1" s="1"/>
  <c r="K121" i="1"/>
  <c r="L121" i="1" s="1"/>
  <c r="L176" i="1" s="1"/>
  <c r="L224" i="1" s="1"/>
  <c r="F109" i="1"/>
  <c r="F129" i="1" s="1"/>
  <c r="J187" i="1"/>
  <c r="K169" i="1"/>
  <c r="K233" i="1" s="1"/>
  <c r="K116" i="1"/>
  <c r="K161" i="1" s="1"/>
  <c r="K228" i="1" s="1"/>
  <c r="G136" i="1"/>
  <c r="M106" i="1"/>
  <c r="N106" i="1" s="1"/>
  <c r="O106" i="1" s="1"/>
  <c r="F134" i="1"/>
  <c r="O132" i="1"/>
  <c r="M89" i="1"/>
  <c r="G126" i="1"/>
  <c r="G129" i="1"/>
  <c r="M15" i="1"/>
  <c r="G134" i="1"/>
  <c r="H190" i="1"/>
  <c r="J190" i="1" s="1"/>
  <c r="M24" i="1"/>
  <c r="E135" i="1"/>
  <c r="E136" i="1"/>
  <c r="E133" i="1"/>
  <c r="F135" i="1"/>
  <c r="F136" i="1"/>
  <c r="N154" i="1"/>
  <c r="O154" i="1" s="1"/>
  <c r="M124" i="1"/>
  <c r="E132" i="1"/>
  <c r="G133" i="1"/>
  <c r="L97" i="1"/>
  <c r="L158" i="1" s="1"/>
  <c r="E109" i="1"/>
  <c r="G132" i="1"/>
  <c r="F133" i="1"/>
  <c r="M14" i="1"/>
  <c r="E76" i="1"/>
  <c r="K163" i="1" l="1"/>
  <c r="K348" i="1" s="1"/>
  <c r="K321" i="1"/>
  <c r="K324" i="1"/>
  <c r="F126" i="1"/>
  <c r="L110" i="1"/>
  <c r="K109" i="1"/>
  <c r="K160" i="1" s="1"/>
  <c r="K227" i="1" s="1"/>
  <c r="K243" i="1"/>
  <c r="K244" i="1" s="1"/>
  <c r="K162" i="1"/>
  <c r="K229" i="1" s="1"/>
  <c r="L116" i="1"/>
  <c r="M116" i="1" s="1"/>
  <c r="L169" i="1"/>
  <c r="L233" i="1" s="1"/>
  <c r="K176" i="1"/>
  <c r="K224" i="1" s="1"/>
  <c r="K194" i="1" s="1"/>
  <c r="L194" i="1" s="1"/>
  <c r="M16" i="1"/>
  <c r="E16" i="1" s="1"/>
  <c r="E18" i="1" s="1"/>
  <c r="E71" i="1" s="1"/>
  <c r="E74" i="1" s="1"/>
  <c r="L76" i="1" s="1"/>
  <c r="L80" i="1" s="1"/>
  <c r="K153" i="1"/>
  <c r="N89" i="1"/>
  <c r="M97" i="1"/>
  <c r="M158" i="1" s="1"/>
  <c r="E126" i="1"/>
  <c r="E129" i="1"/>
  <c r="K129" i="1" s="1"/>
  <c r="M121" i="1"/>
  <c r="N124" i="1"/>
  <c r="M226" i="1"/>
  <c r="K41" i="1"/>
  <c r="K128" i="1" l="1"/>
  <c r="K241" i="1"/>
  <c r="K191" i="1"/>
  <c r="K208" i="1"/>
  <c r="E23" i="1"/>
  <c r="M110" i="1"/>
  <c r="N110" i="1" s="1"/>
  <c r="L245" i="1"/>
  <c r="K43" i="1"/>
  <c r="H212" i="1" s="1"/>
  <c r="K190" i="1"/>
  <c r="L324" i="1"/>
  <c r="L163" i="1"/>
  <c r="L348" i="1" s="1"/>
  <c r="L109" i="1"/>
  <c r="L241" i="1" s="1"/>
  <c r="L243" i="1"/>
  <c r="L244" i="1" s="1"/>
  <c r="L162" i="1"/>
  <c r="L161" i="1"/>
  <c r="L228" i="1" s="1"/>
  <c r="M169" i="1"/>
  <c r="K168" i="1"/>
  <c r="K232" i="1" s="1"/>
  <c r="K193" i="1" s="1"/>
  <c r="O124" i="1"/>
  <c r="O226" i="1" s="1"/>
  <c r="N226" i="1"/>
  <c r="N116" i="1"/>
  <c r="M161" i="1"/>
  <c r="M228" i="1" s="1"/>
  <c r="O89" i="1"/>
  <c r="N97" i="1"/>
  <c r="N158" i="1" s="1"/>
  <c r="L78" i="1"/>
  <c r="H193" i="1" s="1"/>
  <c r="J193" i="1" s="1"/>
  <c r="N121" i="1"/>
  <c r="M176" i="1"/>
  <c r="M224" i="1" s="1"/>
  <c r="M194" i="1" s="1"/>
  <c r="K82" i="1"/>
  <c r="L208" i="1" l="1"/>
  <c r="M162" i="1"/>
  <c r="M229" i="1" s="1"/>
  <c r="M163" i="1"/>
  <c r="M348" i="1" s="1"/>
  <c r="M109" i="1"/>
  <c r="M243" i="1"/>
  <c r="M244" i="1" s="1"/>
  <c r="M245" i="1"/>
  <c r="L160" i="1"/>
  <c r="L227" i="1" s="1"/>
  <c r="L190" i="1" s="1"/>
  <c r="L229" i="1"/>
  <c r="L191" i="1" s="1"/>
  <c r="M321" i="1"/>
  <c r="L321" i="1"/>
  <c r="K246" i="1"/>
  <c r="K323" i="1"/>
  <c r="N169" i="1"/>
  <c r="N324" i="1" s="1"/>
  <c r="M324" i="1"/>
  <c r="L246" i="1"/>
  <c r="N245" i="1"/>
  <c r="N243" i="1"/>
  <c r="N244" i="1" s="1"/>
  <c r="M233" i="1"/>
  <c r="L168" i="1"/>
  <c r="L232" i="1" s="1"/>
  <c r="O169" i="1"/>
  <c r="O110" i="1"/>
  <c r="O109" i="1" s="1"/>
  <c r="O241" i="1" s="1"/>
  <c r="N163" i="1"/>
  <c r="N348" i="1" s="1"/>
  <c r="N162" i="1"/>
  <c r="N229" i="1" s="1"/>
  <c r="E77" i="1"/>
  <c r="O116" i="1"/>
  <c r="O161" i="1" s="1"/>
  <c r="N161" i="1"/>
  <c r="N109" i="1"/>
  <c r="N241" i="1" s="1"/>
  <c r="O121" i="1"/>
  <c r="O176" i="1" s="1"/>
  <c r="O224" i="1" s="1"/>
  <c r="N176" i="1"/>
  <c r="N224" i="1" s="1"/>
  <c r="N194" i="1" s="1"/>
  <c r="O97" i="1"/>
  <c r="O158" i="1" s="1"/>
  <c r="N233" i="1" l="1"/>
  <c r="M160" i="1"/>
  <c r="M227" i="1" s="1"/>
  <c r="M241" i="1"/>
  <c r="M246" i="1" s="1"/>
  <c r="M208" i="1"/>
  <c r="M191" i="1"/>
  <c r="N191" i="1" s="1"/>
  <c r="O194" i="1"/>
  <c r="L193" i="1"/>
  <c r="N228" i="1"/>
  <c r="N321" i="1"/>
  <c r="O228" i="1"/>
  <c r="O321" i="1"/>
  <c r="O233" i="1"/>
  <c r="O324" i="1"/>
  <c r="L323" i="1"/>
  <c r="M168" i="1"/>
  <c r="O245" i="1"/>
  <c r="O243" i="1"/>
  <c r="O244" i="1" s="1"/>
  <c r="N160" i="1"/>
  <c r="N227" i="1" s="1"/>
  <c r="N246" i="1"/>
  <c r="O160" i="1"/>
  <c r="O227" i="1" s="1"/>
  <c r="O163" i="1"/>
  <c r="O348" i="1" s="1"/>
  <c r="O162" i="1"/>
  <c r="O229" i="1" s="1"/>
  <c r="N208" i="1" l="1"/>
  <c r="N381" i="1" s="1"/>
  <c r="M381" i="1"/>
  <c r="M190" i="1"/>
  <c r="N190" i="1" s="1"/>
  <c r="O190" i="1" s="1"/>
  <c r="O191" i="1"/>
  <c r="M232" i="1"/>
  <c r="M193" i="1" s="1"/>
  <c r="M323" i="1"/>
  <c r="N168" i="1"/>
  <c r="O246" i="1"/>
  <c r="O208" i="1" l="1"/>
  <c r="O381" i="1" s="1"/>
  <c r="N232" i="1"/>
  <c r="N193" i="1" s="1"/>
  <c r="N323" i="1"/>
  <c r="O168" i="1"/>
  <c r="O232" i="1" l="1"/>
  <c r="O193" i="1" s="1"/>
  <c r="O323" i="1"/>
  <c r="E97" i="1" l="1"/>
  <c r="E105" i="1" s="1"/>
  <c r="F97" i="1"/>
  <c r="F98" i="1" s="1"/>
  <c r="G97" i="1"/>
  <c r="J5" i="1"/>
  <c r="D368" i="1"/>
  <c r="D340" i="1"/>
  <c r="D318" i="1"/>
  <c r="D258" i="1"/>
  <c r="D221" i="1"/>
  <c r="D181" i="1"/>
  <c r="D147" i="1"/>
  <c r="D87" i="1"/>
  <c r="E98" i="1" l="1"/>
  <c r="G105" i="1"/>
  <c r="G100" i="1"/>
  <c r="F100" i="1"/>
  <c r="F105" i="1"/>
  <c r="L105" i="1" s="1"/>
  <c r="G98" i="1"/>
  <c r="K98" i="1" s="1"/>
  <c r="B2" i="1"/>
  <c r="L153" i="1" l="1"/>
  <c r="M105" i="1"/>
  <c r="L98" i="1"/>
  <c r="K149" i="1"/>
  <c r="I318" i="1"/>
  <c r="H318" i="1"/>
  <c r="K317" i="1"/>
  <c r="H317" i="1"/>
  <c r="E317" i="1"/>
  <c r="F350" i="1"/>
  <c r="G350" i="1"/>
  <c r="E350" i="1"/>
  <c r="G349" i="1"/>
  <c r="F349" i="1"/>
  <c r="G348" i="1"/>
  <c r="F348" i="1"/>
  <c r="E349" i="1"/>
  <c r="E348" i="1"/>
  <c r="M153" i="1" l="1"/>
  <c r="N105" i="1"/>
  <c r="K150" i="1"/>
  <c r="K151" i="1" s="1"/>
  <c r="K155" i="1" s="1"/>
  <c r="M98" i="1"/>
  <c r="L149" i="1"/>
  <c r="G351" i="1"/>
  <c r="E351" i="1"/>
  <c r="F351" i="1"/>
  <c r="K186" i="1" l="1"/>
  <c r="K185" i="1"/>
  <c r="O105" i="1"/>
  <c r="O153" i="1" s="1"/>
  <c r="N153" i="1"/>
  <c r="L150" i="1"/>
  <c r="L151" i="1" s="1"/>
  <c r="L155" i="1" s="1"/>
  <c r="N98" i="1"/>
  <c r="M149" i="1"/>
  <c r="E246" i="1"/>
  <c r="F246" i="1"/>
  <c r="G246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5" i="1"/>
  <c r="F225" i="1"/>
  <c r="E225" i="1"/>
  <c r="G224" i="1"/>
  <c r="F224" i="1"/>
  <c r="E224" i="1"/>
  <c r="E214" i="1"/>
  <c r="E210" i="1"/>
  <c r="E203" i="1"/>
  <c r="E195" i="1"/>
  <c r="E187" i="1"/>
  <c r="G214" i="1"/>
  <c r="G203" i="1"/>
  <c r="G195" i="1"/>
  <c r="F214" i="1"/>
  <c r="F210" i="1"/>
  <c r="F203" i="1"/>
  <c r="F195" i="1"/>
  <c r="E158" i="1"/>
  <c r="F170" i="1"/>
  <c r="F117" i="1" s="1"/>
  <c r="G158" i="1"/>
  <c r="F158" i="1"/>
  <c r="G170" i="1"/>
  <c r="G117" i="1" s="1"/>
  <c r="L186" i="1" l="1"/>
  <c r="L364" i="1"/>
  <c r="F113" i="1"/>
  <c r="F144" i="1"/>
  <c r="F143" i="1"/>
  <c r="F142" i="1"/>
  <c r="G113" i="1"/>
  <c r="G144" i="1"/>
  <c r="G142" i="1"/>
  <c r="G143" i="1"/>
  <c r="K143" i="1" s="1"/>
  <c r="E113" i="1"/>
  <c r="E143" i="1"/>
  <c r="E144" i="1"/>
  <c r="L144" i="1" s="1"/>
  <c r="E142" i="1"/>
  <c r="L142" i="1" s="1"/>
  <c r="K117" i="1"/>
  <c r="M150" i="1"/>
  <c r="M151" i="1" s="1"/>
  <c r="M155" i="1" s="1"/>
  <c r="O98" i="1"/>
  <c r="O149" i="1" s="1"/>
  <c r="N149" i="1"/>
  <c r="E171" i="1"/>
  <c r="F216" i="1"/>
  <c r="E197" i="1"/>
  <c r="E216" i="1"/>
  <c r="G187" i="1"/>
  <c r="G197" i="1" s="1"/>
  <c r="G210" i="1"/>
  <c r="G216" i="1" s="1"/>
  <c r="F187" i="1"/>
  <c r="F197" i="1" s="1"/>
  <c r="F171" i="1"/>
  <c r="G171" i="1"/>
  <c r="M364" i="1" l="1"/>
  <c r="L143" i="1"/>
  <c r="M142" i="1"/>
  <c r="M144" i="1"/>
  <c r="K170" i="1"/>
  <c r="L117" i="1"/>
  <c r="O150" i="1"/>
  <c r="O151" i="1" s="1"/>
  <c r="O155" i="1" s="1"/>
  <c r="N150" i="1"/>
  <c r="N151" i="1" s="1"/>
  <c r="N155" i="1" s="1"/>
  <c r="G218" i="1"/>
  <c r="F218" i="1"/>
  <c r="E218" i="1"/>
  <c r="O364" i="1" l="1"/>
  <c r="N364" i="1"/>
  <c r="N142" i="1"/>
  <c r="N144" i="1"/>
  <c r="M143" i="1"/>
  <c r="M117" i="1"/>
  <c r="L170" i="1"/>
  <c r="G151" i="1"/>
  <c r="F155" i="1"/>
  <c r="E155" i="1"/>
  <c r="O144" i="1" l="1"/>
  <c r="N143" i="1"/>
  <c r="O142" i="1"/>
  <c r="F140" i="1"/>
  <c r="F139" i="1"/>
  <c r="E139" i="1"/>
  <c r="E140" i="1"/>
  <c r="N117" i="1"/>
  <c r="M170" i="1"/>
  <c r="F114" i="1"/>
  <c r="F124" i="1"/>
  <c r="E114" i="1"/>
  <c r="E124" i="1"/>
  <c r="E364" i="1"/>
  <c r="F364" i="1"/>
  <c r="E342" i="1"/>
  <c r="F342" i="1"/>
  <c r="E28" i="1" s="1"/>
  <c r="E173" i="1"/>
  <c r="F173" i="1"/>
  <c r="M140" i="1" l="1"/>
  <c r="N140" i="1" s="1"/>
  <c r="O143" i="1"/>
  <c r="L139" i="1"/>
  <c r="O117" i="1"/>
  <c r="O170" i="1" s="1"/>
  <c r="N170" i="1"/>
  <c r="D42" i="1"/>
  <c r="D43" i="1"/>
  <c r="D44" i="1"/>
  <c r="J315" i="1" s="1"/>
  <c r="K311" i="1" s="1"/>
  <c r="D45" i="1"/>
  <c r="D41" i="1"/>
  <c r="J296" i="1" s="1"/>
  <c r="K293" i="1" s="1"/>
  <c r="K271" i="1" s="1"/>
  <c r="L42" i="1"/>
  <c r="L41" i="1"/>
  <c r="E29" i="1"/>
  <c r="L43" i="1"/>
  <c r="E365" i="1"/>
  <c r="F365" i="1"/>
  <c r="E175" i="1"/>
  <c r="F175" i="1"/>
  <c r="J302" i="1" l="1"/>
  <c r="K299" i="1" s="1"/>
  <c r="J308" i="1"/>
  <c r="K305" i="1" s="1"/>
  <c r="K313" i="1"/>
  <c r="K234" i="1" s="1"/>
  <c r="K274" i="1"/>
  <c r="K312" i="1"/>
  <c r="M186" i="1"/>
  <c r="M139" i="1"/>
  <c r="M185" i="1" s="1"/>
  <c r="L185" i="1"/>
  <c r="O140" i="1"/>
  <c r="O186" i="1" s="1"/>
  <c r="N186" i="1"/>
  <c r="F119" i="1"/>
  <c r="F122" i="1"/>
  <c r="E119" i="1"/>
  <c r="E122" i="1"/>
  <c r="K44" i="1"/>
  <c r="D51" i="1"/>
  <c r="J391" i="1" s="1"/>
  <c r="J394" i="1" s="1"/>
  <c r="E178" i="1"/>
  <c r="E223" i="1" s="1"/>
  <c r="E238" i="1" s="1"/>
  <c r="E248" i="1" s="1"/>
  <c r="F178" i="1"/>
  <c r="F223" i="1" s="1"/>
  <c r="F238" i="1" s="1"/>
  <c r="F248" i="1" s="1"/>
  <c r="N139" i="1" l="1"/>
  <c r="N185" i="1" s="1"/>
  <c r="K306" i="1"/>
  <c r="K273" i="1"/>
  <c r="K300" i="1"/>
  <c r="K280" i="1" s="1"/>
  <c r="K252" i="1" s="1"/>
  <c r="K272" i="1"/>
  <c r="K275" i="1" s="1"/>
  <c r="K164" i="1" s="1"/>
  <c r="K349" i="1" s="1"/>
  <c r="O139" i="1"/>
  <c r="O185" i="1" s="1"/>
  <c r="K166" i="1"/>
  <c r="I206" i="1"/>
  <c r="J206" i="1" s="1"/>
  <c r="K362" i="1" s="1"/>
  <c r="L44" i="1"/>
  <c r="K45" i="1"/>
  <c r="D47" i="1" s="1"/>
  <c r="I212" i="1" s="1"/>
  <c r="J212" i="1" s="1"/>
  <c r="L75" i="1"/>
  <c r="L70" i="1"/>
  <c r="E70" i="1"/>
  <c r="K230" i="1" l="1"/>
  <c r="K350" i="1"/>
  <c r="K351" i="1" s="1"/>
  <c r="J214" i="1"/>
  <c r="L166" i="1"/>
  <c r="D52" i="1"/>
  <c r="J401" i="1" s="1"/>
  <c r="J404" i="1" s="1"/>
  <c r="D48" i="1"/>
  <c r="K40" i="1"/>
  <c r="D50" i="1"/>
  <c r="L230" i="1" l="1"/>
  <c r="L350" i="1"/>
  <c r="M166" i="1"/>
  <c r="F46" i="1"/>
  <c r="F42" i="1"/>
  <c r="F41" i="1"/>
  <c r="F45" i="1"/>
  <c r="F44" i="1"/>
  <c r="F43" i="1"/>
  <c r="D53" i="1"/>
  <c r="E51" i="1" s="1"/>
  <c r="F47" i="1"/>
  <c r="I340" i="1"/>
  <c r="H340" i="1"/>
  <c r="K339" i="1"/>
  <c r="H339" i="1"/>
  <c r="E339" i="1"/>
  <c r="M230" i="1" l="1"/>
  <c r="M350" i="1"/>
  <c r="N166" i="1"/>
  <c r="O166" i="1" s="1"/>
  <c r="E52" i="1"/>
  <c r="E53" i="1" s="1"/>
  <c r="C274" i="1"/>
  <c r="C273" i="1"/>
  <c r="C272" i="1"/>
  <c r="C271" i="1"/>
  <c r="C264" i="1"/>
  <c r="C267" i="1"/>
  <c r="C266" i="1"/>
  <c r="C265" i="1"/>
  <c r="O230" i="1" l="1"/>
  <c r="O350" i="1"/>
  <c r="N230" i="1"/>
  <c r="N350" i="1"/>
  <c r="I368" i="1"/>
  <c r="H368" i="1"/>
  <c r="H367" i="1"/>
  <c r="I258" i="1"/>
  <c r="H258" i="1"/>
  <c r="H257" i="1"/>
  <c r="I221" i="1"/>
  <c r="H221" i="1"/>
  <c r="H220" i="1"/>
  <c r="I181" i="1"/>
  <c r="H181" i="1"/>
  <c r="H180" i="1"/>
  <c r="I147" i="1"/>
  <c r="H147" i="1"/>
  <c r="H146" i="1"/>
  <c r="C60" i="1" l="1"/>
  <c r="K367" i="1"/>
  <c r="E367" i="1"/>
  <c r="K257" i="1"/>
  <c r="E257" i="1"/>
  <c r="K220" i="1"/>
  <c r="E220" i="1"/>
  <c r="K180" i="1"/>
  <c r="E180" i="1"/>
  <c r="K146" i="1"/>
  <c r="E146" i="1"/>
  <c r="G87" i="1" l="1"/>
  <c r="G318" i="1" s="1"/>
  <c r="G138" i="1" l="1"/>
  <c r="G112" i="1"/>
  <c r="J87" i="1"/>
  <c r="G340" i="1"/>
  <c r="K87" i="1"/>
  <c r="K318" i="1" s="1"/>
  <c r="G147" i="1"/>
  <c r="G221" i="1"/>
  <c r="G258" i="1"/>
  <c r="G368" i="1"/>
  <c r="G181" i="1"/>
  <c r="F87" i="1"/>
  <c r="F318" i="1" s="1"/>
  <c r="J340" i="1" l="1"/>
  <c r="J318" i="1"/>
  <c r="K138" i="1"/>
  <c r="K112" i="1"/>
  <c r="F340" i="1"/>
  <c r="F112" i="1"/>
  <c r="F138" i="1"/>
  <c r="J181" i="1"/>
  <c r="J258" i="1"/>
  <c r="J221" i="1"/>
  <c r="J147" i="1"/>
  <c r="J368" i="1"/>
  <c r="D65" i="1"/>
  <c r="K340" i="1"/>
  <c r="F258" i="1"/>
  <c r="F147" i="1"/>
  <c r="F221" i="1"/>
  <c r="F181" i="1"/>
  <c r="F368" i="1"/>
  <c r="E87" i="1"/>
  <c r="E318" i="1" s="1"/>
  <c r="L87" i="1"/>
  <c r="L318" i="1" s="1"/>
  <c r="K147" i="1"/>
  <c r="K221" i="1"/>
  <c r="K258" i="1"/>
  <c r="K368" i="1"/>
  <c r="K181" i="1"/>
  <c r="L112" i="1" l="1"/>
  <c r="L138" i="1"/>
  <c r="E340" i="1"/>
  <c r="E112" i="1"/>
  <c r="E138" i="1"/>
  <c r="E65" i="1"/>
  <c r="L340" i="1"/>
  <c r="M87" i="1"/>
  <c r="M318" i="1" s="1"/>
  <c r="L221" i="1"/>
  <c r="L368" i="1"/>
  <c r="L181" i="1"/>
  <c r="L147" i="1"/>
  <c r="L258" i="1"/>
  <c r="E258" i="1"/>
  <c r="E181" i="1"/>
  <c r="E147" i="1"/>
  <c r="E368" i="1"/>
  <c r="E221" i="1"/>
  <c r="M138" i="1" l="1"/>
  <c r="M112" i="1"/>
  <c r="F65" i="1"/>
  <c r="M340" i="1"/>
  <c r="N87" i="1"/>
  <c r="N318" i="1" s="1"/>
  <c r="M368" i="1"/>
  <c r="M181" i="1"/>
  <c r="M147" i="1"/>
  <c r="M258" i="1"/>
  <c r="M221" i="1"/>
  <c r="C62" i="1"/>
  <c r="C61" i="1"/>
  <c r="N138" i="1" l="1"/>
  <c r="N112" i="1"/>
  <c r="G65" i="1"/>
  <c r="N340" i="1"/>
  <c r="O87" i="1"/>
  <c r="N368" i="1"/>
  <c r="N181" i="1"/>
  <c r="N258" i="1"/>
  <c r="N147" i="1"/>
  <c r="N221" i="1"/>
  <c r="O318" i="1" l="1"/>
  <c r="O112" i="1"/>
  <c r="O138" i="1"/>
  <c r="H65" i="1"/>
  <c r="O340" i="1"/>
  <c r="O181" i="1"/>
  <c r="O258" i="1"/>
  <c r="O147" i="1"/>
  <c r="O221" i="1"/>
  <c r="O368" i="1"/>
  <c r="G155" i="1" l="1"/>
  <c r="K364" i="1" s="1"/>
  <c r="G140" i="1" l="1"/>
  <c r="G139" i="1"/>
  <c r="G114" i="1"/>
  <c r="K114" i="1" s="1"/>
  <c r="G124" i="1"/>
  <c r="G364" i="1"/>
  <c r="G342" i="1"/>
  <c r="E25" i="1" s="1"/>
  <c r="E26" i="1" s="1"/>
  <c r="G173" i="1"/>
  <c r="L114" i="1" l="1"/>
  <c r="K159" i="1"/>
  <c r="K342" i="1" s="1"/>
  <c r="G365" i="1"/>
  <c r="G175" i="1"/>
  <c r="K365" i="1" l="1"/>
  <c r="K359" i="1"/>
  <c r="K358" i="1"/>
  <c r="K202" i="1"/>
  <c r="K201" i="1"/>
  <c r="K209" i="1"/>
  <c r="K171" i="1"/>
  <c r="K173" i="1" s="1"/>
  <c r="G119" i="1"/>
  <c r="K119" i="1" s="1"/>
  <c r="L119" i="1" s="1"/>
  <c r="M119" i="1" s="1"/>
  <c r="N119" i="1" s="1"/>
  <c r="O119" i="1" s="1"/>
  <c r="G122" i="1"/>
  <c r="M114" i="1"/>
  <c r="L159" i="1"/>
  <c r="L342" i="1" s="1"/>
  <c r="G178" i="1"/>
  <c r="G223" i="1" s="1"/>
  <c r="G238" i="1" s="1"/>
  <c r="G248" i="1" s="1"/>
  <c r="L365" i="1" l="1"/>
  <c r="K237" i="1"/>
  <c r="K28" i="1"/>
  <c r="K84" i="1" s="1"/>
  <c r="I207" i="1" s="1"/>
  <c r="J207" i="1" s="1"/>
  <c r="J210" i="1" s="1"/>
  <c r="J216" i="1" s="1"/>
  <c r="K203" i="1"/>
  <c r="L201" i="1"/>
  <c r="L209" i="1"/>
  <c r="L202" i="1"/>
  <c r="N114" i="1"/>
  <c r="M159" i="1"/>
  <c r="M342" i="1" s="1"/>
  <c r="K174" i="1"/>
  <c r="K175" i="1" s="1"/>
  <c r="E79" i="1" l="1"/>
  <c r="E80" i="1" s="1"/>
  <c r="H192" i="1" s="1"/>
  <c r="J192" i="1" s="1"/>
  <c r="K192" i="1" s="1"/>
  <c r="K195" i="1" s="1"/>
  <c r="M372" i="1"/>
  <c r="M392" i="1" s="1"/>
  <c r="M377" i="1"/>
  <c r="M365" i="1"/>
  <c r="K177" i="1"/>
  <c r="K225" i="1" s="1"/>
  <c r="K213" i="1" s="1"/>
  <c r="K320" i="1"/>
  <c r="K326" i="1" s="1"/>
  <c r="K329" i="1" s="1"/>
  <c r="K330" i="1" s="1"/>
  <c r="K331" i="1" s="1"/>
  <c r="M201" i="1"/>
  <c r="M209" i="1"/>
  <c r="M202" i="1"/>
  <c r="L203" i="1"/>
  <c r="L237" i="1"/>
  <c r="J195" i="1"/>
  <c r="J197" i="1" s="1"/>
  <c r="J218" i="1" s="1"/>
  <c r="K178" i="1"/>
  <c r="K223" i="1" s="1"/>
  <c r="O114" i="1"/>
  <c r="O159" i="1" s="1"/>
  <c r="O342" i="1" s="1"/>
  <c r="N159" i="1"/>
  <c r="N342" i="1" s="1"/>
  <c r="M402" i="1" l="1"/>
  <c r="O372" i="1"/>
  <c r="O392" i="1" s="1"/>
  <c r="O377" i="1"/>
  <c r="O365" i="1"/>
  <c r="M203" i="1"/>
  <c r="N377" i="1"/>
  <c r="N372" i="1"/>
  <c r="N392" i="1" s="1"/>
  <c r="N365" i="1"/>
  <c r="L328" i="1"/>
  <c r="K333" i="1"/>
  <c r="K335" i="1" s="1"/>
  <c r="K337" i="1" s="1"/>
  <c r="K235" i="1" s="1"/>
  <c r="K207" i="1" s="1"/>
  <c r="N209" i="1"/>
  <c r="N201" i="1"/>
  <c r="N202" i="1"/>
  <c r="O201" i="1"/>
  <c r="O209" i="1"/>
  <c r="O202" i="1"/>
  <c r="M237" i="1"/>
  <c r="L192" i="1"/>
  <c r="O402" i="1" l="1"/>
  <c r="N402" i="1"/>
  <c r="O203" i="1"/>
  <c r="K238" i="1"/>
  <c r="K248" i="1" s="1"/>
  <c r="K251" i="1" s="1"/>
  <c r="N203" i="1"/>
  <c r="O237" i="1"/>
  <c r="N237" i="1"/>
  <c r="M192" i="1"/>
  <c r="L195" i="1"/>
  <c r="L361" i="1" l="1"/>
  <c r="L362" i="1" s="1"/>
  <c r="K279" i="1"/>
  <c r="K282" i="1" s="1"/>
  <c r="K294" i="1" s="1"/>
  <c r="N192" i="1"/>
  <c r="M195" i="1"/>
  <c r="K295" i="1" l="1"/>
  <c r="K296" i="1" s="1"/>
  <c r="O192" i="1"/>
  <c r="O195" i="1" s="1"/>
  <c r="N195" i="1"/>
  <c r="K283" i="1" l="1"/>
  <c r="L293" i="1"/>
  <c r="L271" i="1" s="1"/>
  <c r="K284" i="1" l="1"/>
  <c r="K301" i="1" s="1"/>
  <c r="K302" i="1" s="1"/>
  <c r="L299" i="1" l="1"/>
  <c r="K285" i="1"/>
  <c r="K286" i="1" s="1"/>
  <c r="K307" i="1" s="1"/>
  <c r="K308" i="1" s="1"/>
  <c r="L305" i="1" s="1"/>
  <c r="L273" i="1" s="1"/>
  <c r="K343" i="1" l="1"/>
  <c r="K353" i="1" s="1"/>
  <c r="L272" i="1"/>
  <c r="L300" i="1"/>
  <c r="L306" i="1"/>
  <c r="K287" i="1"/>
  <c r="K288" i="1" s="1"/>
  <c r="K314" i="1" s="1"/>
  <c r="K315" i="1" s="1"/>
  <c r="L311" i="1" s="1"/>
  <c r="L274" i="1" s="1"/>
  <c r="L275" i="1" s="1"/>
  <c r="L164" i="1" s="1"/>
  <c r="L349" i="1" s="1"/>
  <c r="L351" i="1" l="1"/>
  <c r="L358" i="1" s="1"/>
  <c r="L359" i="1"/>
  <c r="L312" i="1"/>
  <c r="L280" i="1" s="1"/>
  <c r="L252" i="1" s="1"/>
  <c r="L313" i="1"/>
  <c r="L234" i="1" s="1"/>
  <c r="K289" i="1"/>
  <c r="K290" i="1" s="1"/>
  <c r="K291" i="1" s="1"/>
  <c r="K254" i="1" l="1"/>
  <c r="K212" i="1" s="1"/>
  <c r="K214" i="1" s="1"/>
  <c r="K253" i="1"/>
  <c r="K206" i="1" s="1"/>
  <c r="K344" i="1" s="1"/>
  <c r="K255" i="1" l="1"/>
  <c r="K184" i="1" s="1"/>
  <c r="L165" i="1" s="1"/>
  <c r="L171" i="1" s="1"/>
  <c r="L173" i="1" s="1"/>
  <c r="L174" i="1" s="1"/>
  <c r="L175" i="1" s="1"/>
  <c r="L177" i="1" s="1"/>
  <c r="L178" i="1" s="1"/>
  <c r="L223" i="1" s="1"/>
  <c r="K354" i="1"/>
  <c r="K345" i="1"/>
  <c r="K210" i="1"/>
  <c r="K216" i="1" s="1"/>
  <c r="K187" i="1"/>
  <c r="K197" i="1" s="1"/>
  <c r="L278" i="1"/>
  <c r="L250" i="1"/>
  <c r="K218" i="1" l="1"/>
  <c r="L320" i="1"/>
  <c r="L326" i="1" s="1"/>
  <c r="L329" i="1" s="1"/>
  <c r="L330" i="1" s="1"/>
  <c r="L331" i="1" s="1"/>
  <c r="L333" i="1" s="1"/>
  <c r="L335" i="1" s="1"/>
  <c r="L337" i="1" s="1"/>
  <c r="L235" i="1" s="1"/>
  <c r="L207" i="1" s="1"/>
  <c r="L225" i="1"/>
  <c r="L213" i="1" s="1"/>
  <c r="K346" i="1"/>
  <c r="K356" i="1" s="1"/>
  <c r="K355" i="1"/>
  <c r="L238" i="1" l="1"/>
  <c r="L248" i="1" s="1"/>
  <c r="L251" i="1" s="1"/>
  <c r="M361" i="1" s="1"/>
  <c r="M362" i="1" s="1"/>
  <c r="M328" i="1"/>
  <c r="L279" i="1" l="1"/>
  <c r="L282" i="1" s="1"/>
  <c r="L294" i="1"/>
  <c r="L295" i="1" l="1"/>
  <c r="L283" i="1" s="1"/>
  <c r="L284" i="1" l="1"/>
  <c r="L301" i="1" s="1"/>
  <c r="L285" i="1" s="1"/>
  <c r="L286" i="1" s="1"/>
  <c r="L307" i="1" s="1"/>
  <c r="L296" i="1"/>
  <c r="L302" i="1" l="1"/>
  <c r="M299" i="1" s="1"/>
  <c r="M300" i="1" s="1"/>
  <c r="M293" i="1"/>
  <c r="M271" i="1" s="1"/>
  <c r="M272" i="1"/>
  <c r="L287" i="1"/>
  <c r="L288" i="1" s="1"/>
  <c r="L314" i="1" s="1"/>
  <c r="L289" i="1" s="1"/>
  <c r="L253" i="1" s="1"/>
  <c r="L206" i="1" s="1"/>
  <c r="L344" i="1" s="1"/>
  <c r="L308" i="1"/>
  <c r="M305" i="1" s="1"/>
  <c r="M273" i="1" s="1"/>
  <c r="L343" i="1" l="1"/>
  <c r="L353" i="1" s="1"/>
  <c r="L354" i="1"/>
  <c r="L345" i="1"/>
  <c r="L315" i="1"/>
  <c r="M311" i="1" s="1"/>
  <c r="M274" i="1" s="1"/>
  <c r="M275" i="1" s="1"/>
  <c r="M164" i="1" s="1"/>
  <c r="M349" i="1" s="1"/>
  <c r="M306" i="1"/>
  <c r="L290" i="1"/>
  <c r="M351" i="1" l="1"/>
  <c r="M358" i="1" s="1"/>
  <c r="M359" i="1"/>
  <c r="L355" i="1"/>
  <c r="M312" i="1"/>
  <c r="M280" i="1" s="1"/>
  <c r="M252" i="1" s="1"/>
  <c r="M313" i="1"/>
  <c r="M234" i="1" s="1"/>
  <c r="L210" i="1"/>
  <c r="L254" i="1"/>
  <c r="L291" i="1"/>
  <c r="L255" i="1" l="1"/>
  <c r="L184" i="1" s="1"/>
  <c r="L212" i="1"/>
  <c r="M165" i="1" l="1"/>
  <c r="M171" i="1" s="1"/>
  <c r="M173" i="1" s="1"/>
  <c r="M174" i="1" s="1"/>
  <c r="M175" i="1" s="1"/>
  <c r="M320" i="1" s="1"/>
  <c r="M326" i="1" s="1"/>
  <c r="M329" i="1" s="1"/>
  <c r="M330" i="1" s="1"/>
  <c r="M331" i="1" s="1"/>
  <c r="M379" i="1" s="1"/>
  <c r="L346" i="1"/>
  <c r="L356" i="1" s="1"/>
  <c r="M250" i="1"/>
  <c r="L214" i="1"/>
  <c r="L216" i="1" s="1"/>
  <c r="M278" i="1"/>
  <c r="L187" i="1"/>
  <c r="L197" i="1" s="1"/>
  <c r="M177" i="1" l="1"/>
  <c r="M178" i="1" s="1"/>
  <c r="M223" i="1" s="1"/>
  <c r="L218" i="1"/>
  <c r="N328" i="1"/>
  <c r="M333" i="1"/>
  <c r="M335" i="1" s="1"/>
  <c r="M337" i="1" s="1"/>
  <c r="M225" i="1" l="1"/>
  <c r="M213" i="1" s="1"/>
  <c r="M382" i="1" s="1"/>
  <c r="M235" i="1"/>
  <c r="M238" i="1" l="1"/>
  <c r="M248" i="1" s="1"/>
  <c r="M251" i="1" s="1"/>
  <c r="M207" i="1"/>
  <c r="N361" i="1" l="1"/>
  <c r="N362" i="1" s="1"/>
  <c r="M279" i="1"/>
  <c r="M282" i="1" s="1"/>
  <c r="M295" i="1" s="1"/>
  <c r="M283" i="1" s="1"/>
  <c r="M284" i="1" s="1"/>
  <c r="M301" i="1" s="1"/>
  <c r="M294" i="1" l="1"/>
  <c r="M296" i="1" s="1"/>
  <c r="M285" i="1"/>
  <c r="M286" i="1" s="1"/>
  <c r="M307" i="1" s="1"/>
  <c r="M302" i="1"/>
  <c r="N299" i="1" s="1"/>
  <c r="N293" i="1" l="1"/>
  <c r="N271" i="1" s="1"/>
  <c r="N272" i="1"/>
  <c r="N300" i="1"/>
  <c r="M287" i="1"/>
  <c r="M308" i="1"/>
  <c r="N305" i="1" s="1"/>
  <c r="M343" i="1" l="1"/>
  <c r="M353" i="1" s="1"/>
  <c r="N273" i="1"/>
  <c r="N306" i="1"/>
  <c r="M288" i="1"/>
  <c r="M314" i="1" s="1"/>
  <c r="M289" i="1" l="1"/>
  <c r="M315" i="1"/>
  <c r="N311" i="1" s="1"/>
  <c r="N313" i="1" l="1"/>
  <c r="N234" i="1" s="1"/>
  <c r="N274" i="1"/>
  <c r="N275" i="1" s="1"/>
  <c r="N164" i="1" s="1"/>
  <c r="N349" i="1" s="1"/>
  <c r="N312" i="1"/>
  <c r="N280" i="1" s="1"/>
  <c r="N252" i="1" s="1"/>
  <c r="M290" i="1"/>
  <c r="M253" i="1"/>
  <c r="M206" i="1" s="1"/>
  <c r="M344" i="1" s="1"/>
  <c r="M380" i="1" s="1"/>
  <c r="M354" i="1" l="1"/>
  <c r="M345" i="1"/>
  <c r="N351" i="1"/>
  <c r="N358" i="1" s="1"/>
  <c r="N359" i="1"/>
  <c r="M210" i="1"/>
  <c r="M254" i="1"/>
  <c r="M212" i="1" s="1"/>
  <c r="M214" i="1" s="1"/>
  <c r="M291" i="1"/>
  <c r="M355" i="1" l="1"/>
  <c r="M216" i="1"/>
  <c r="M255" i="1"/>
  <c r="N250" i="1" l="1"/>
  <c r="M184" i="1"/>
  <c r="M378" i="1" l="1"/>
  <c r="M383" i="1" s="1"/>
  <c r="M346" i="1"/>
  <c r="M356" i="1" s="1"/>
  <c r="N165" i="1"/>
  <c r="N171" i="1" s="1"/>
  <c r="N173" i="1" s="1"/>
  <c r="N174" i="1" s="1"/>
  <c r="N175" i="1" s="1"/>
  <c r="N278" i="1"/>
  <c r="M187" i="1"/>
  <c r="M197" i="1" s="1"/>
  <c r="M218" i="1" s="1"/>
  <c r="M403" i="1" l="1"/>
  <c r="M404" i="1" s="1"/>
  <c r="M386" i="1"/>
  <c r="M387" i="1"/>
  <c r="M393" i="1"/>
  <c r="M394" i="1" s="1"/>
  <c r="N177" i="1"/>
  <c r="N320" i="1"/>
  <c r="N326" i="1" s="1"/>
  <c r="N329" i="1" s="1"/>
  <c r="N330" i="1" s="1"/>
  <c r="N331" i="1" s="1"/>
  <c r="N379" i="1" s="1"/>
  <c r="M396" i="1" l="1"/>
  <c r="M397" i="1"/>
  <c r="M406" i="1"/>
  <c r="O328" i="1"/>
  <c r="N333" i="1"/>
  <c r="N335" i="1" s="1"/>
  <c r="N337" i="1" s="1"/>
  <c r="N225" i="1"/>
  <c r="N213" i="1" s="1"/>
  <c r="N382" i="1" s="1"/>
  <c r="N178" i="1"/>
  <c r="N223" i="1" s="1"/>
  <c r="N235" i="1" l="1"/>
  <c r="N238" i="1" l="1"/>
  <c r="N248" i="1" s="1"/>
  <c r="N251" i="1" s="1"/>
  <c r="O361" i="1" s="1"/>
  <c r="O362" i="1" s="1"/>
  <c r="N207" i="1"/>
  <c r="N279" i="1" l="1"/>
  <c r="N282" i="1" s="1"/>
  <c r="N295" i="1" s="1"/>
  <c r="N283" i="1" s="1"/>
  <c r="N284" i="1" s="1"/>
  <c r="N301" i="1" s="1"/>
  <c r="N294" i="1" l="1"/>
  <c r="N296" i="1" s="1"/>
  <c r="N302" i="1"/>
  <c r="O299" i="1" s="1"/>
  <c r="N285" i="1"/>
  <c r="N286" i="1" s="1"/>
  <c r="N307" i="1" s="1"/>
  <c r="O293" i="1" l="1"/>
  <c r="O271" i="1" s="1"/>
  <c r="N287" i="1"/>
  <c r="N288" i="1" s="1"/>
  <c r="N314" i="1" s="1"/>
  <c r="N308" i="1"/>
  <c r="O305" i="1" s="1"/>
  <c r="O272" i="1"/>
  <c r="O300" i="1"/>
  <c r="N343" i="1" l="1"/>
  <c r="N353" i="1" s="1"/>
  <c r="O306" i="1"/>
  <c r="O273" i="1"/>
  <c r="N289" i="1"/>
  <c r="N315" i="1"/>
  <c r="O311" i="1" s="1"/>
  <c r="O274" i="1" l="1"/>
  <c r="O275" i="1" s="1"/>
  <c r="O164" i="1" s="1"/>
  <c r="O349" i="1" s="1"/>
  <c r="O312" i="1"/>
  <c r="O280" i="1" s="1"/>
  <c r="O252" i="1" s="1"/>
  <c r="O313" i="1"/>
  <c r="O234" i="1" s="1"/>
  <c r="N253" i="1"/>
  <c r="N206" i="1" s="1"/>
  <c r="N344" i="1" s="1"/>
  <c r="N380" i="1" s="1"/>
  <c r="N290" i="1"/>
  <c r="N354" i="1" l="1"/>
  <c r="N345" i="1"/>
  <c r="O351" i="1"/>
  <c r="O358" i="1" s="1"/>
  <c r="O359" i="1"/>
  <c r="N254" i="1"/>
  <c r="N212" i="1" s="1"/>
  <c r="N214" i="1" s="1"/>
  <c r="N291" i="1"/>
  <c r="N210" i="1"/>
  <c r="N355" i="1" l="1"/>
  <c r="N255" i="1"/>
  <c r="N184" i="1" s="1"/>
  <c r="N378" i="1" s="1"/>
  <c r="N383" i="1" s="1"/>
  <c r="N216" i="1"/>
  <c r="N403" i="1" l="1"/>
  <c r="N404" i="1" s="1"/>
  <c r="N393" i="1"/>
  <c r="N394" i="1" s="1"/>
  <c r="N386" i="1"/>
  <c r="N387" i="1"/>
  <c r="N346" i="1"/>
  <c r="N356" i="1" s="1"/>
  <c r="O250" i="1"/>
  <c r="O165" i="1"/>
  <c r="O171" i="1" s="1"/>
  <c r="O173" i="1" s="1"/>
  <c r="O174" i="1" s="1"/>
  <c r="O175" i="1" s="1"/>
  <c r="O278" i="1"/>
  <c r="N187" i="1"/>
  <c r="N197" i="1" s="1"/>
  <c r="N218" i="1" s="1"/>
  <c r="N396" i="1" l="1"/>
  <c r="N397" i="1"/>
  <c r="N406" i="1"/>
  <c r="O320" i="1"/>
  <c r="O326" i="1" s="1"/>
  <c r="O329" i="1" s="1"/>
  <c r="O330" i="1" s="1"/>
  <c r="O331" i="1" s="1"/>
  <c r="O177" i="1"/>
  <c r="O178" i="1" s="1"/>
  <c r="O223" i="1" s="1"/>
  <c r="O333" i="1" l="1"/>
  <c r="O335" i="1" s="1"/>
  <c r="O337" i="1" s="1"/>
  <c r="O235" i="1" s="1"/>
  <c r="O207" i="1" s="1"/>
  <c r="O379" i="1"/>
  <c r="O225" i="1"/>
  <c r="O238" i="1" l="1"/>
  <c r="O248" i="1" s="1"/>
  <c r="O251" i="1" s="1"/>
  <c r="O213" i="1"/>
  <c r="O382" i="1" s="1"/>
  <c r="O279" i="1" l="1"/>
  <c r="O282" i="1" s="1"/>
  <c r="O294" i="1" s="1"/>
  <c r="O295" i="1" l="1"/>
  <c r="O283" i="1" s="1"/>
  <c r="O284" i="1" s="1"/>
  <c r="O301" i="1" s="1"/>
  <c r="O285" i="1" s="1"/>
  <c r="O286" i="1" s="1"/>
  <c r="O307" i="1" s="1"/>
  <c r="O302" i="1" l="1"/>
  <c r="O296" i="1"/>
  <c r="O308" i="1"/>
  <c r="O287" i="1"/>
  <c r="O288" i="1" s="1"/>
  <c r="O314" i="1" s="1"/>
  <c r="O343" i="1" l="1"/>
  <c r="O353" i="1" s="1"/>
  <c r="O315" i="1"/>
  <c r="O289" i="1"/>
  <c r="O253" i="1" l="1"/>
  <c r="O206" i="1" s="1"/>
  <c r="O344" i="1" s="1"/>
  <c r="O380" i="1" s="1"/>
  <c r="O290" i="1"/>
  <c r="O354" i="1" l="1"/>
  <c r="O345" i="1"/>
  <c r="O254" i="1"/>
  <c r="O212" i="1" s="1"/>
  <c r="O214" i="1" s="1"/>
  <c r="O291" i="1"/>
  <c r="O210" i="1"/>
  <c r="O355" i="1" l="1"/>
  <c r="O255" i="1"/>
  <c r="O184" i="1" s="1"/>
  <c r="O216" i="1"/>
  <c r="O187" i="1" l="1"/>
  <c r="O197" i="1" s="1"/>
  <c r="O378" i="1"/>
  <c r="O383" i="1" s="1"/>
  <c r="O346" i="1"/>
  <c r="O356" i="1" s="1"/>
  <c r="O218" i="1"/>
  <c r="O387" i="1" l="1"/>
  <c r="O393" i="1"/>
  <c r="O394" i="1" s="1"/>
  <c r="O386" i="1"/>
  <c r="O403" i="1"/>
  <c r="O404" i="1" s="1"/>
  <c r="O396" i="1" l="1"/>
  <c r="O397" i="1"/>
  <c r="O406" i="1"/>
  <c r="O407" i="1"/>
  <c r="D412" i="1" s="1"/>
  <c r="N407" i="1"/>
  <c r="M40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BIWS</author>
    <author>111</author>
  </authors>
  <commentList>
    <comment ref="K22" authorId="0" shapeId="0" xr:uid="{DC2715DC-A1DD-48AA-A97E-58123DC8E618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Adding up all types of RSUs.</t>
        </r>
      </text>
    </comment>
    <comment ref="K124" authorId="1" shapeId="0" xr:uid="{1D4197CE-8FC0-45FF-80AD-CB140DE94664}">
      <text>
        <r>
          <rPr>
            <b/>
            <sz val="9"/>
            <color indexed="81"/>
            <rFont val="Tahoma"/>
            <family val="2"/>
          </rPr>
          <t>111:</t>
        </r>
        <r>
          <rPr>
            <sz val="9"/>
            <color indexed="81"/>
            <rFont val="Tahoma"/>
            <family val="2"/>
          </rPr>
          <t xml:space="preserve">
Dilutive Items; Just ignore it. It's small anyway and replaceble w/ cash</t>
        </r>
      </text>
    </comment>
    <comment ref="K134" authorId="1" shapeId="0" xr:uid="{9057EE99-8088-4760-BD99-17CDA11EE663}">
      <text>
        <r>
          <rPr>
            <b/>
            <sz val="9"/>
            <color indexed="81"/>
            <rFont val="Tahoma"/>
            <family val="2"/>
          </rPr>
          <t>111:</t>
        </r>
        <r>
          <rPr>
            <sz val="9"/>
            <color indexed="81"/>
            <rFont val="Tahoma"/>
            <family val="2"/>
          </rPr>
          <t xml:space="preserve">
Since we assume all new capex on pp&amp;e are direct purchase rather than leasing</t>
        </r>
      </text>
    </comment>
  </commentList>
</comments>
</file>

<file path=xl/sharedStrings.xml><?xml version="1.0" encoding="utf-8"?>
<sst xmlns="http://schemas.openxmlformats.org/spreadsheetml/2006/main" count="606" uniqueCount="340">
  <si>
    <t>Company Name:</t>
  </si>
  <si>
    <t>Sources &amp; Uses Schedule:</t>
  </si>
  <si>
    <t>Historical</t>
  </si>
  <si>
    <t>Projected</t>
  </si>
  <si>
    <t>Debt Schedule:</t>
  </si>
  <si>
    <t>Senior Term Loan A:</t>
  </si>
  <si>
    <t>Senior Term Loan B:</t>
  </si>
  <si>
    <t>Numerical Year:</t>
  </si>
  <si>
    <t>Total Sources:</t>
  </si>
  <si>
    <t>Total Uses:</t>
  </si>
  <si>
    <t>PIK</t>
  </si>
  <si>
    <t>N/A</t>
  </si>
  <si>
    <t>Debt Tranche Name:</t>
  </si>
  <si>
    <t>Revolver:</t>
  </si>
  <si>
    <t>Rate:</t>
  </si>
  <si>
    <t>Spread:</t>
  </si>
  <si>
    <t>Margin:</t>
  </si>
  <si>
    <t>Annual</t>
  </si>
  <si>
    <t>Transaction Fees:</t>
  </si>
  <si>
    <t>x EBITDA</t>
  </si>
  <si>
    <t>Purchase Enterprise Value:</t>
  </si>
  <si>
    <t>Debt Assumptions:</t>
  </si>
  <si>
    <t>LTM EBITDA:</t>
  </si>
  <si>
    <t>EBITDA:</t>
  </si>
  <si>
    <t>Uses of Funds:</t>
  </si>
  <si>
    <t>Net Income:</t>
  </si>
  <si>
    <t>% Sources</t>
  </si>
  <si>
    <t>Sources of Funds:</t>
  </si>
  <si>
    <t>(-) Capital Expenditures:</t>
  </si>
  <si>
    <t>Cash Flow Projections:</t>
  </si>
  <si>
    <t>Cash - Beginning of Period:</t>
  </si>
  <si>
    <t>Cash - End of Period:</t>
  </si>
  <si>
    <t>Management:</t>
  </si>
  <si>
    <t>%</t>
  </si>
  <si>
    <t>Units:</t>
  </si>
  <si>
    <t>Floor:</t>
  </si>
  <si>
    <t>Fixed</t>
  </si>
  <si>
    <t>EoP Senior Term Loan A:</t>
  </si>
  <si>
    <t>BoP Senior Term Loan A:</t>
  </si>
  <si>
    <t>EoP Senior Term Loan B:</t>
  </si>
  <si>
    <t>BoP Senior Term Loan B:</t>
  </si>
  <si>
    <t>(+) PIK Interest:</t>
  </si>
  <si>
    <t>Tax Rate:</t>
  </si>
  <si>
    <t>(+) Free Cash Flow:</t>
  </si>
  <si>
    <t>BoP Revolver:</t>
  </si>
  <si>
    <t>EoP Revolver:</t>
  </si>
  <si>
    <t>(-) Minimum Cash:</t>
  </si>
  <si>
    <t>(x) Exit Multiple:</t>
  </si>
  <si>
    <t>Exit Equity Value:</t>
  </si>
  <si>
    <t>Exit Enterprise Value:</t>
  </si>
  <si>
    <t>Project-Level Returns:</t>
  </si>
  <si>
    <t>IRR:</t>
  </si>
  <si>
    <t>Multiple:</t>
  </si>
  <si>
    <t>#</t>
  </si>
  <si>
    <t>x</t>
  </si>
  <si>
    <t>Ownership Details:</t>
  </si>
  <si>
    <t>Sponsor:</t>
  </si>
  <si>
    <t>Total Equity:</t>
  </si>
  <si>
    <t>Subordinated Notes:</t>
  </si>
  <si>
    <t>Selected Operating Scenario:</t>
  </si>
  <si>
    <t>Upside</t>
  </si>
  <si>
    <t>Base</t>
  </si>
  <si>
    <t>Downside</t>
  </si>
  <si>
    <t>$ as Stated</t>
  </si>
  <si>
    <t>Revenue Projections:</t>
  </si>
  <si>
    <t>Income Statement:</t>
  </si>
  <si>
    <t>Pre-Tax Income:</t>
  </si>
  <si>
    <t>Balance Sheet:</t>
  </si>
  <si>
    <t>Cash &amp; Cash-Equivalents:</t>
  </si>
  <si>
    <t>Accounts Receivable:</t>
  </si>
  <si>
    <t>Total Current Assets:</t>
  </si>
  <si>
    <t>Net PP&amp;E:</t>
  </si>
  <si>
    <t>Goodwill:</t>
  </si>
  <si>
    <t>Other Intangible Assets:</t>
  </si>
  <si>
    <t>Other Long-Term Assets:</t>
  </si>
  <si>
    <t>Total Long-Term Assets:</t>
  </si>
  <si>
    <t>TOTAL ASSETS:</t>
  </si>
  <si>
    <t>ASSETS:</t>
  </si>
  <si>
    <t>Accounts Payable:</t>
  </si>
  <si>
    <t>Total Current Liabilities:</t>
  </si>
  <si>
    <t>LIABILITIES &amp; EQUITY:</t>
  </si>
  <si>
    <t>Other Long-Term Liabilities:</t>
  </si>
  <si>
    <t>Total Long-Term Liabilities:</t>
  </si>
  <si>
    <t>TOTAL LIABILITIES &amp; EQUITY:</t>
  </si>
  <si>
    <t>Balance Check:</t>
  </si>
  <si>
    <t>Current Assets:</t>
  </si>
  <si>
    <t>Long-Term Assets:</t>
  </si>
  <si>
    <t>Current Liabilities:</t>
  </si>
  <si>
    <t>Long-Term Liabilities:</t>
  </si>
  <si>
    <t>(+) Impairment of Goodwill:</t>
  </si>
  <si>
    <t>(+/-) Deferred Taxes:</t>
  </si>
  <si>
    <t>Net Cash Provided by Operating Activities:</t>
  </si>
  <si>
    <t>CASH FLOWS FROM OPERATING ACTIVITIES:</t>
  </si>
  <si>
    <t/>
  </si>
  <si>
    <t>Net Cash Used in Investing Activities:</t>
  </si>
  <si>
    <t>Revenue and Expenses:</t>
  </si>
  <si>
    <t>Balance Sheet Drivers:</t>
  </si>
  <si>
    <t>(-) Impairment of Goodwill:</t>
  </si>
  <si>
    <t>Term Loan A:</t>
  </si>
  <si>
    <t>Term Loan B:</t>
  </si>
  <si>
    <t>Purchase Equity Value:</t>
  </si>
  <si>
    <t>Management Rollover:</t>
  </si>
  <si>
    <t>Sweep %:</t>
  </si>
  <si>
    <t>Subordinated Notes - Call Premiums:</t>
  </si>
  <si>
    <t>Transaction Adjustments:</t>
  </si>
  <si>
    <t>Debit</t>
  </si>
  <si>
    <t>Credit</t>
  </si>
  <si>
    <t>Goodwill Creation &amp; Purchase Price Allocation:</t>
  </si>
  <si>
    <t>Goodwill Calculation:</t>
  </si>
  <si>
    <t>Fixed Asset Write-Up:</t>
  </si>
  <si>
    <t>%:</t>
  </si>
  <si>
    <t>Equity Purchase Price:</t>
  </si>
  <si>
    <t>PP&amp;E Write-Up:</t>
  </si>
  <si>
    <t>Depreciation Period (Years):</t>
  </si>
  <si>
    <t>Yearly Depreciation Expense:</t>
  </si>
  <si>
    <t>Total Allocable Purchase Premium:</t>
  </si>
  <si>
    <t>Intangible Asset Write-Up:</t>
  </si>
  <si>
    <t>Excess Purchase Price to Allocate:</t>
  </si>
  <si>
    <t>Indefinite-Lived Intangibles:</t>
  </si>
  <si>
    <t>Definite-Lived Intangibles:</t>
  </si>
  <si>
    <t>Total Goodwill Created:</t>
  </si>
  <si>
    <t>Amortization Period (Years):</t>
  </si>
  <si>
    <t>Yearly Amortization Expense:</t>
  </si>
  <si>
    <t>New Deferred Tax Liability:</t>
  </si>
  <si>
    <t>(-) Seller's Common Book Value:</t>
  </si>
  <si>
    <t>(+) Write-Off of Existing Goodwill:</t>
  </si>
  <si>
    <t>(-) Write-Up of PP&amp;E:</t>
  </si>
  <si>
    <t>(-) Write-Up of Intangibles:</t>
  </si>
  <si>
    <t>(-) Write-Down of Existing DTL:</t>
  </si>
  <si>
    <t>(+) New Deferred Tax Liability:</t>
  </si>
  <si>
    <t>Returns Calculations:</t>
  </si>
  <si>
    <t>(+) Earn-Out Received:</t>
  </si>
  <si>
    <t>(+) Revolver Draw:</t>
  </si>
  <si>
    <t>Free Cash Flow:</t>
  </si>
  <si>
    <t>(-) Mandatory Repayments:</t>
  </si>
  <si>
    <t>Cash Flow</t>
  </si>
  <si>
    <t>(-) Optional Repayments:</t>
  </si>
  <si>
    <t>(-) Mandatory Debt Repayments:</t>
  </si>
  <si>
    <t>Cash Flow Available for Debt Repayment:</t>
  </si>
  <si>
    <t>Cash Flow Available for Term Loan A:</t>
  </si>
  <si>
    <t>Cash Flow Available for Term Loan B:</t>
  </si>
  <si>
    <t>Cash Flow Available for Subordinated Notes:</t>
  </si>
  <si>
    <t>BoP Subordinated Notes:</t>
  </si>
  <si>
    <t>(-) Call Premium Paid:</t>
  </si>
  <si>
    <t>EoP Subordinated Notes:</t>
  </si>
  <si>
    <t>Interest Paid on Debt:</t>
  </si>
  <si>
    <t>(-) Revolver Repayment:</t>
  </si>
  <si>
    <t>Minimum Cash Balance:</t>
  </si>
  <si>
    <t>Total Interest Paid (Cash + PIK):</t>
  </si>
  <si>
    <t>(-) Depreciation of PP&amp;E Write-Up:</t>
  </si>
  <si>
    <t>(+) Depreciation of PP&amp;E Write-Up:</t>
  </si>
  <si>
    <t>Selected Scenario:</t>
  </si>
  <si>
    <t>Total Revenue:</t>
  </si>
  <si>
    <t>Exit Year:</t>
  </si>
  <si>
    <t>Returns to Management:</t>
  </si>
  <si>
    <t>Management Common Equity:</t>
  </si>
  <si>
    <t>Initial Investment:</t>
  </si>
  <si>
    <t>(+) Exit Equity Proceeds:</t>
  </si>
  <si>
    <t>Total Cash Flows:</t>
  </si>
  <si>
    <t>(-) Earn-Out Granted:</t>
  </si>
  <si>
    <t>Credit Stats and Ratios:</t>
  </si>
  <si>
    <t>Returns to Sponsor:</t>
  </si>
  <si>
    <t>Sponsor Common Equity:</t>
  </si>
  <si>
    <t>Sponsor Multiple:</t>
  </si>
  <si>
    <t>Sponsor IRR:</t>
  </si>
  <si>
    <t>Total Debt:</t>
  </si>
  <si>
    <t>Senior Debt:</t>
  </si>
  <si>
    <t>Cumulative Debt Paydown:</t>
  </si>
  <si>
    <t>Cumulative Paydown % Initial Debt:</t>
  </si>
  <si>
    <t>Total Debt / EBITDA:</t>
  </si>
  <si>
    <t>Revenue Growth:</t>
  </si>
  <si>
    <t>EBITDA Margin:</t>
  </si>
  <si>
    <t>Senior Debt / EBITDA:</t>
  </si>
  <si>
    <t>Sensitivity Tables - Sponsor Returns:</t>
  </si>
  <si>
    <t>Conversion Units:</t>
  </si>
  <si>
    <t>$ M</t>
  </si>
  <si>
    <t>(+) Revolver Draw / (-) Repayment:</t>
  </si>
  <si>
    <t>(-) Optional Repayments of Term Loan A:</t>
  </si>
  <si>
    <t>(-) Optional Repayments of Term Loan B:</t>
  </si>
  <si>
    <t>(-) Optional Repayments of Subordinated Notes:</t>
  </si>
  <si>
    <t>Cash Generated ABOVE Minimum Cash Balance:</t>
  </si>
  <si>
    <t>Transaction Assumptions:</t>
  </si>
  <si>
    <t>Great Canadian Gaming Corporation</t>
  </si>
  <si>
    <t>($ in CAD Millions Unless Otherwise Stated)</t>
  </si>
  <si>
    <t>Last Historical Year:</t>
  </si>
  <si>
    <t>Name</t>
  </si>
  <si>
    <t>Date</t>
  </si>
  <si>
    <t>Undisturbed Share Price:</t>
  </si>
  <si>
    <t>Premium Paid:</t>
  </si>
  <si>
    <t>Offer Price per Share:</t>
  </si>
  <si>
    <t>$ M CAD</t>
  </si>
  <si>
    <t>Basic Shares Outstanding:</t>
  </si>
  <si>
    <t>Millions</t>
  </si>
  <si>
    <t>Options - Treasury Stock Method:</t>
  </si>
  <si>
    <t>Exercise</t>
  </si>
  <si>
    <t>Name:</t>
  </si>
  <si>
    <t>Price:</t>
  </si>
  <si>
    <t>Dilution:</t>
  </si>
  <si>
    <t>Options A:</t>
  </si>
  <si>
    <t>Total:</t>
  </si>
  <si>
    <t>Restricted Stock Units and Other Sources:</t>
  </si>
  <si>
    <t>Restricted Stock Units:</t>
  </si>
  <si>
    <t>Options B:</t>
  </si>
  <si>
    <t>Options C:</t>
  </si>
  <si>
    <t>RSUs:</t>
  </si>
  <si>
    <t>Diluted Shares Outstanding:</t>
  </si>
  <si>
    <t>Revenue:</t>
  </si>
  <si>
    <t>Net Gaming Revenue:</t>
  </si>
  <si>
    <t>(-) Provincial Government Portion:</t>
  </si>
  <si>
    <t># Sq. Ft.</t>
  </si>
  <si>
    <t>Gross Gaming Revenue per Used Square Foot:</t>
  </si>
  <si>
    <t>$ / Sq. Ft.</t>
  </si>
  <si>
    <t>Hospitality Revenue per Used Square Foot:</t>
  </si>
  <si>
    <t>Provincial Government Portion of Gaming Revenue:</t>
  </si>
  <si>
    <t>Gaming Space Usage Rate:</t>
  </si>
  <si>
    <t>Growth Rate in Gaming Revenue per Used Sq. Ft.:</t>
  </si>
  <si>
    <t>Racetrack and Lease Revenue - Growth Rate:</t>
  </si>
  <si>
    <t>Amort.:</t>
  </si>
  <si>
    <t>Expenses:</t>
  </si>
  <si>
    <t>(+) Gross Gaming Revenue:</t>
  </si>
  <si>
    <t>(+) Hospitality Revenue:</t>
  </si>
  <si>
    <t>(+) Racetrack and Lease Revenue:</t>
  </si>
  <si>
    <t>(-) Employee Salaries:</t>
  </si>
  <si>
    <t>(-) Property, Marketing, and Administration:</t>
  </si>
  <si>
    <t>(-) Lease Amortization:</t>
  </si>
  <si>
    <t>Total Expenses:</t>
  </si>
  <si>
    <t>(+/-) Restructuring and Other Items:</t>
  </si>
  <si>
    <t>(-) Lease Interest:</t>
  </si>
  <si>
    <t>(-) Amortization of Financing Fees:</t>
  </si>
  <si>
    <t>(-) Depreciation of Owned PP&amp;E:</t>
  </si>
  <si>
    <t>(-) Amortization of Existing Intangible Assets:</t>
  </si>
  <si>
    <t>(-) Amortization of Intangible Write-Ups:</t>
  </si>
  <si>
    <t>(+) Net Income from Equity Investments:</t>
  </si>
  <si>
    <t>Net Income to Parent:</t>
  </si>
  <si>
    <t>(-) Net Income Attrib. to Noncontrolling Interests:</t>
  </si>
  <si>
    <t>Other Current Assets:</t>
  </si>
  <si>
    <t>Right-of-Use Assets:</t>
  </si>
  <si>
    <t>Other Current Liabilities:</t>
  </si>
  <si>
    <t>Net Deferred Tax Liabilities:</t>
  </si>
  <si>
    <t>Operating Lease Liabilities:</t>
  </si>
  <si>
    <t>Common Shareholders' Equity:</t>
  </si>
  <si>
    <t>(+) Noncontrolling Interests:</t>
  </si>
  <si>
    <t>(-) Net Income from Equity Investments:</t>
  </si>
  <si>
    <t>(+) Net Income Attrib. to Noncontrolling Interests:</t>
  </si>
  <si>
    <t>(+) Depreciation of Owned PP&amp;E:</t>
  </si>
  <si>
    <t>(+) Amortization of Existing Intangible Assets:</t>
  </si>
  <si>
    <t>(+) Lease Amortization:</t>
  </si>
  <si>
    <t>(+) Amortization of Financing Fees:</t>
  </si>
  <si>
    <t>(+) Amortization of Intangible Write-Ups:</t>
  </si>
  <si>
    <t>(+/-) Change in Working Capital:</t>
  </si>
  <si>
    <t>(+) Stock-Based Compensation:</t>
  </si>
  <si>
    <t>(-) Payments of Lease Liabilities:</t>
  </si>
  <si>
    <t>CASH FLOWS FROM RECURRING INVESTING/FINANCING ACTIVITIES:</t>
  </si>
  <si>
    <t>(+) Interest Income:</t>
  </si>
  <si>
    <t>(-) Cash &amp; Investments:</t>
  </si>
  <si>
    <t>(+) Total Debt:</t>
  </si>
  <si>
    <t>(+) Operating Leases:</t>
  </si>
  <si>
    <t>"Normalized" LTM EBITDA:</t>
  </si>
  <si>
    <t>"Normalized" Purchase TEV / EBITDA Multiple:</t>
  </si>
  <si>
    <t>Purchase TEV / EBITDA Multiple:</t>
  </si>
  <si>
    <t>Assume/Replace Target's Debt:</t>
  </si>
  <si>
    <t>Financing Fees:</t>
  </si>
  <si>
    <t>Advisory Fee %:</t>
  </si>
  <si>
    <t>Debt Issuance Fee %:</t>
  </si>
  <si>
    <t>Legal and Other Fees:</t>
  </si>
  <si>
    <t>Used Gaming Square Feet:</t>
  </si>
  <si>
    <t>Total Gaming Square Feet:</t>
  </si>
  <si>
    <t>Estimated Owned Square Feet:</t>
  </si>
  <si>
    <t>Estimated Leased Square Feet:</t>
  </si>
  <si>
    <t>Employee Salaries per Used Square Foot:</t>
  </si>
  <si>
    <t>Property, Marketing, and Administration % Revenue:</t>
  </si>
  <si>
    <t>Depreciation per Owned Square Foot:</t>
  </si>
  <si>
    <t>Lease Amortization per Leased Square Foot:</t>
  </si>
  <si>
    <t>Lease Interest per Leased Square Foot:</t>
  </si>
  <si>
    <t>Expense, CapEx, and Lease Projections:</t>
  </si>
  <si>
    <t>Lease Liability Payments per Leased Square Foot:</t>
  </si>
  <si>
    <t>Amortization of Intangibles:</t>
  </si>
  <si>
    <t>Effective Tax Rate:</t>
  </si>
  <si>
    <t>Net Income from Equity Investments:</t>
  </si>
  <si>
    <t>Net Income to NCI % Total Net Income:</t>
  </si>
  <si>
    <t>Other Current Assets % Revenue:</t>
  </si>
  <si>
    <t>Other Current Liabilities % Cash OpEx:</t>
  </si>
  <si>
    <t>Other Long-Term Liabilities % Cash OpEx:</t>
  </si>
  <si>
    <t>(+/-) Other Operational Items:</t>
  </si>
  <si>
    <t>(+/-) Other Investing Items:</t>
  </si>
  <si>
    <t>Benchmark</t>
  </si>
  <si>
    <t>10-Year Canadian Government Bond Yield:</t>
  </si>
  <si>
    <t>Amortization Period:</t>
  </si>
  <si>
    <t>Years</t>
  </si>
  <si>
    <t>(+/-) Revolver and Optional Debt Repayments:</t>
  </si>
  <si>
    <t>Year 3 EBITDA Exit Multiple:</t>
  </si>
  <si>
    <t>(-) Interest Expense on Debt:</t>
  </si>
  <si>
    <t>Maintenance CapEx per Owned Square Foot:</t>
  </si>
  <si>
    <t>Growth CapEx per Owned Square Foot:</t>
  </si>
  <si>
    <t>Lease Interest Expense:</t>
  </si>
  <si>
    <t>Amortization of Financing Fees:</t>
  </si>
  <si>
    <t>Total Interest Expense:</t>
  </si>
  <si>
    <t>EBITDA / Total Interest Expense:</t>
  </si>
  <si>
    <t>Tax Schedule:</t>
  </si>
  <si>
    <t>Book Pre-Tax Income:</t>
  </si>
  <si>
    <t>(-) Operating Leases:</t>
  </si>
  <si>
    <t>(-) Noncontrolling Interests:</t>
  </si>
  <si>
    <t>(+) Net Operating Losses:</t>
  </si>
  <si>
    <t>Taxable Income:</t>
  </si>
  <si>
    <t>Beginning Net Operating Loss (NOL) Balance:</t>
  </si>
  <si>
    <t>(+) NOLs Created:</t>
  </si>
  <si>
    <t>(-) NOLs Used:</t>
  </si>
  <si>
    <t>Ending NOL Balance:</t>
  </si>
  <si>
    <t>NOL-Adjusted Taxable Income:</t>
  </si>
  <si>
    <t>Cash Taxes Payable:</t>
  </si>
  <si>
    <t>Deferred Income Taxes:</t>
  </si>
  <si>
    <t>(-) Income Taxes / (+) Benefits:</t>
  </si>
  <si>
    <t>(-) Total Debt:</t>
  </si>
  <si>
    <t>(+) Cash &amp; Investments:</t>
  </si>
  <si>
    <t>Total Debt Incl. Operating Leases:</t>
  </si>
  <si>
    <t>Net Debt Incl. Operating Leases:</t>
  </si>
  <si>
    <t>Total Debt Incl. Operating Leases / EBITDA:</t>
  </si>
  <si>
    <t>Net Debt Incl. Operating Leases / EBITDA:</t>
  </si>
  <si>
    <t>Earn-Out Payments:</t>
  </si>
  <si>
    <t>EBITDA Thresholds:</t>
  </si>
  <si>
    <t>Cash:</t>
  </si>
  <si>
    <t>Interest Rates:</t>
  </si>
  <si>
    <t>Stock-Based Compensation % Revenue:</t>
  </si>
  <si>
    <t>Number:</t>
  </si>
  <si>
    <t>Excess Cash:</t>
  </si>
  <si>
    <t>Additional Square Feet Purchased or Acquired:</t>
  </si>
  <si>
    <t>Investor Equity:</t>
  </si>
  <si>
    <t>(+) Lease Liability Additions:</t>
  </si>
  <si>
    <t>(-) ROU Asset Additions and Modifications:</t>
  </si>
  <si>
    <t>ROU Asset Additions/Mods per Leased Square Foot:</t>
  </si>
  <si>
    <t>Lease Liab. Additions/Mods per Leased Square Foot:</t>
  </si>
  <si>
    <t>Interest Expense on Debt:</t>
  </si>
  <si>
    <t>EBITDA / Interest Expense on Debt:</t>
  </si>
  <si>
    <t>Payable%COGS:</t>
  </si>
  <si>
    <t>Account Receivable%Revenue</t>
  </si>
  <si>
    <t>Other Items</t>
  </si>
  <si>
    <t>Total CapEx Per Owned Square Feet</t>
  </si>
  <si>
    <t>=</t>
  </si>
  <si>
    <t>Operating Case</t>
  </si>
  <si>
    <t>Exit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</si>
</sst>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"/>
    <numFmt numFmtId="165" formatCode="_(* #,##0.0_);_(* \(#,##0.0\);_(* &quot;-&quot;?_);_(@_)"/>
    <numFmt numFmtId="166" formatCode="_([$€-2]\ * #,##0.0_);_([$€-2]\ * \(#,##0.0\);_([$€-2]\ * &quot;-&quot;?_);_(@_)"/>
    <numFmt numFmtId="167" formatCode="_(* #,##0.0%;_(* \(#,##0.0%\);_(* &quot;- %&quot;_);_(* @_%_)"/>
    <numFmt numFmtId="168" formatCode="* _(##,##0.0_);[Red]* \(##,##0.0\);* _(&quot;-&quot;?_);_(@_)"/>
    <numFmt numFmtId="169" formatCode="&quot;FY&quot;yy"/>
    <numFmt numFmtId="170" formatCode="0.0\ \x"/>
    <numFmt numFmtId="171" formatCode="0.0%;\(0.0%\)"/>
    <numFmt numFmtId="172" formatCode="0.00\ \x;\(0.00\ \x\)"/>
    <numFmt numFmtId="173" formatCode="0.0%"/>
    <numFmt numFmtId="174" formatCode="_(&quot;$&quot;* #,##0.0_);_(&quot;$&quot;* \(#,##0.0\);_(&quot;$&quot;* &quot;-&quot;?_);_(@_)"/>
    <numFmt numFmtId="175" formatCode="#,##0.0_);\(#,##0.0\)"/>
    <numFmt numFmtId="176" formatCode="&quot;$&quot;#,##0.000\);\(&quot;$&quot;#,##0.000\);&quot;OK!&quot;;&quot;ERROR&quot;"/>
    <numFmt numFmtId="177" formatCode="0.0_);\(0.0\)"/>
    <numFmt numFmtId="178" formatCode="0.00%;\(0.00%\)"/>
    <numFmt numFmtId="179" formatCode="0.0\ \x;\(0.0\ \x\)"/>
    <numFmt numFmtId="180" formatCode="_(* #,##0.000_);_(* \(#,##0.000\);_(* &quot;-&quot;??_);_(@_)"/>
    <numFmt numFmtId="181" formatCode="_(* #,##0.000_);_(* \(#,##0.000\);_(* &quot;-&quot;???_);_(@_)"/>
    <numFmt numFmtId="182" formatCode="_-* #,##0.00\ [$€-40C]_-;\-* #,##0.00\ [$€-40C]_-;_-* &quot;-&quot;??\ [$€-40C]_-;_-@_-"/>
    <numFmt numFmtId="183" formatCode="_(&quot;$&quot;* #,##0_);_(&quot;$&quot;* \(#,##0\);_(&quot;$&quot;* &quot;-&quot;??_);_(@_)"/>
    <numFmt numFmtId="184" formatCode="_(0.0%_);\(0.0%\);_(&quot;–&quot;_)_%;_(@_)_%"/>
    <numFmt numFmtId="185" formatCode="_(* #,##0.0_);_(* \(#,##0.0\);_(* &quot;-&quot;??_);_(@_)"/>
    <numFmt numFmtId="186" formatCode="_(&quot;$&quot;* #,##0_);_(&quot;$&quot;* \(#,##0\);_(&quot;$&quot;* &quot;-&quot;?_);_(@_)"/>
    <numFmt numFmtId="187" formatCode="_(&quot;$&quot;* #,##0.0_);_(&quot;$&quot;* \(#,##0.0\);_(&quot;$&quot;* &quot;-&quot;_);_(@_)"/>
    <numFmt numFmtId="188" formatCode="_(* #,##0.0000_);_(* \(#,##0.0000\);_(* &quot;-&quot;?_);_(@_)"/>
    <numFmt numFmtId="189" formatCode="0.0&quot; x&quot;"/>
  </numFmts>
  <fonts count="3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i/>
      <sz val="12"/>
      <color rgb="FFFFFFFF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rgb="FFFFFFFF"/>
      <name val="Calibri"/>
      <family val="2"/>
      <scheme val="minor"/>
    </font>
    <font>
      <sz val="10"/>
      <name val="Arial"/>
      <family val="2"/>
    </font>
    <font>
      <i/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rgb="FF0000FF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9"/>
      <name val="Calibri"/>
      <family val="2"/>
      <scheme val="minor"/>
    </font>
    <font>
      <sz val="12"/>
      <name val="Calibri"/>
      <family val="2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DEBF6"/>
        <bgColor indexed="64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rgb="FFFFFFFF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/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auto="1"/>
      </top>
      <bottom style="thin">
        <color rgb="FFB2B2B2"/>
      </bottom>
      <diagonal/>
    </border>
    <border>
      <left style="thin">
        <color auto="1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/>
      <bottom style="thin">
        <color rgb="FFB2B2B2"/>
      </bottom>
      <diagonal/>
    </border>
    <border>
      <left style="thin">
        <color auto="1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</borders>
  <cellStyleXfs count="3">
    <xf numFmtId="0" fontId="0" fillId="0" borderId="0"/>
    <xf numFmtId="0" fontId="12" fillId="2" borderId="1" applyNumberFormat="0" applyFont="0" applyAlignment="0" applyProtection="0"/>
    <xf numFmtId="0" fontId="24" fillId="0" borderId="0"/>
  </cellStyleXfs>
  <cellXfs count="419">
    <xf numFmtId="0" fontId="0" fillId="0" borderId="0" xfId="0"/>
    <xf numFmtId="169" fontId="13" fillId="6" borderId="2" xfId="0" applyNumberFormat="1" applyFont="1" applyFill="1" applyBorder="1" applyAlignment="1">
      <alignment horizontal="center"/>
    </xf>
    <xf numFmtId="169" fontId="13" fillId="6" borderId="4" xfId="0" applyNumberFormat="1" applyFont="1" applyFill="1" applyBorder="1" applyAlignment="1">
      <alignment horizontal="center"/>
    </xf>
    <xf numFmtId="0" fontId="14" fillId="0" borderId="0" xfId="0" applyFont="1"/>
    <xf numFmtId="0" fontId="15" fillId="3" borderId="2" xfId="0" applyFont="1" applyFill="1" applyBorder="1"/>
    <xf numFmtId="0" fontId="16" fillId="3" borderId="2" xfId="0" applyFont="1" applyFill="1" applyBorder="1"/>
    <xf numFmtId="0" fontId="17" fillId="3" borderId="2" xfId="0" applyFont="1" applyFill="1" applyBorder="1"/>
    <xf numFmtId="164" fontId="18" fillId="5" borderId="1" xfId="1" applyNumberFormat="1" applyFont="1" applyFill="1" applyAlignment="1">
      <alignment horizontal="center"/>
    </xf>
    <xf numFmtId="0" fontId="14" fillId="4" borderId="2" xfId="0" applyFont="1" applyFill="1" applyBorder="1"/>
    <xf numFmtId="0" fontId="18" fillId="0" borderId="0" xfId="0" applyFont="1" applyAlignment="1">
      <alignment horizontal="center"/>
    </xf>
    <xf numFmtId="0" fontId="14" fillId="4" borderId="0" xfId="0" applyFont="1" applyFill="1"/>
    <xf numFmtId="0" fontId="15" fillId="6" borderId="0" xfId="0" applyFont="1" applyFill="1"/>
    <xf numFmtId="0" fontId="16" fillId="6" borderId="0" xfId="0" applyFont="1" applyFill="1"/>
    <xf numFmtId="0" fontId="17" fillId="6" borderId="0" xfId="0" applyFont="1" applyFill="1"/>
    <xf numFmtId="0" fontId="15" fillId="6" borderId="3" xfId="0" applyFont="1" applyFill="1" applyBorder="1" applyAlignment="1">
      <alignment horizontal="centerContinuous"/>
    </xf>
    <xf numFmtId="0" fontId="16" fillId="6" borderId="3" xfId="0" applyFont="1" applyFill="1" applyBorder="1" applyAlignment="1">
      <alignment horizontal="centerContinuous"/>
    </xf>
    <xf numFmtId="0" fontId="15" fillId="6" borderId="5" xfId="0" applyFont="1" applyFill="1" applyBorder="1" applyAlignment="1">
      <alignment horizontal="centerContinuous"/>
    </xf>
    <xf numFmtId="0" fontId="17" fillId="6" borderId="3" xfId="0" applyFont="1" applyFill="1" applyBorder="1" applyAlignment="1">
      <alignment horizontal="centerContinuous"/>
    </xf>
    <xf numFmtId="0" fontId="16" fillId="6" borderId="2" xfId="0" applyFont="1" applyFill="1" applyBorder="1"/>
    <xf numFmtId="0" fontId="20" fillId="0" borderId="0" xfId="0" applyFont="1" applyAlignment="1">
      <alignment horizontal="left" indent="1"/>
    </xf>
    <xf numFmtId="165" fontId="18" fillId="0" borderId="0" xfId="0" applyNumberFormat="1" applyFont="1"/>
    <xf numFmtId="166" fontId="14" fillId="0" borderId="0" xfId="0" applyNumberFormat="1" applyFont="1"/>
    <xf numFmtId="0" fontId="15" fillId="3" borderId="0" xfId="0" applyFont="1" applyFill="1"/>
    <xf numFmtId="0" fontId="16" fillId="3" borderId="0" xfId="0" applyFont="1" applyFill="1"/>
    <xf numFmtId="168" fontId="18" fillId="0" borderId="0" xfId="0" applyNumberFormat="1" applyFont="1"/>
    <xf numFmtId="0" fontId="14" fillId="0" borderId="0" xfId="0" applyFont="1" applyAlignment="1">
      <alignment horizontal="left" indent="1"/>
    </xf>
    <xf numFmtId="0" fontId="14" fillId="4" borderId="0" xfId="0" applyFont="1" applyFill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0" borderId="6" xfId="0" applyFont="1" applyBorder="1" applyAlignment="1">
      <alignment horizontal="left"/>
    </xf>
    <xf numFmtId="0" fontId="15" fillId="6" borderId="2" xfId="0" applyFont="1" applyFill="1" applyBorder="1"/>
    <xf numFmtId="0" fontId="14" fillId="0" borderId="6" xfId="0" applyFont="1" applyBorder="1"/>
    <xf numFmtId="165" fontId="14" fillId="0" borderId="6" xfId="0" applyNumberFormat="1" applyFont="1" applyBorder="1"/>
    <xf numFmtId="0" fontId="18" fillId="5" borderId="1" xfId="1" applyFont="1" applyFill="1" applyAlignment="1">
      <alignment horizontal="centerContinuous"/>
    </xf>
    <xf numFmtId="167" fontId="14" fillId="0" borderId="0" xfId="0" applyNumberFormat="1" applyFont="1"/>
    <xf numFmtId="0" fontId="23" fillId="6" borderId="2" xfId="0" applyFont="1" applyFill="1" applyBorder="1" applyAlignment="1">
      <alignment horizontal="center"/>
    </xf>
    <xf numFmtId="165" fontId="14" fillId="0" borderId="0" xfId="0" applyNumberFormat="1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169" fontId="13" fillId="0" borderId="0" xfId="0" applyNumberFormat="1" applyFont="1" applyAlignment="1">
      <alignment horizontal="center"/>
    </xf>
    <xf numFmtId="0" fontId="14" fillId="0" borderId="6" xfId="0" applyFont="1" applyBorder="1" applyAlignment="1">
      <alignment horizontal="left" indent="1"/>
    </xf>
    <xf numFmtId="0" fontId="21" fillId="0" borderId="0" xfId="0" applyFont="1"/>
    <xf numFmtId="10" fontId="18" fillId="0" borderId="0" xfId="1" applyNumberFormat="1" applyFont="1" applyFill="1" applyBorder="1"/>
    <xf numFmtId="10" fontId="21" fillId="0" borderId="0" xfId="1" applyNumberFormat="1" applyFont="1" applyFill="1" applyBorder="1"/>
    <xf numFmtId="0" fontId="20" fillId="0" borderId="0" xfId="0" applyFont="1" applyAlignment="1">
      <alignment horizontal="center"/>
    </xf>
    <xf numFmtId="0" fontId="20" fillId="0" borderId="2" xfId="0" applyFont="1" applyBorder="1" applyAlignment="1">
      <alignment horizontal="center"/>
    </xf>
    <xf numFmtId="0" fontId="25" fillId="0" borderId="0" xfId="2" applyFont="1" applyAlignment="1">
      <alignment horizontal="center"/>
    </xf>
    <xf numFmtId="165" fontId="21" fillId="0" borderId="0" xfId="0" applyNumberFormat="1" applyFont="1"/>
    <xf numFmtId="0" fontId="21" fillId="6" borderId="7" xfId="2" applyFont="1" applyFill="1" applyBorder="1"/>
    <xf numFmtId="0" fontId="13" fillId="6" borderId="8" xfId="2" applyFont="1" applyFill="1" applyBorder="1" applyAlignment="1">
      <alignment horizontal="centerContinuous"/>
    </xf>
    <xf numFmtId="171" fontId="26" fillId="4" borderId="0" xfId="2" applyNumberFormat="1" applyFont="1" applyFill="1"/>
    <xf numFmtId="172" fontId="21" fillId="4" borderId="11" xfId="2" applyNumberFormat="1" applyFont="1" applyFill="1" applyBorder="1" applyAlignment="1">
      <alignment horizontal="center"/>
    </xf>
    <xf numFmtId="171" fontId="19" fillId="0" borderId="0" xfId="1" applyNumberFormat="1" applyFont="1" applyFill="1" applyBorder="1"/>
    <xf numFmtId="167" fontId="19" fillId="0" borderId="6" xfId="1" applyNumberFormat="1" applyFont="1" applyFill="1" applyBorder="1"/>
    <xf numFmtId="169" fontId="13" fillId="6" borderId="14" xfId="0" applyNumberFormat="1" applyFont="1" applyFill="1" applyBorder="1" applyAlignment="1">
      <alignment horizontal="center"/>
    </xf>
    <xf numFmtId="44" fontId="18" fillId="0" borderId="0" xfId="0" applyNumberFormat="1" applyFont="1"/>
    <xf numFmtId="174" fontId="14" fillId="0" borderId="0" xfId="0" applyNumberFormat="1" applyFont="1"/>
    <xf numFmtId="173" fontId="20" fillId="0" borderId="0" xfId="0" applyNumberFormat="1" applyFont="1"/>
    <xf numFmtId="171" fontId="18" fillId="0" borderId="0" xfId="1" applyNumberFormat="1" applyFont="1" applyFill="1" applyBorder="1"/>
    <xf numFmtId="174" fontId="14" fillId="0" borderId="6" xfId="0" applyNumberFormat="1" applyFont="1" applyBorder="1"/>
    <xf numFmtId="174" fontId="18" fillId="0" borderId="0" xfId="0" applyNumberFormat="1" applyFont="1"/>
    <xf numFmtId="0" fontId="14" fillId="4" borderId="8" xfId="0" applyFont="1" applyFill="1" applyBorder="1"/>
    <xf numFmtId="174" fontId="18" fillId="5" borderId="1" xfId="0" applyNumberFormat="1" applyFont="1" applyFill="1" applyBorder="1"/>
    <xf numFmtId="165" fontId="18" fillId="5" borderId="1" xfId="0" applyNumberFormat="1" applyFont="1" applyFill="1" applyBorder="1"/>
    <xf numFmtId="0" fontId="14" fillId="0" borderId="0" xfId="0" applyFont="1" applyAlignment="1">
      <alignment horizontal="left"/>
    </xf>
    <xf numFmtId="0" fontId="20" fillId="4" borderId="8" xfId="0" applyFont="1" applyFill="1" applyBorder="1" applyAlignment="1">
      <alignment horizontal="left" indent="1"/>
    </xf>
    <xf numFmtId="165" fontId="18" fillId="0" borderId="2" xfId="0" applyNumberFormat="1" applyFont="1" applyBorder="1"/>
    <xf numFmtId="165" fontId="22" fillId="0" borderId="6" xfId="0" applyNumberFormat="1" applyFont="1" applyBorder="1"/>
    <xf numFmtId="174" fontId="21" fillId="0" borderId="0" xfId="0" applyNumberFormat="1" applyFont="1"/>
    <xf numFmtId="170" fontId="21" fillId="0" borderId="0" xfId="0" applyNumberFormat="1" applyFont="1"/>
    <xf numFmtId="41" fontId="18" fillId="5" borderId="1" xfId="0" applyNumberFormat="1" applyFont="1" applyFill="1" applyBorder="1"/>
    <xf numFmtId="165" fontId="14" fillId="0" borderId="7" xfId="0" applyNumberFormat="1" applyFont="1" applyBorder="1"/>
    <xf numFmtId="165" fontId="14" fillId="0" borderId="18" xfId="0" applyNumberFormat="1" applyFont="1" applyBorder="1"/>
    <xf numFmtId="165" fontId="14" fillId="0" borderId="17" xfId="0" applyNumberFormat="1" applyFont="1" applyBorder="1"/>
    <xf numFmtId="165" fontId="14" fillId="0" borderId="11" xfId="0" applyNumberFormat="1" applyFont="1" applyBorder="1"/>
    <xf numFmtId="174" fontId="14" fillId="0" borderId="17" xfId="0" applyNumberFormat="1" applyFont="1" applyBorder="1"/>
    <xf numFmtId="174" fontId="14" fillId="0" borderId="11" xfId="0" applyNumberFormat="1" applyFont="1" applyBorder="1"/>
    <xf numFmtId="165" fontId="22" fillId="0" borderId="7" xfId="0" applyNumberFormat="1" applyFont="1" applyBorder="1"/>
    <xf numFmtId="165" fontId="22" fillId="0" borderId="18" xfId="0" applyNumberFormat="1" applyFont="1" applyBorder="1"/>
    <xf numFmtId="175" fontId="18" fillId="0" borderId="6" xfId="1" applyNumberFormat="1" applyFont="1" applyFill="1" applyBorder="1"/>
    <xf numFmtId="175" fontId="18" fillId="0" borderId="0" xfId="1" applyNumberFormat="1" applyFont="1" applyFill="1" applyBorder="1"/>
    <xf numFmtId="171" fontId="18" fillId="0" borderId="0" xfId="0" applyNumberFormat="1" applyFont="1"/>
    <xf numFmtId="174" fontId="14" fillId="4" borderId="2" xfId="0" applyNumberFormat="1" applyFont="1" applyFill="1" applyBorder="1"/>
    <xf numFmtId="0" fontId="14" fillId="4" borderId="6" xfId="0" applyFont="1" applyFill="1" applyBorder="1"/>
    <xf numFmtId="174" fontId="14" fillId="4" borderId="6" xfId="0" applyNumberFormat="1" applyFont="1" applyFill="1" applyBorder="1"/>
    <xf numFmtId="0" fontId="14" fillId="4" borderId="16" xfId="0" applyFont="1" applyFill="1" applyBorder="1"/>
    <xf numFmtId="0" fontId="14" fillId="4" borderId="9" xfId="0" applyFont="1" applyFill="1" applyBorder="1"/>
    <xf numFmtId="166" fontId="14" fillId="0" borderId="17" xfId="0" applyNumberFormat="1" applyFont="1" applyBorder="1"/>
    <xf numFmtId="166" fontId="14" fillId="0" borderId="11" xfId="0" applyNumberFormat="1" applyFont="1" applyBorder="1"/>
    <xf numFmtId="0" fontId="14" fillId="4" borderId="19" xfId="0" applyFont="1" applyFill="1" applyBorder="1"/>
    <xf numFmtId="0" fontId="14" fillId="4" borderId="13" xfId="0" applyFont="1" applyFill="1" applyBorder="1"/>
    <xf numFmtId="165" fontId="18" fillId="0" borderId="11" xfId="0" applyNumberFormat="1" applyFont="1" applyBorder="1"/>
    <xf numFmtId="174" fontId="14" fillId="0" borderId="7" xfId="0" applyNumberFormat="1" applyFont="1" applyBorder="1"/>
    <xf numFmtId="174" fontId="14" fillId="0" borderId="18" xfId="0" applyNumberFormat="1" applyFont="1" applyBorder="1"/>
    <xf numFmtId="174" fontId="18" fillId="0" borderId="17" xfId="0" applyNumberFormat="1" applyFont="1" applyBorder="1"/>
    <xf numFmtId="165" fontId="18" fillId="0" borderId="17" xfId="0" applyNumberFormat="1" applyFont="1" applyBorder="1"/>
    <xf numFmtId="175" fontId="18" fillId="0" borderId="18" xfId="1" applyNumberFormat="1" applyFont="1" applyFill="1" applyBorder="1"/>
    <xf numFmtId="175" fontId="18" fillId="0" borderId="17" xfId="1" applyNumberFormat="1" applyFont="1" applyFill="1" applyBorder="1"/>
    <xf numFmtId="175" fontId="18" fillId="0" borderId="11" xfId="1" applyNumberFormat="1" applyFont="1" applyFill="1" applyBorder="1"/>
    <xf numFmtId="171" fontId="18" fillId="0" borderId="17" xfId="0" applyNumberFormat="1" applyFont="1" applyBorder="1"/>
    <xf numFmtId="171" fontId="18" fillId="0" borderId="11" xfId="0" applyNumberFormat="1" applyFont="1" applyBorder="1"/>
    <xf numFmtId="171" fontId="18" fillId="0" borderId="17" xfId="1" applyNumberFormat="1" applyFont="1" applyFill="1" applyBorder="1"/>
    <xf numFmtId="171" fontId="18" fillId="0" borderId="11" xfId="1" applyNumberFormat="1" applyFont="1" applyFill="1" applyBorder="1"/>
    <xf numFmtId="173" fontId="20" fillId="0" borderId="17" xfId="0" applyNumberFormat="1" applyFont="1" applyBorder="1"/>
    <xf numFmtId="173" fontId="20" fillId="0" borderId="11" xfId="0" applyNumberFormat="1" applyFont="1" applyBorder="1"/>
    <xf numFmtId="165" fontId="18" fillId="8" borderId="6" xfId="0" applyNumberFormat="1" applyFont="1" applyFill="1" applyBorder="1"/>
    <xf numFmtId="165" fontId="18" fillId="8" borderId="0" xfId="0" applyNumberFormat="1" applyFont="1" applyFill="1"/>
    <xf numFmtId="165" fontId="18" fillId="8" borderId="2" xfId="0" applyNumberFormat="1" applyFont="1" applyFill="1" applyBorder="1"/>
    <xf numFmtId="0" fontId="14" fillId="8" borderId="8" xfId="0" applyFont="1" applyFill="1" applyBorder="1" applyAlignment="1">
      <alignment horizontal="left"/>
    </xf>
    <xf numFmtId="165" fontId="14" fillId="8" borderId="8" xfId="0" applyNumberFormat="1" applyFont="1" applyFill="1" applyBorder="1"/>
    <xf numFmtId="165" fontId="14" fillId="8" borderId="16" xfId="0" applyNumberFormat="1" applyFont="1" applyFill="1" applyBorder="1"/>
    <xf numFmtId="165" fontId="14" fillId="8" borderId="9" xfId="0" applyNumberFormat="1" applyFont="1" applyFill="1" applyBorder="1"/>
    <xf numFmtId="174" fontId="18" fillId="8" borderId="8" xfId="0" applyNumberFormat="1" applyFont="1" applyFill="1" applyBorder="1"/>
    <xf numFmtId="174" fontId="21" fillId="8" borderId="8" xfId="0" applyNumberFormat="1" applyFont="1" applyFill="1" applyBorder="1"/>
    <xf numFmtId="174" fontId="18" fillId="8" borderId="16" xfId="0" applyNumberFormat="1" applyFont="1" applyFill="1" applyBorder="1"/>
    <xf numFmtId="174" fontId="21" fillId="8" borderId="9" xfId="0" applyNumberFormat="1" applyFont="1" applyFill="1" applyBorder="1"/>
    <xf numFmtId="165" fontId="18" fillId="0" borderId="19" xfId="0" applyNumberFormat="1" applyFont="1" applyBorder="1"/>
    <xf numFmtId="168" fontId="18" fillId="0" borderId="0" xfId="1" applyNumberFormat="1" applyFont="1" applyFill="1" applyBorder="1"/>
    <xf numFmtId="168" fontId="21" fillId="0" borderId="0" xfId="1" applyNumberFormat="1" applyFont="1" applyFill="1" applyBorder="1"/>
    <xf numFmtId="0" fontId="21" fillId="0" borderId="0" xfId="0" applyFont="1" applyAlignment="1">
      <alignment horizontal="left" indent="1"/>
    </xf>
    <xf numFmtId="169" fontId="13" fillId="0" borderId="7" xfId="0" applyNumberFormat="1" applyFont="1" applyBorder="1" applyAlignment="1">
      <alignment horizontal="center"/>
    </xf>
    <xf numFmtId="169" fontId="13" fillId="0" borderId="6" xfId="0" applyNumberFormat="1" applyFont="1" applyBorder="1" applyAlignment="1">
      <alignment horizontal="center"/>
    </xf>
    <xf numFmtId="169" fontId="13" fillId="0" borderId="18" xfId="0" applyNumberFormat="1" applyFont="1" applyBorder="1" applyAlignment="1">
      <alignment horizontal="center"/>
    </xf>
    <xf numFmtId="169" fontId="13" fillId="0" borderId="17" xfId="0" applyNumberFormat="1" applyFont="1" applyBorder="1" applyAlignment="1">
      <alignment horizontal="center"/>
    </xf>
    <xf numFmtId="169" fontId="13" fillId="0" borderId="11" xfId="0" applyNumberFormat="1" applyFont="1" applyBorder="1" applyAlignment="1">
      <alignment horizontal="center"/>
    </xf>
    <xf numFmtId="0" fontId="14" fillId="4" borderId="17" xfId="0" applyFont="1" applyFill="1" applyBorder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9" xfId="0" applyFont="1" applyFill="1" applyBorder="1" applyAlignment="1">
      <alignment horizontal="center"/>
    </xf>
    <xf numFmtId="0" fontId="14" fillId="4" borderId="13" xfId="0" applyFont="1" applyFill="1" applyBorder="1" applyAlignment="1">
      <alignment horizontal="center"/>
    </xf>
    <xf numFmtId="168" fontId="18" fillId="0" borderId="17" xfId="1" applyNumberFormat="1" applyFont="1" applyFill="1" applyBorder="1"/>
    <xf numFmtId="168" fontId="21" fillId="0" borderId="17" xfId="1" applyNumberFormat="1" applyFont="1" applyFill="1" applyBorder="1"/>
    <xf numFmtId="169" fontId="22" fillId="9" borderId="2" xfId="0" applyNumberFormat="1" applyFont="1" applyFill="1" applyBorder="1" applyAlignment="1">
      <alignment horizontal="center"/>
    </xf>
    <xf numFmtId="0" fontId="22" fillId="0" borderId="6" xfId="0" applyFont="1" applyBorder="1"/>
    <xf numFmtId="165" fontId="18" fillId="8" borderId="13" xfId="0" applyNumberFormat="1" applyFont="1" applyFill="1" applyBorder="1"/>
    <xf numFmtId="165" fontId="18" fillId="8" borderId="18" xfId="0" applyNumberFormat="1" applyFont="1" applyFill="1" applyBorder="1"/>
    <xf numFmtId="169" fontId="18" fillId="5" borderId="1" xfId="0" applyNumberFormat="1" applyFont="1" applyFill="1" applyBorder="1" applyAlignment="1">
      <alignment horizontal="center"/>
    </xf>
    <xf numFmtId="178" fontId="21" fillId="0" borderId="0" xfId="1" applyNumberFormat="1" applyFont="1" applyFill="1" applyBorder="1"/>
    <xf numFmtId="171" fontId="21" fillId="0" borderId="0" xfId="1" applyNumberFormat="1" applyFont="1" applyFill="1" applyBorder="1"/>
    <xf numFmtId="178" fontId="21" fillId="0" borderId="0" xfId="1" applyNumberFormat="1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20" fillId="8" borderId="6" xfId="0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0" fontId="20" fillId="8" borderId="2" xfId="0" applyFont="1" applyFill="1" applyBorder="1" applyAlignment="1">
      <alignment horizontal="center"/>
    </xf>
    <xf numFmtId="0" fontId="20" fillId="0" borderId="6" xfId="0" applyFont="1" applyBorder="1" applyAlignment="1">
      <alignment horizontal="center"/>
    </xf>
    <xf numFmtId="168" fontId="21" fillId="0" borderId="7" xfId="1" applyNumberFormat="1" applyFont="1" applyFill="1" applyBorder="1"/>
    <xf numFmtId="168" fontId="21" fillId="0" borderId="6" xfId="1" applyNumberFormat="1" applyFont="1" applyFill="1" applyBorder="1"/>
    <xf numFmtId="170" fontId="14" fillId="0" borderId="11" xfId="0" applyNumberFormat="1" applyFont="1" applyBorder="1"/>
    <xf numFmtId="171" fontId="27" fillId="0" borderId="11" xfId="1" applyNumberFormat="1" applyFont="1" applyFill="1" applyBorder="1"/>
    <xf numFmtId="169" fontId="18" fillId="0" borderId="0" xfId="0" applyNumberFormat="1" applyFont="1" applyAlignment="1">
      <alignment horizontal="center"/>
    </xf>
    <xf numFmtId="165" fontId="28" fillId="8" borderId="8" xfId="0" applyNumberFormat="1" applyFont="1" applyFill="1" applyBorder="1"/>
    <xf numFmtId="174" fontId="22" fillId="0" borderId="0" xfId="0" applyNumberFormat="1" applyFont="1"/>
    <xf numFmtId="165" fontId="18" fillId="0" borderId="13" xfId="0" applyNumberFormat="1" applyFont="1" applyBorder="1"/>
    <xf numFmtId="175" fontId="21" fillId="0" borderId="0" xfId="1" applyNumberFormat="1" applyFont="1" applyFill="1" applyBorder="1"/>
    <xf numFmtId="175" fontId="21" fillId="0" borderId="11" xfId="1" applyNumberFormat="1" applyFont="1" applyFill="1" applyBorder="1"/>
    <xf numFmtId="44" fontId="29" fillId="5" borderId="1" xfId="1" applyNumberFormat="1" applyFont="1" applyFill="1" applyAlignment="1"/>
    <xf numFmtId="0" fontId="23" fillId="3" borderId="2" xfId="0" applyFont="1" applyFill="1" applyBorder="1" applyAlignment="1">
      <alignment horizontal="center"/>
    </xf>
    <xf numFmtId="171" fontId="29" fillId="5" borderId="1" xfId="1" applyNumberFormat="1" applyFont="1" applyFill="1" applyAlignment="1">
      <alignment horizontal="center"/>
    </xf>
    <xf numFmtId="180" fontId="18" fillId="5" borderId="1" xfId="0" applyNumberFormat="1" applyFont="1" applyFill="1" applyBorder="1"/>
    <xf numFmtId="181" fontId="18" fillId="0" borderId="0" xfId="0" applyNumberFormat="1" applyFont="1"/>
    <xf numFmtId="181" fontId="14" fillId="0" borderId="6" xfId="0" applyNumberFormat="1" applyFont="1" applyBorder="1"/>
    <xf numFmtId="182" fontId="18" fillId="0" borderId="0" xfId="0" applyNumberFormat="1" applyFont="1"/>
    <xf numFmtId="43" fontId="18" fillId="0" borderId="0" xfId="0" applyNumberFormat="1" applyFont="1"/>
    <xf numFmtId="165" fontId="22" fillId="0" borderId="0" xfId="0" applyNumberFormat="1" applyFont="1"/>
    <xf numFmtId="3" fontId="18" fillId="0" borderId="0" xfId="0" applyNumberFormat="1" applyFont="1"/>
    <xf numFmtId="167" fontId="18" fillId="0" borderId="0" xfId="1" applyNumberFormat="1" applyFont="1" applyFill="1" applyBorder="1"/>
    <xf numFmtId="167" fontId="18" fillId="0" borderId="11" xfId="1" applyNumberFormat="1" applyFont="1" applyFill="1" applyBorder="1"/>
    <xf numFmtId="0" fontId="11" fillId="0" borderId="0" xfId="0" applyFont="1"/>
    <xf numFmtId="0" fontId="11" fillId="4" borderId="0" xfId="0" applyFont="1" applyFill="1"/>
    <xf numFmtId="0" fontId="11" fillId="4" borderId="2" xfId="0" applyFont="1" applyFill="1" applyBorder="1"/>
    <xf numFmtId="0" fontId="11" fillId="0" borderId="0" xfId="0" applyFont="1" applyAlignment="1">
      <alignment horizontal="left" indent="1"/>
    </xf>
    <xf numFmtId="181" fontId="11" fillId="0" borderId="0" xfId="0" applyNumberFormat="1" applyFont="1"/>
    <xf numFmtId="44" fontId="11" fillId="0" borderId="0" xfId="0" applyNumberFormat="1" applyFont="1"/>
    <xf numFmtId="0" fontId="11" fillId="0" borderId="6" xfId="0" applyFont="1" applyBorder="1"/>
    <xf numFmtId="180" fontId="11" fillId="0" borderId="0" xfId="0" applyNumberFormat="1" applyFont="1"/>
    <xf numFmtId="165" fontId="11" fillId="0" borderId="0" xfId="0" applyNumberFormat="1" applyFont="1"/>
    <xf numFmtId="0" fontId="11" fillId="0" borderId="2" xfId="0" applyFont="1" applyBorder="1" applyAlignment="1">
      <alignment horizontal="left" indent="1"/>
    </xf>
    <xf numFmtId="0" fontId="11" fillId="0" borderId="2" xfId="0" applyFont="1" applyBorder="1"/>
    <xf numFmtId="174" fontId="11" fillId="0" borderId="0" xfId="0" applyNumberFormat="1" applyFont="1"/>
    <xf numFmtId="43" fontId="11" fillId="0" borderId="0" xfId="0" applyNumberFormat="1" applyFont="1"/>
    <xf numFmtId="170" fontId="11" fillId="0" borderId="0" xfId="0" applyNumberFormat="1" applyFont="1"/>
    <xf numFmtId="167" fontId="11" fillId="0" borderId="2" xfId="1" applyNumberFormat="1" applyFont="1" applyFill="1" applyBorder="1" applyAlignment="1"/>
    <xf numFmtId="0" fontId="32" fillId="7" borderId="2" xfId="0" applyFont="1" applyFill="1" applyBorder="1" applyAlignment="1">
      <alignment horizontal="left"/>
    </xf>
    <xf numFmtId="42" fontId="11" fillId="0" borderId="0" xfId="0" applyNumberFormat="1" applyFont="1"/>
    <xf numFmtId="0" fontId="21" fillId="0" borderId="0" xfId="0" applyFont="1" applyAlignment="1">
      <alignment horizontal="left"/>
    </xf>
    <xf numFmtId="171" fontId="18" fillId="5" borderId="1" xfId="1" applyNumberFormat="1" applyFont="1" applyFill="1" applyAlignment="1">
      <alignment horizontal="center"/>
    </xf>
    <xf numFmtId="177" fontId="18" fillId="5" borderId="1" xfId="1" applyNumberFormat="1" applyFont="1" applyFill="1" applyAlignment="1">
      <alignment horizontal="center"/>
    </xf>
    <xf numFmtId="0" fontId="21" fillId="0" borderId="2" xfId="0" applyFont="1" applyBorder="1" applyAlignment="1">
      <alignment horizontal="left" indent="1"/>
    </xf>
    <xf numFmtId="165" fontId="19" fillId="0" borderId="2" xfId="0" applyNumberFormat="1" applyFont="1" applyBorder="1"/>
    <xf numFmtId="165" fontId="11" fillId="0" borderId="2" xfId="0" applyNumberFormat="1" applyFont="1" applyBorder="1"/>
    <xf numFmtId="0" fontId="11" fillId="4" borderId="8" xfId="0" applyFont="1" applyFill="1" applyBorder="1"/>
    <xf numFmtId="0" fontId="11" fillId="4" borderId="16" xfId="0" applyFont="1" applyFill="1" applyBorder="1"/>
    <xf numFmtId="0" fontId="11" fillId="4" borderId="9" xfId="0" applyFont="1" applyFill="1" applyBorder="1"/>
    <xf numFmtId="0" fontId="11" fillId="0" borderId="17" xfId="0" applyFont="1" applyBorder="1"/>
    <xf numFmtId="0" fontId="11" fillId="0" borderId="11" xfId="0" applyFont="1" applyBorder="1"/>
    <xf numFmtId="183" fontId="11" fillId="0" borderId="0" xfId="0" applyNumberFormat="1" applyFont="1"/>
    <xf numFmtId="165" fontId="11" fillId="0" borderId="17" xfId="0" applyNumberFormat="1" applyFont="1" applyBorder="1"/>
    <xf numFmtId="165" fontId="11" fillId="0" borderId="11" xfId="0" applyNumberFormat="1" applyFont="1" applyBorder="1"/>
    <xf numFmtId="174" fontId="11" fillId="0" borderId="17" xfId="0" applyNumberFormat="1" applyFont="1" applyBorder="1"/>
    <xf numFmtId="174" fontId="11" fillId="0" borderId="11" xfId="0" applyNumberFormat="1" applyFont="1" applyBorder="1"/>
    <xf numFmtId="165" fontId="11" fillId="0" borderId="19" xfId="0" applyNumberFormat="1" applyFont="1" applyBorder="1"/>
    <xf numFmtId="165" fontId="11" fillId="0" borderId="13" xfId="0" applyNumberFormat="1" applyFont="1" applyBorder="1"/>
    <xf numFmtId="0" fontId="11" fillId="4" borderId="19" xfId="0" applyFont="1" applyFill="1" applyBorder="1"/>
    <xf numFmtId="0" fontId="11" fillId="4" borderId="13" xfId="0" applyFont="1" applyFill="1" applyBorder="1"/>
    <xf numFmtId="0" fontId="11" fillId="0" borderId="0" xfId="0" applyFont="1" applyAlignment="1">
      <alignment horizontal="left"/>
    </xf>
    <xf numFmtId="173" fontId="11" fillId="0" borderId="0" xfId="0" applyNumberFormat="1" applyFont="1"/>
    <xf numFmtId="173" fontId="11" fillId="0" borderId="17" xfId="0" applyNumberFormat="1" applyFont="1" applyBorder="1"/>
    <xf numFmtId="173" fontId="11" fillId="0" borderId="11" xfId="0" applyNumberFormat="1" applyFont="1" applyBorder="1"/>
    <xf numFmtId="171" fontId="11" fillId="0" borderId="17" xfId="0" applyNumberFormat="1" applyFont="1" applyBorder="1"/>
    <xf numFmtId="171" fontId="11" fillId="0" borderId="0" xfId="0" applyNumberFormat="1" applyFont="1"/>
    <xf numFmtId="171" fontId="11" fillId="0" borderId="11" xfId="0" applyNumberFormat="1" applyFont="1" applyBorder="1"/>
    <xf numFmtId="0" fontId="11" fillId="0" borderId="2" xfId="0" applyFont="1" applyBorder="1" applyAlignment="1">
      <alignment horizontal="left" indent="2"/>
    </xf>
    <xf numFmtId="0" fontId="11" fillId="0" borderId="19" xfId="0" applyFont="1" applyBorder="1"/>
    <xf numFmtId="0" fontId="11" fillId="0" borderId="13" xfId="0" applyFont="1" applyBorder="1"/>
    <xf numFmtId="0" fontId="11" fillId="0" borderId="7" xfId="0" applyFont="1" applyBorder="1"/>
    <xf numFmtId="0" fontId="11" fillId="0" borderId="18" xfId="0" applyFont="1" applyBorder="1"/>
    <xf numFmtId="0" fontId="11" fillId="8" borderId="6" xfId="0" applyFont="1" applyFill="1" applyBorder="1" applyAlignment="1">
      <alignment horizontal="left" indent="1"/>
    </xf>
    <xf numFmtId="0" fontId="11" fillId="8" borderId="6" xfId="0" applyFont="1" applyFill="1" applyBorder="1"/>
    <xf numFmtId="165" fontId="11" fillId="8" borderId="6" xfId="0" applyNumberFormat="1" applyFont="1" applyFill="1" applyBorder="1"/>
    <xf numFmtId="0" fontId="11" fillId="8" borderId="8" xfId="0" applyFont="1" applyFill="1" applyBorder="1" applyAlignment="1">
      <alignment horizontal="left" indent="1"/>
    </xf>
    <xf numFmtId="165" fontId="11" fillId="4" borderId="8" xfId="0" applyNumberFormat="1" applyFont="1" applyFill="1" applyBorder="1"/>
    <xf numFmtId="165" fontId="11" fillId="4" borderId="16" xfId="0" applyNumberFormat="1" applyFont="1" applyFill="1" applyBorder="1"/>
    <xf numFmtId="165" fontId="11" fillId="4" borderId="9" xfId="0" applyNumberFormat="1" applyFont="1" applyFill="1" applyBorder="1"/>
    <xf numFmtId="165" fontId="11" fillId="8" borderId="7" xfId="0" applyNumberFormat="1" applyFont="1" applyFill="1" applyBorder="1"/>
    <xf numFmtId="165" fontId="11" fillId="8" borderId="18" xfId="0" applyNumberFormat="1" applyFont="1" applyFill="1" applyBorder="1"/>
    <xf numFmtId="0" fontId="11" fillId="8" borderId="0" xfId="0" applyFont="1" applyFill="1" applyAlignment="1">
      <alignment horizontal="left" indent="1"/>
    </xf>
    <xf numFmtId="165" fontId="11" fillId="8" borderId="17" xfId="0" applyNumberFormat="1" applyFont="1" applyFill="1" applyBorder="1"/>
    <xf numFmtId="165" fontId="11" fillId="8" borderId="0" xfId="0" applyNumberFormat="1" applyFont="1" applyFill="1"/>
    <xf numFmtId="165" fontId="11" fillId="8" borderId="11" xfId="0" applyNumberFormat="1" applyFont="1" applyFill="1" applyBorder="1"/>
    <xf numFmtId="0" fontId="11" fillId="8" borderId="2" xfId="0" applyFont="1" applyFill="1" applyBorder="1" applyAlignment="1">
      <alignment horizontal="left" indent="1"/>
    </xf>
    <xf numFmtId="165" fontId="11" fillId="8" borderId="19" xfId="0" applyNumberFormat="1" applyFont="1" applyFill="1" applyBorder="1"/>
    <xf numFmtId="165" fontId="11" fillId="8" borderId="13" xfId="0" applyNumberFormat="1" applyFont="1" applyFill="1" applyBorder="1"/>
    <xf numFmtId="165" fontId="11" fillId="8" borderId="2" xfId="0" applyNumberFormat="1" applyFont="1" applyFill="1" applyBorder="1"/>
    <xf numFmtId="0" fontId="11" fillId="0" borderId="0" xfId="0" applyFont="1" applyAlignment="1">
      <alignment horizontal="left" indent="2"/>
    </xf>
    <xf numFmtId="171" fontId="11" fillId="0" borderId="2" xfId="0" applyNumberFormat="1" applyFont="1" applyBorder="1" applyAlignment="1">
      <alignment horizontal="center"/>
    </xf>
    <xf numFmtId="171" fontId="11" fillId="0" borderId="0" xfId="0" applyNumberFormat="1" applyFont="1" applyAlignment="1">
      <alignment horizontal="center"/>
    </xf>
    <xf numFmtId="179" fontId="11" fillId="0" borderId="0" xfId="0" applyNumberFormat="1" applyFont="1"/>
    <xf numFmtId="0" fontId="11" fillId="0" borderId="0" xfId="0" applyFont="1" applyAlignment="1">
      <alignment horizontal="left" indent="3"/>
    </xf>
    <xf numFmtId="167" fontId="21" fillId="0" borderId="0" xfId="1" applyNumberFormat="1" applyFont="1" applyFill="1" applyBorder="1"/>
    <xf numFmtId="184" fontId="29" fillId="5" borderId="1" xfId="1" applyNumberFormat="1" applyFont="1" applyFill="1" applyAlignment="1"/>
    <xf numFmtId="184" fontId="21" fillId="0" borderId="0" xfId="1" applyNumberFormat="1" applyFont="1" applyFill="1" applyBorder="1"/>
    <xf numFmtId="41" fontId="11" fillId="5" borderId="1" xfId="0" applyNumberFormat="1" applyFont="1" applyFill="1" applyBorder="1"/>
    <xf numFmtId="0" fontId="11" fillId="0" borderId="24" xfId="0" applyFont="1" applyBorder="1"/>
    <xf numFmtId="184" fontId="21" fillId="0" borderId="24" xfId="1" applyNumberFormat="1" applyFont="1" applyFill="1" applyBorder="1"/>
    <xf numFmtId="37" fontId="29" fillId="5" borderId="25" xfId="1" applyNumberFormat="1" applyFont="1" applyFill="1" applyBorder="1" applyAlignment="1"/>
    <xf numFmtId="37" fontId="29" fillId="5" borderId="20" xfId="1" applyNumberFormat="1" applyFont="1" applyFill="1" applyBorder="1" applyAlignment="1"/>
    <xf numFmtId="37" fontId="29" fillId="5" borderId="26" xfId="1" applyNumberFormat="1" applyFont="1" applyFill="1" applyBorder="1" applyAlignment="1"/>
    <xf numFmtId="37" fontId="29" fillId="5" borderId="1" xfId="1" applyNumberFormat="1" applyFont="1" applyFill="1" applyAlignment="1"/>
    <xf numFmtId="185" fontId="11" fillId="0" borderId="0" xfId="0" applyNumberFormat="1" applyFont="1"/>
    <xf numFmtId="178" fontId="18" fillId="5" borderId="1" xfId="1" applyNumberFormat="1" applyFont="1" applyFill="1" applyAlignment="1">
      <alignment horizontal="center"/>
    </xf>
    <xf numFmtId="0" fontId="11" fillId="8" borderId="18" xfId="0" applyFont="1" applyFill="1" applyBorder="1"/>
    <xf numFmtId="0" fontId="11" fillId="8" borderId="0" xfId="0" applyFont="1" applyFill="1"/>
    <xf numFmtId="165" fontId="18" fillId="8" borderId="11" xfId="0" applyNumberFormat="1" applyFont="1" applyFill="1" applyBorder="1"/>
    <xf numFmtId="0" fontId="11" fillId="10" borderId="0" xfId="0" applyFont="1" applyFill="1" applyAlignment="1">
      <alignment horizontal="left" indent="1"/>
    </xf>
    <xf numFmtId="0" fontId="20" fillId="10" borderId="0" xfId="0" applyFont="1" applyFill="1" applyAlignment="1">
      <alignment horizontal="center"/>
    </xf>
    <xf numFmtId="165" fontId="18" fillId="10" borderId="0" xfId="0" applyNumberFormat="1" applyFont="1" applyFill="1"/>
    <xf numFmtId="165" fontId="11" fillId="10" borderId="17" xfId="0" applyNumberFormat="1" applyFont="1" applyFill="1" applyBorder="1"/>
    <xf numFmtId="165" fontId="11" fillId="10" borderId="0" xfId="0" applyNumberFormat="1" applyFont="1" applyFill="1"/>
    <xf numFmtId="165" fontId="11" fillId="10" borderId="11" xfId="0" applyNumberFormat="1" applyFont="1" applyFill="1" applyBorder="1"/>
    <xf numFmtId="0" fontId="20" fillId="0" borderId="8" xfId="0" applyFont="1" applyBorder="1" applyAlignment="1">
      <alignment horizontal="center"/>
    </xf>
    <xf numFmtId="0" fontId="11" fillId="8" borderId="11" xfId="0" applyFont="1" applyFill="1" applyBorder="1"/>
    <xf numFmtId="165" fontId="11" fillId="0" borderId="6" xfId="0" applyNumberFormat="1" applyFont="1" applyBorder="1"/>
    <xf numFmtId="165" fontId="11" fillId="0" borderId="7" xfId="0" applyNumberFormat="1" applyFont="1" applyBorder="1"/>
    <xf numFmtId="165" fontId="11" fillId="0" borderId="18" xfId="0" applyNumberFormat="1" applyFont="1" applyBorder="1"/>
    <xf numFmtId="0" fontId="10" fillId="0" borderId="0" xfId="0" applyFont="1" applyAlignment="1">
      <alignment horizontal="left" indent="1"/>
    </xf>
    <xf numFmtId="0" fontId="10" fillId="0" borderId="8" xfId="0" applyFont="1" applyBorder="1" applyAlignment="1">
      <alignment horizontal="left" indent="1"/>
    </xf>
    <xf numFmtId="165" fontId="18" fillId="0" borderId="8" xfId="0" applyNumberFormat="1" applyFont="1" applyBorder="1"/>
    <xf numFmtId="165" fontId="11" fillId="0" borderId="9" xfId="0" applyNumberFormat="1" applyFont="1" applyBorder="1"/>
    <xf numFmtId="165" fontId="11" fillId="0" borderId="8" xfId="0" applyNumberFormat="1" applyFont="1" applyBorder="1"/>
    <xf numFmtId="0" fontId="10" fillId="8" borderId="6" xfId="0" applyFont="1" applyFill="1" applyBorder="1" applyAlignment="1">
      <alignment horizontal="left" indent="1"/>
    </xf>
    <xf numFmtId="0" fontId="10" fillId="8" borderId="2" xfId="0" applyFont="1" applyFill="1" applyBorder="1" applyAlignment="1">
      <alignment horizontal="left" indent="1"/>
    </xf>
    <xf numFmtId="0" fontId="10" fillId="0" borderId="6" xfId="0" applyFont="1" applyBorder="1" applyAlignment="1">
      <alignment horizontal="left" indent="1"/>
    </xf>
    <xf numFmtId="165" fontId="18" fillId="0" borderId="6" xfId="0" applyNumberFormat="1" applyFont="1" applyBorder="1"/>
    <xf numFmtId="0" fontId="9" fillId="0" borderId="0" xfId="0" applyFont="1"/>
    <xf numFmtId="0" fontId="9" fillId="0" borderId="0" xfId="0" applyFont="1" applyAlignment="1">
      <alignment horizontal="left" indent="1"/>
    </xf>
    <xf numFmtId="165" fontId="9" fillId="0" borderId="0" xfId="0" applyNumberFormat="1" applyFont="1"/>
    <xf numFmtId="170" fontId="18" fillId="5" borderId="1" xfId="0" applyNumberFormat="1" applyFont="1" applyFill="1" applyBorder="1" applyAlignment="1">
      <alignment horizontal="center"/>
    </xf>
    <xf numFmtId="170" fontId="18" fillId="5" borderId="15" xfId="0" applyNumberFormat="1" applyFont="1" applyFill="1" applyBorder="1" applyAlignment="1">
      <alignment horizontal="center"/>
    </xf>
    <xf numFmtId="170" fontId="14" fillId="0" borderId="6" xfId="0" applyNumberFormat="1" applyFont="1" applyBorder="1" applyAlignment="1">
      <alignment horizontal="center"/>
    </xf>
    <xf numFmtId="0" fontId="9" fillId="8" borderId="0" xfId="0" applyFont="1" applyFill="1" applyAlignment="1">
      <alignment horizontal="left" indent="1"/>
    </xf>
    <xf numFmtId="174" fontId="14" fillId="10" borderId="17" xfId="0" applyNumberFormat="1" applyFont="1" applyFill="1" applyBorder="1"/>
    <xf numFmtId="174" fontId="14" fillId="10" borderId="0" xfId="0" applyNumberFormat="1" applyFont="1" applyFill="1"/>
    <xf numFmtId="174" fontId="14" fillId="10" borderId="11" xfId="0" applyNumberFormat="1" applyFont="1" applyFill="1" applyBorder="1"/>
    <xf numFmtId="0" fontId="9" fillId="10" borderId="6" xfId="0" applyFont="1" applyFill="1" applyBorder="1" applyAlignment="1">
      <alignment horizontal="left" indent="1"/>
    </xf>
    <xf numFmtId="0" fontId="20" fillId="10" borderId="6" xfId="0" applyFont="1" applyFill="1" applyBorder="1" applyAlignment="1">
      <alignment horizontal="center"/>
    </xf>
    <xf numFmtId="165" fontId="21" fillId="10" borderId="6" xfId="0" applyNumberFormat="1" applyFont="1" applyFill="1" applyBorder="1"/>
    <xf numFmtId="174" fontId="14" fillId="10" borderId="7" xfId="0" applyNumberFormat="1" applyFont="1" applyFill="1" applyBorder="1"/>
    <xf numFmtId="174" fontId="14" fillId="10" borderId="6" xfId="0" applyNumberFormat="1" applyFont="1" applyFill="1" applyBorder="1"/>
    <xf numFmtId="174" fontId="14" fillId="10" borderId="18" xfId="0" applyNumberFormat="1" applyFont="1" applyFill="1" applyBorder="1"/>
    <xf numFmtId="0" fontId="9" fillId="10" borderId="0" xfId="0" applyFont="1" applyFill="1" applyAlignment="1">
      <alignment horizontal="left" indent="1"/>
    </xf>
    <xf numFmtId="165" fontId="21" fillId="10" borderId="0" xfId="0" applyNumberFormat="1" applyFont="1" applyFill="1"/>
    <xf numFmtId="0" fontId="9" fillId="10" borderId="2" xfId="0" applyFont="1" applyFill="1" applyBorder="1" applyAlignment="1">
      <alignment horizontal="left" indent="1"/>
    </xf>
    <xf numFmtId="0" fontId="20" fillId="10" borderId="2" xfId="0" applyFont="1" applyFill="1" applyBorder="1" applyAlignment="1">
      <alignment horizontal="center"/>
    </xf>
    <xf numFmtId="174" fontId="14" fillId="10" borderId="19" xfId="0" applyNumberFormat="1" applyFont="1" applyFill="1" applyBorder="1"/>
    <xf numFmtId="174" fontId="14" fillId="10" borderId="2" xfId="0" applyNumberFormat="1" applyFont="1" applyFill="1" applyBorder="1"/>
    <xf numFmtId="174" fontId="14" fillId="10" borderId="13" xfId="0" applyNumberFormat="1" applyFont="1" applyFill="1" applyBorder="1"/>
    <xf numFmtId="0" fontId="9" fillId="10" borderId="8" xfId="0" applyFont="1" applyFill="1" applyBorder="1" applyAlignment="1">
      <alignment horizontal="left" indent="1"/>
    </xf>
    <xf numFmtId="0" fontId="20" fillId="10" borderId="8" xfId="0" applyFont="1" applyFill="1" applyBorder="1" applyAlignment="1">
      <alignment horizontal="center"/>
    </xf>
    <xf numFmtId="165" fontId="18" fillId="10" borderId="8" xfId="0" applyNumberFormat="1" applyFont="1" applyFill="1" applyBorder="1"/>
    <xf numFmtId="174" fontId="14" fillId="10" borderId="16" xfId="0" applyNumberFormat="1" applyFont="1" applyFill="1" applyBorder="1"/>
    <xf numFmtId="174" fontId="14" fillId="10" borderId="8" xfId="0" applyNumberFormat="1" applyFont="1" applyFill="1" applyBorder="1"/>
    <xf numFmtId="174" fontId="14" fillId="10" borderId="9" xfId="0" applyNumberFormat="1" applyFont="1" applyFill="1" applyBorder="1"/>
    <xf numFmtId="0" fontId="34" fillId="0" borderId="0" xfId="0" applyFont="1"/>
    <xf numFmtId="186" fontId="29" fillId="5" borderId="1" xfId="1" applyNumberFormat="1" applyFont="1" applyFill="1" applyAlignment="1"/>
    <xf numFmtId="0" fontId="8" fillId="0" borderId="0" xfId="0" applyFont="1"/>
    <xf numFmtId="3" fontId="21" fillId="0" borderId="0" xfId="0" applyNumberFormat="1" applyFont="1"/>
    <xf numFmtId="0" fontId="8" fillId="0" borderId="0" xfId="0" applyFont="1" applyAlignment="1">
      <alignment horizontal="left"/>
    </xf>
    <xf numFmtId="187" fontId="11" fillId="0" borderId="0" xfId="0" applyNumberFormat="1" applyFont="1"/>
    <xf numFmtId="0" fontId="20" fillId="4" borderId="2" xfId="0" applyFont="1" applyFill="1" applyBorder="1" applyAlignment="1">
      <alignment horizontal="center"/>
    </xf>
    <xf numFmtId="0" fontId="20" fillId="4" borderId="6" xfId="0" applyFont="1" applyFill="1" applyBorder="1" applyAlignment="1">
      <alignment horizontal="center"/>
    </xf>
    <xf numFmtId="165" fontId="21" fillId="5" borderId="1" xfId="0" applyNumberFormat="1" applyFont="1" applyFill="1" applyBorder="1"/>
    <xf numFmtId="9" fontId="11" fillId="0" borderId="0" xfId="0" applyNumberFormat="1" applyFont="1"/>
    <xf numFmtId="169" fontId="14" fillId="4" borderId="2" xfId="0" applyNumberFormat="1" applyFont="1" applyFill="1" applyBorder="1" applyAlignment="1">
      <alignment horizontal="center"/>
    </xf>
    <xf numFmtId="175" fontId="18" fillId="0" borderId="24" xfId="1" applyNumberFormat="1" applyFont="1" applyFill="1" applyBorder="1"/>
    <xf numFmtId="175" fontId="18" fillId="0" borderId="27" xfId="1" applyNumberFormat="1" applyFont="1" applyFill="1" applyBorder="1"/>
    <xf numFmtId="165" fontId="18" fillId="10" borderId="2" xfId="0" applyNumberFormat="1" applyFont="1" applyFill="1" applyBorder="1"/>
    <xf numFmtId="167" fontId="21" fillId="0" borderId="11" xfId="1" applyNumberFormat="1" applyFont="1" applyFill="1" applyBorder="1"/>
    <xf numFmtId="165" fontId="8" fillId="0" borderId="0" xfId="0" applyNumberFormat="1" applyFont="1"/>
    <xf numFmtId="0" fontId="8" fillId="0" borderId="0" xfId="0" applyFont="1" applyAlignment="1">
      <alignment horizontal="left" indent="1"/>
    </xf>
    <xf numFmtId="171" fontId="33" fillId="5" borderId="1" xfId="1" applyNumberFormat="1" applyFont="1" applyFill="1" applyAlignment="1">
      <alignment horizontal="center"/>
    </xf>
    <xf numFmtId="170" fontId="22" fillId="0" borderId="0" xfId="0" applyNumberFormat="1" applyFont="1"/>
    <xf numFmtId="170" fontId="21" fillId="0" borderId="0" xfId="0" applyNumberFormat="1" applyFont="1" applyAlignment="1">
      <alignment horizontal="center"/>
    </xf>
    <xf numFmtId="171" fontId="19" fillId="0" borderId="0" xfId="1" applyNumberFormat="1" applyFont="1" applyFill="1" applyBorder="1" applyAlignment="1">
      <alignment horizontal="center"/>
    </xf>
    <xf numFmtId="171" fontId="14" fillId="0" borderId="0" xfId="0" applyNumberFormat="1" applyFont="1" applyAlignment="1">
      <alignment horizontal="center"/>
    </xf>
    <xf numFmtId="165" fontId="18" fillId="0" borderId="16" xfId="0" applyNumberFormat="1" applyFont="1" applyBorder="1"/>
    <xf numFmtId="165" fontId="18" fillId="0" borderId="7" xfId="0" applyNumberFormat="1" applyFont="1" applyBorder="1"/>
    <xf numFmtId="0" fontId="7" fillId="0" borderId="0" xfId="0" applyFont="1"/>
    <xf numFmtId="37" fontId="18" fillId="5" borderId="1" xfId="0" applyNumberFormat="1" applyFont="1" applyFill="1" applyBorder="1" applyAlignment="1">
      <alignment horizontal="center"/>
    </xf>
    <xf numFmtId="165" fontId="7" fillId="0" borderId="0" xfId="0" applyNumberFormat="1" applyFont="1"/>
    <xf numFmtId="165" fontId="7" fillId="10" borderId="6" xfId="0" applyNumberFormat="1" applyFont="1" applyFill="1" applyBorder="1"/>
    <xf numFmtId="165" fontId="7" fillId="10" borderId="0" xfId="0" applyNumberFormat="1" applyFont="1" applyFill="1"/>
    <xf numFmtId="165" fontId="7" fillId="10" borderId="2" xfId="0" applyNumberFormat="1" applyFont="1" applyFill="1" applyBorder="1"/>
    <xf numFmtId="0" fontId="7" fillId="0" borderId="0" xfId="0" applyFont="1" applyAlignment="1">
      <alignment horizontal="left" indent="1"/>
    </xf>
    <xf numFmtId="170" fontId="21" fillId="0" borderId="19" xfId="0" applyNumberFormat="1" applyFont="1" applyBorder="1"/>
    <xf numFmtId="170" fontId="21" fillId="0" borderId="28" xfId="0" applyNumberFormat="1" applyFont="1" applyBorder="1"/>
    <xf numFmtId="170" fontId="21" fillId="5" borderId="1" xfId="0" applyNumberFormat="1" applyFont="1" applyFill="1" applyBorder="1" applyAlignment="1">
      <alignment horizontal="center"/>
    </xf>
    <xf numFmtId="0" fontId="7" fillId="8" borderId="6" xfId="0" applyFont="1" applyFill="1" applyBorder="1" applyAlignment="1">
      <alignment horizontal="left" indent="1"/>
    </xf>
    <xf numFmtId="0" fontId="6" fillId="0" borderId="0" xfId="0" applyFont="1" applyAlignment="1">
      <alignment horizontal="left"/>
    </xf>
    <xf numFmtId="37" fontId="33" fillId="0" borderId="25" xfId="1" applyNumberFormat="1" applyFont="1" applyFill="1" applyBorder="1" applyAlignment="1"/>
    <xf numFmtId="37" fontId="33" fillId="0" borderId="29" xfId="1" applyNumberFormat="1" applyFont="1" applyFill="1" applyBorder="1" applyAlignment="1"/>
    <xf numFmtId="168" fontId="22" fillId="5" borderId="22" xfId="1" applyNumberFormat="1" applyFont="1" applyFill="1" applyBorder="1"/>
    <xf numFmtId="168" fontId="22" fillId="5" borderId="21" xfId="1" applyNumberFormat="1" applyFont="1" applyFill="1" applyBorder="1"/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5" fillId="0" borderId="0" xfId="0" applyFont="1" applyAlignment="1">
      <alignment horizontal="left" indent="1"/>
    </xf>
    <xf numFmtId="0" fontId="5" fillId="0" borderId="2" xfId="0" applyFont="1" applyBorder="1" applyAlignment="1">
      <alignment horizontal="left" indent="1"/>
    </xf>
    <xf numFmtId="0" fontId="5" fillId="0" borderId="0" xfId="0" applyFont="1"/>
    <xf numFmtId="165" fontId="18" fillId="5" borderId="1" xfId="0" applyNumberFormat="1" applyFont="1" applyFill="1" applyBorder="1" applyAlignment="1">
      <alignment horizontal="center"/>
    </xf>
    <xf numFmtId="0" fontId="11" fillId="10" borderId="0" xfId="0" applyFont="1" applyFill="1"/>
    <xf numFmtId="0" fontId="11" fillId="10" borderId="17" xfId="0" applyFont="1" applyFill="1" applyBorder="1"/>
    <xf numFmtId="0" fontId="11" fillId="10" borderId="11" xfId="0" applyFont="1" applyFill="1" applyBorder="1"/>
    <xf numFmtId="0" fontId="5" fillId="10" borderId="6" xfId="0" applyFont="1" applyFill="1" applyBorder="1" applyAlignment="1">
      <alignment horizontal="left" indent="1"/>
    </xf>
    <xf numFmtId="0" fontId="11" fillId="10" borderId="6" xfId="0" applyFont="1" applyFill="1" applyBorder="1"/>
    <xf numFmtId="0" fontId="11" fillId="10" borderId="7" xfId="0" applyFont="1" applyFill="1" applyBorder="1"/>
    <xf numFmtId="0" fontId="11" fillId="10" borderId="18" xfId="0" applyFont="1" applyFill="1" applyBorder="1"/>
    <xf numFmtId="165" fontId="11" fillId="10" borderId="6" xfId="0" applyNumberFormat="1" applyFont="1" applyFill="1" applyBorder="1"/>
    <xf numFmtId="0" fontId="5" fillId="10" borderId="0" xfId="0" applyFont="1" applyFill="1" applyAlignment="1">
      <alignment horizontal="left" indent="1"/>
    </xf>
    <xf numFmtId="0" fontId="5" fillId="10" borderId="2" xfId="0" applyFont="1" applyFill="1" applyBorder="1" applyAlignment="1">
      <alignment horizontal="left" indent="1"/>
    </xf>
    <xf numFmtId="0" fontId="11" fillId="10" borderId="2" xfId="0" applyFont="1" applyFill="1" applyBorder="1"/>
    <xf numFmtId="0" fontId="11" fillId="10" borderId="19" xfId="0" applyFont="1" applyFill="1" applyBorder="1"/>
    <xf numFmtId="0" fontId="11" fillId="10" borderId="13" xfId="0" applyFont="1" applyFill="1" applyBorder="1"/>
    <xf numFmtId="165" fontId="11" fillId="10" borderId="2" xfId="0" applyNumberFormat="1" applyFont="1" applyFill="1" applyBorder="1"/>
    <xf numFmtId="179" fontId="18" fillId="4" borderId="8" xfId="2" applyNumberFormat="1" applyFont="1" applyFill="1" applyBorder="1" applyAlignment="1">
      <alignment horizontal="center"/>
    </xf>
    <xf numFmtId="179" fontId="21" fillId="4" borderId="8" xfId="2" applyNumberFormat="1" applyFont="1" applyFill="1" applyBorder="1" applyAlignment="1">
      <alignment horizontal="center"/>
    </xf>
    <xf numFmtId="171" fontId="27" fillId="0" borderId="0" xfId="1" applyNumberFormat="1" applyFont="1" applyFill="1" applyBorder="1" applyAlignment="1">
      <alignment horizontal="center"/>
    </xf>
    <xf numFmtId="178" fontId="18" fillId="0" borderId="30" xfId="1" applyNumberFormat="1" applyFont="1" applyFill="1" applyBorder="1" applyAlignment="1">
      <alignment horizontal="center"/>
    </xf>
    <xf numFmtId="171" fontId="18" fillId="0" borderId="31" xfId="1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20" fillId="0" borderId="28" xfId="0" applyFont="1" applyBorder="1" applyAlignment="1">
      <alignment horizontal="center"/>
    </xf>
    <xf numFmtId="0" fontId="4" fillId="0" borderId="0" xfId="0" applyFont="1" applyAlignment="1">
      <alignment horizontal="left" indent="1"/>
    </xf>
    <xf numFmtId="0" fontId="4" fillId="0" borderId="0" xfId="0" applyFont="1"/>
    <xf numFmtId="170" fontId="21" fillId="0" borderId="2" xfId="0" applyNumberFormat="1" applyFont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2" fillId="0" borderId="0" xfId="0" quotePrefix="1" applyFo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2"/>
    </xf>
    <xf numFmtId="0" fontId="1" fillId="0" borderId="0" xfId="0" applyFont="1"/>
    <xf numFmtId="0" fontId="1" fillId="0" borderId="0" xfId="0" quotePrefix="1" applyFont="1"/>
    <xf numFmtId="181" fontId="1" fillId="0" borderId="0" xfId="0" applyNumberFormat="1" applyFont="1"/>
    <xf numFmtId="170" fontId="22" fillId="0" borderId="0" xfId="0" applyNumberFormat="1" applyFont="1" applyAlignment="1">
      <alignment horizontal="center"/>
    </xf>
    <xf numFmtId="171" fontId="19" fillId="0" borderId="2" xfId="1" applyNumberFormat="1" applyFont="1" applyFill="1" applyBorder="1" applyAlignment="1">
      <alignment horizontal="center"/>
    </xf>
    <xf numFmtId="185" fontId="11" fillId="0" borderId="2" xfId="1" applyNumberFormat="1" applyFont="1" applyFill="1" applyBorder="1"/>
    <xf numFmtId="178" fontId="18" fillId="0" borderId="0" xfId="1" applyNumberFormat="1" applyFont="1" applyFill="1" applyBorder="1" applyAlignment="1">
      <alignment horizontal="center"/>
    </xf>
    <xf numFmtId="171" fontId="18" fillId="0" borderId="0" xfId="1" applyNumberFormat="1" applyFont="1" applyFill="1" applyBorder="1" applyAlignment="1">
      <alignment horizontal="center"/>
    </xf>
    <xf numFmtId="41" fontId="18" fillId="5" borderId="23" xfId="0" applyNumberFormat="1" applyFont="1" applyFill="1" applyBorder="1"/>
    <xf numFmtId="3" fontId="11" fillId="0" borderId="0" xfId="0" applyNumberFormat="1" applyFont="1"/>
    <xf numFmtId="41" fontId="21" fillId="5" borderId="23" xfId="0" applyNumberFormat="1" applyFont="1" applyFill="1" applyBorder="1"/>
    <xf numFmtId="37" fontId="11" fillId="0" borderId="0" xfId="0" applyNumberFormat="1" applyFont="1"/>
    <xf numFmtId="0" fontId="1" fillId="0" borderId="0" xfId="0" applyFont="1" applyAlignment="1">
      <alignment horizontal="left"/>
    </xf>
    <xf numFmtId="165" fontId="1" fillId="8" borderId="6" xfId="0" applyNumberFormat="1" applyFont="1" applyFill="1" applyBorder="1"/>
    <xf numFmtId="176" fontId="35" fillId="0" borderId="0" xfId="0" applyNumberFormat="1" applyFont="1"/>
    <xf numFmtId="10" fontId="11" fillId="0" borderId="0" xfId="0" applyNumberFormat="1" applyFont="1"/>
    <xf numFmtId="10" fontId="11" fillId="0" borderId="18" xfId="0" applyNumberFormat="1" applyFont="1" applyBorder="1"/>
    <xf numFmtId="10" fontId="18" fillId="5" borderId="20" xfId="1" applyNumberFormat="1" applyFont="1" applyFill="1" applyBorder="1" applyAlignment="1">
      <alignment horizontal="center"/>
    </xf>
    <xf numFmtId="10" fontId="21" fillId="5" borderId="1" xfId="1" applyNumberFormat="1" applyFont="1" applyFill="1" applyAlignment="1">
      <alignment horizontal="center"/>
    </xf>
    <xf numFmtId="10" fontId="18" fillId="5" borderId="1" xfId="1" applyNumberFormat="1" applyFont="1" applyFill="1" applyAlignment="1">
      <alignment horizontal="center"/>
    </xf>
    <xf numFmtId="184" fontId="33" fillId="5" borderId="1" xfId="1" applyNumberFormat="1" applyFont="1" applyFill="1" applyAlignment="1">
      <alignment horizontal="center"/>
    </xf>
    <xf numFmtId="173" fontId="18" fillId="5" borderId="23" xfId="0" applyNumberFormat="1" applyFont="1" applyFill="1" applyBorder="1" applyAlignment="1">
      <alignment horizontal="center"/>
    </xf>
    <xf numFmtId="184" fontId="29" fillId="5" borderId="1" xfId="1" applyNumberFormat="1" applyFont="1" applyFill="1" applyAlignment="1">
      <alignment horizontal="center"/>
    </xf>
    <xf numFmtId="184" fontId="29" fillId="5" borderId="23" xfId="1" applyNumberFormat="1" applyFont="1" applyFill="1" applyBorder="1" applyAlignment="1">
      <alignment horizontal="center"/>
    </xf>
    <xf numFmtId="184" fontId="29" fillId="5" borderId="26" xfId="1" applyNumberFormat="1" applyFont="1" applyFill="1" applyBorder="1" applyAlignment="1">
      <alignment horizontal="center"/>
    </xf>
    <xf numFmtId="171" fontId="21" fillId="5" borderId="20" xfId="0" applyNumberFormat="1" applyFont="1" applyFill="1" applyBorder="1" applyAlignment="1">
      <alignment horizontal="center"/>
    </xf>
    <xf numFmtId="171" fontId="21" fillId="5" borderId="1" xfId="0" applyNumberFormat="1" applyFont="1" applyFill="1" applyBorder="1" applyAlignment="1">
      <alignment horizontal="center"/>
    </xf>
    <xf numFmtId="165" fontId="1" fillId="0" borderId="0" xfId="0" applyNumberFormat="1" applyFont="1"/>
    <xf numFmtId="171" fontId="11" fillId="0" borderId="13" xfId="0" applyNumberFormat="1" applyFont="1" applyBorder="1"/>
    <xf numFmtId="41" fontId="1" fillId="0" borderId="0" xfId="0" applyNumberFormat="1" applyFont="1"/>
    <xf numFmtId="41" fontId="1" fillId="0" borderId="2" xfId="0" applyNumberFormat="1" applyFont="1" applyBorder="1"/>
    <xf numFmtId="188" fontId="11" fillId="0" borderId="0" xfId="0" applyNumberFormat="1" applyFont="1"/>
    <xf numFmtId="165" fontId="14" fillId="10" borderId="2" xfId="0" applyNumberFormat="1" applyFont="1" applyFill="1" applyBorder="1"/>
    <xf numFmtId="165" fontId="14" fillId="10" borderId="6" xfId="0" applyNumberFormat="1" applyFont="1" applyFill="1" applyBorder="1"/>
    <xf numFmtId="0" fontId="35" fillId="0" borderId="0" xfId="0" applyFont="1" applyAlignment="1">
      <alignment horizontal="center"/>
    </xf>
    <xf numFmtId="189" fontId="11" fillId="0" borderId="0" xfId="0" applyNumberFormat="1" applyFont="1"/>
    <xf numFmtId="0" fontId="13" fillId="6" borderId="10" xfId="2" applyFont="1" applyFill="1" applyBorder="1" applyAlignment="1">
      <alignment vertical="center"/>
    </xf>
    <xf numFmtId="0" fontId="36" fillId="6" borderId="8" xfId="2" applyFont="1" applyFill="1" applyBorder="1" applyAlignment="1">
      <alignment horizontal="centerContinuous"/>
    </xf>
    <xf numFmtId="0" fontId="36" fillId="6" borderId="9" xfId="2" applyFont="1" applyFill="1" applyBorder="1" applyAlignment="1">
      <alignment horizontal="centerContinuous"/>
    </xf>
    <xf numFmtId="0" fontId="13" fillId="6" borderId="10" xfId="2" applyFont="1" applyFill="1" applyBorder="1" applyAlignment="1">
      <alignment horizontal="center" vertical="center" wrapText="1"/>
    </xf>
    <xf numFmtId="0" fontId="13" fillId="6" borderId="12" xfId="2" applyFont="1" applyFill="1" applyBorder="1" applyAlignment="1">
      <alignment horizontal="center" vertical="center" wrapText="1"/>
    </xf>
    <xf numFmtId="189" fontId="29" fillId="5" borderId="1" xfId="1" applyNumberFormat="1" applyFont="1" applyFill="1" applyAlignment="1">
      <alignment horizontal="center"/>
    </xf>
  </cellXfs>
  <cellStyles count="3">
    <cellStyle name="Normal" xfId="0" builtinId="0"/>
    <cellStyle name="Normal 2" xfId="2" xr:uid="{00000000-0005-0000-0000-000001000000}"/>
    <cellStyle name="Note" xfId="1" builtinId="10"/>
  </cellStyles>
  <dxfs count="0"/>
  <tableStyles count="0" defaultTableStyle="TableStyleMedium2" defaultPivotStyle="PivotStyleLight16"/>
  <colors>
    <mruColors>
      <color rgb="FF0000FF"/>
      <color rgb="FFDDEBF6"/>
      <color rgb="FFB2B2B2"/>
      <color rgb="FFD9D9D9"/>
      <color rgb="FFFFFF99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AC429"/>
  <sheetViews>
    <sheetView showGridLines="0" tabSelected="1" zoomScale="85" zoomScaleNormal="85" workbookViewId="0">
      <selection activeCell="E7" sqref="E7"/>
    </sheetView>
  </sheetViews>
  <sheetFormatPr defaultColWidth="9.109375" defaultRowHeight="15.75" customHeight="1" outlineLevelRow="1" outlineLevelCol="1" x14ac:dyDescent="0.3"/>
  <cols>
    <col min="1" max="2" width="2.6640625" style="166" customWidth="1"/>
    <col min="3" max="3" width="49.88671875" style="166" bestFit="1" customWidth="1"/>
    <col min="4" max="4" width="12.6640625" style="166" customWidth="1"/>
    <col min="5" max="9" width="12.6640625" style="166" customWidth="1" outlineLevel="1"/>
    <col min="10" max="15" width="12.6640625" style="166" customWidth="1"/>
    <col min="16" max="16" width="13.77734375" style="166" customWidth="1"/>
    <col min="17" max="24" width="12.6640625" style="166" customWidth="1"/>
    <col min="25" max="16384" width="9.109375" style="166"/>
  </cols>
  <sheetData>
    <row r="2" spans="2:15" ht="15.75" customHeight="1" x14ac:dyDescent="0.35">
      <c r="B2" s="301" t="str">
        <f>Company_Name&amp;" - 3 Hour LBO Modeling Test"</f>
        <v>Great Canadian Gaming Corporation - 3 Hour LBO Modeling Test</v>
      </c>
    </row>
    <row r="3" spans="2:15" ht="15.75" customHeight="1" x14ac:dyDescent="0.3">
      <c r="B3" s="166" t="s">
        <v>183</v>
      </c>
    </row>
    <row r="5" spans="2:15" ht="15.75" customHeight="1" x14ac:dyDescent="0.3">
      <c r="B5" s="4" t="s">
        <v>181</v>
      </c>
      <c r="C5" s="5"/>
      <c r="D5" s="155" t="s">
        <v>34</v>
      </c>
      <c r="E5" s="5"/>
      <c r="F5" s="5"/>
      <c r="G5" s="5"/>
      <c r="H5" s="5"/>
      <c r="I5" s="5"/>
      <c r="J5" s="34" t="str">
        <f>$D$5</f>
        <v>Units:</v>
      </c>
      <c r="K5" s="5"/>
      <c r="L5" s="6"/>
      <c r="M5" s="5"/>
      <c r="N5" s="5"/>
      <c r="O5" s="5"/>
    </row>
    <row r="6" spans="2:15" ht="15.75" customHeight="1" outlineLevel="1" x14ac:dyDescent="0.3"/>
    <row r="7" spans="2:15" ht="15.75" customHeight="1" outlineLevel="1" x14ac:dyDescent="0.3">
      <c r="C7" s="166" t="s">
        <v>0</v>
      </c>
      <c r="D7" s="44" t="s">
        <v>185</v>
      </c>
      <c r="E7" s="32" t="s">
        <v>182</v>
      </c>
      <c r="F7" s="32"/>
      <c r="G7" s="32"/>
    </row>
    <row r="8" spans="2:15" ht="15.75" customHeight="1" outlineLevel="1" x14ac:dyDescent="0.3">
      <c r="C8" s="166" t="s">
        <v>184</v>
      </c>
      <c r="D8" s="44" t="s">
        <v>186</v>
      </c>
      <c r="E8" s="7">
        <v>44196</v>
      </c>
    </row>
    <row r="9" spans="2:15" ht="15.75" customHeight="1" outlineLevel="1" x14ac:dyDescent="0.3">
      <c r="C9" s="166" t="s">
        <v>174</v>
      </c>
      <c r="D9" s="44" t="s">
        <v>53</v>
      </c>
      <c r="E9" s="70">
        <v>1000000</v>
      </c>
      <c r="G9" s="3" t="s">
        <v>193</v>
      </c>
    </row>
    <row r="10" spans="2:15" ht="15.75" customHeight="1" outlineLevel="1" x14ac:dyDescent="0.3">
      <c r="G10" s="3"/>
    </row>
    <row r="11" spans="2:15" ht="15.75" customHeight="1" outlineLevel="1" x14ac:dyDescent="0.3">
      <c r="C11" s="166" t="s">
        <v>187</v>
      </c>
      <c r="D11" s="44" t="s">
        <v>63</v>
      </c>
      <c r="E11" s="154">
        <v>24.08</v>
      </c>
      <c r="G11" s="167"/>
      <c r="H11" s="167"/>
      <c r="I11" s="167"/>
      <c r="J11" s="167"/>
      <c r="K11" s="26"/>
      <c r="L11" s="26" t="s">
        <v>194</v>
      </c>
      <c r="M11" s="167"/>
    </row>
    <row r="12" spans="2:15" ht="15.75" customHeight="1" outlineLevel="1" x14ac:dyDescent="0.3">
      <c r="C12" s="169" t="s">
        <v>188</v>
      </c>
      <c r="D12" s="44" t="s">
        <v>33</v>
      </c>
      <c r="E12" s="156">
        <v>0.86877076411960141</v>
      </c>
      <c r="G12" s="27" t="s">
        <v>195</v>
      </c>
      <c r="H12" s="168"/>
      <c r="I12" s="168"/>
      <c r="J12" s="168"/>
      <c r="K12" s="27" t="s">
        <v>323</v>
      </c>
      <c r="L12" s="27" t="s">
        <v>196</v>
      </c>
      <c r="M12" s="27" t="s">
        <v>197</v>
      </c>
    </row>
    <row r="13" spans="2:15" ht="15.75" customHeight="1" outlineLevel="1" x14ac:dyDescent="0.3">
      <c r="C13" s="166" t="s">
        <v>189</v>
      </c>
      <c r="D13" s="44" t="s">
        <v>63</v>
      </c>
      <c r="E13" s="171">
        <f>Buyer_Share_Price*(1+E12)</f>
        <v>45</v>
      </c>
      <c r="G13" s="169" t="s">
        <v>198</v>
      </c>
      <c r="J13" s="44" t="s">
        <v>192</v>
      </c>
      <c r="K13" s="158">
        <v>0.83399999999999996</v>
      </c>
      <c r="L13" s="55">
        <v>24.07</v>
      </c>
      <c r="M13" s="379">
        <f>IF(Offer_Price&gt;L13,K13-L13*K13/Offer_Price,0)</f>
        <v>0.38790266666666667</v>
      </c>
    </row>
    <row r="14" spans="2:15" ht="15.75" customHeight="1" outlineLevel="1" x14ac:dyDescent="0.3">
      <c r="G14" s="169" t="s">
        <v>202</v>
      </c>
      <c r="J14" s="44" t="s">
        <v>192</v>
      </c>
      <c r="K14" s="158">
        <v>0.85</v>
      </c>
      <c r="L14" s="161">
        <v>29.61</v>
      </c>
      <c r="M14" s="379">
        <f>IF(Offer_Price&gt;L14,K14-L14*K14/Offer_Price,0)</f>
        <v>0.29070000000000007</v>
      </c>
    </row>
    <row r="15" spans="2:15" ht="15.75" customHeight="1" outlineLevel="1" x14ac:dyDescent="0.3">
      <c r="C15" s="166" t="s">
        <v>191</v>
      </c>
      <c r="D15" s="44" t="s">
        <v>192</v>
      </c>
      <c r="E15" s="157">
        <v>55.960779000000002</v>
      </c>
      <c r="G15" s="169" t="s">
        <v>203</v>
      </c>
      <c r="H15" s="176"/>
      <c r="I15" s="176"/>
      <c r="J15" s="45" t="s">
        <v>192</v>
      </c>
      <c r="K15" s="158">
        <v>0.64</v>
      </c>
      <c r="L15" s="161">
        <v>33.79</v>
      </c>
      <c r="M15" s="379">
        <f>IF(Offer_Price&gt;L15,K15-L15*K15/Offer_Price,0)</f>
        <v>0.15943111111111113</v>
      </c>
    </row>
    <row r="16" spans="2:15" ht="15.75" customHeight="1" outlineLevel="1" x14ac:dyDescent="0.3">
      <c r="C16" s="166" t="s">
        <v>205</v>
      </c>
      <c r="D16" s="44" t="s">
        <v>192</v>
      </c>
      <c r="E16" s="173">
        <f>E15+M16+M24</f>
        <v>57.102812777777785</v>
      </c>
      <c r="G16" s="30" t="s">
        <v>199</v>
      </c>
      <c r="J16" s="44" t="s">
        <v>192</v>
      </c>
      <c r="K16" s="159"/>
      <c r="L16" s="172"/>
      <c r="M16" s="159">
        <f>SUM(M13:M15)</f>
        <v>0.83803377777777777</v>
      </c>
    </row>
    <row r="17" spans="3:13" ht="15.75" customHeight="1" outlineLevel="1" x14ac:dyDescent="0.3"/>
    <row r="18" spans="3:13" ht="15.75" customHeight="1" outlineLevel="1" x14ac:dyDescent="0.3">
      <c r="C18" s="8" t="s">
        <v>100</v>
      </c>
      <c r="D18" s="307" t="s">
        <v>175</v>
      </c>
      <c r="E18" s="82">
        <f>E16*Offer_Price</f>
        <v>2569.6265750000002</v>
      </c>
      <c r="G18" s="3" t="s">
        <v>200</v>
      </c>
    </row>
    <row r="19" spans="3:13" ht="15.75" customHeight="1" outlineLevel="1" x14ac:dyDescent="0.3">
      <c r="C19" s="273" t="s">
        <v>254</v>
      </c>
      <c r="D19" s="44" t="s">
        <v>175</v>
      </c>
      <c r="E19" s="47">
        <f>-FY20_Cash</f>
        <v>-434.8</v>
      </c>
    </row>
    <row r="20" spans="3:13" ht="15.75" customHeight="1" outlineLevel="1" x14ac:dyDescent="0.3">
      <c r="C20" s="273" t="s">
        <v>255</v>
      </c>
      <c r="D20" s="44" t="s">
        <v>175</v>
      </c>
      <c r="E20" s="47">
        <f>G206</f>
        <v>1333.9</v>
      </c>
      <c r="G20" s="167"/>
      <c r="H20" s="167"/>
      <c r="I20" s="167"/>
      <c r="J20" s="167"/>
      <c r="K20" s="26"/>
      <c r="L20" s="26" t="s">
        <v>194</v>
      </c>
      <c r="M20" s="167"/>
    </row>
    <row r="21" spans="3:13" ht="15.75" customHeight="1" outlineLevel="1" x14ac:dyDescent="0.3">
      <c r="C21" s="273" t="s">
        <v>256</v>
      </c>
      <c r="D21" s="44" t="s">
        <v>175</v>
      </c>
      <c r="E21" s="174">
        <f>G208</f>
        <v>954.3</v>
      </c>
      <c r="F21" s="174"/>
      <c r="G21" s="27" t="s">
        <v>195</v>
      </c>
      <c r="H21" s="168"/>
      <c r="I21" s="168"/>
      <c r="J21" s="168"/>
      <c r="K21" s="27" t="s">
        <v>323</v>
      </c>
      <c r="L21" s="27" t="s">
        <v>196</v>
      </c>
      <c r="M21" s="27" t="s">
        <v>197</v>
      </c>
    </row>
    <row r="22" spans="3:13" ht="15.75" customHeight="1" outlineLevel="1" x14ac:dyDescent="0.3">
      <c r="C22" s="273" t="s">
        <v>241</v>
      </c>
      <c r="D22" s="44" t="s">
        <v>175</v>
      </c>
      <c r="E22" s="174">
        <f>G213</f>
        <v>107.4</v>
      </c>
      <c r="G22" s="169" t="s">
        <v>201</v>
      </c>
      <c r="J22" s="44" t="s">
        <v>192</v>
      </c>
      <c r="K22" s="158">
        <v>0.185</v>
      </c>
      <c r="L22" s="160" t="s">
        <v>11</v>
      </c>
      <c r="M22" s="170">
        <f>K22</f>
        <v>0.185</v>
      </c>
    </row>
    <row r="23" spans="3:13" ht="15.75" customHeight="1" outlineLevel="1" x14ac:dyDescent="0.3">
      <c r="C23" s="83" t="s">
        <v>20</v>
      </c>
      <c r="D23" s="308" t="s">
        <v>175</v>
      </c>
      <c r="E23" s="84">
        <f>SUM(E18:E22)</f>
        <v>4530.4265749999995</v>
      </c>
      <c r="G23" s="169" t="s">
        <v>204</v>
      </c>
      <c r="H23" s="176"/>
      <c r="I23" s="176"/>
      <c r="J23" s="45" t="s">
        <v>192</v>
      </c>
      <c r="K23" s="158">
        <v>0.11899999999999999</v>
      </c>
      <c r="L23" s="160" t="s">
        <v>11</v>
      </c>
      <c r="M23" s="170">
        <f>K23</f>
        <v>0.11899999999999999</v>
      </c>
    </row>
    <row r="24" spans="3:13" ht="15.75" customHeight="1" outlineLevel="1" x14ac:dyDescent="0.3">
      <c r="G24" s="30" t="s">
        <v>199</v>
      </c>
      <c r="J24" s="44" t="s">
        <v>192</v>
      </c>
      <c r="K24" s="159"/>
      <c r="L24" s="172"/>
      <c r="M24" s="159">
        <f>M23+M22</f>
        <v>0.30399999999999999</v>
      </c>
    </row>
    <row r="25" spans="3:13" ht="15.75" customHeight="1" outlineLevel="1" x14ac:dyDescent="0.3">
      <c r="C25" s="166" t="s">
        <v>22</v>
      </c>
      <c r="D25" s="44" t="s">
        <v>175</v>
      </c>
      <c r="E25" s="174">
        <f>G342</f>
        <v>149.19999999999993</v>
      </c>
    </row>
    <row r="26" spans="3:13" ht="15.75" customHeight="1" outlineLevel="1" x14ac:dyDescent="0.3">
      <c r="C26" s="272" t="s">
        <v>259</v>
      </c>
      <c r="D26" s="44" t="s">
        <v>54</v>
      </c>
      <c r="E26" s="69">
        <f>E23/E25</f>
        <v>30.364789376675613</v>
      </c>
      <c r="G26" s="166" t="s">
        <v>59</v>
      </c>
      <c r="J26" s="44" t="s">
        <v>185</v>
      </c>
      <c r="K26" s="32" t="s">
        <v>61</v>
      </c>
    </row>
    <row r="27" spans="3:13" ht="15.75" customHeight="1" outlineLevel="1" x14ac:dyDescent="0.3">
      <c r="G27" s="166" t="s">
        <v>147</v>
      </c>
      <c r="J27" s="44" t="s">
        <v>175</v>
      </c>
      <c r="K27" s="62">
        <v>200</v>
      </c>
    </row>
    <row r="28" spans="3:13" ht="15.75" customHeight="1" outlineLevel="1" x14ac:dyDescent="0.3">
      <c r="C28" s="272" t="s">
        <v>257</v>
      </c>
      <c r="D28" s="44" t="s">
        <v>175</v>
      </c>
      <c r="E28" s="174">
        <f>F342</f>
        <v>542.39999999999986</v>
      </c>
      <c r="G28" s="166" t="s">
        <v>42</v>
      </c>
      <c r="J28" s="44" t="s">
        <v>33</v>
      </c>
      <c r="K28" s="318">
        <f>AVERAGE(E119:G119)</f>
        <v>0.26045119239422737</v>
      </c>
    </row>
    <row r="29" spans="3:13" ht="15.75" customHeight="1" outlineLevel="1" x14ac:dyDescent="0.3">
      <c r="C29" s="272" t="s">
        <v>258</v>
      </c>
      <c r="D29" s="44" t="s">
        <v>54</v>
      </c>
      <c r="E29" s="69">
        <f>E23/LTM_EBITDA</f>
        <v>8.3525563698377585</v>
      </c>
    </row>
    <row r="30" spans="3:13" ht="15.75" customHeight="1" outlineLevel="1" x14ac:dyDescent="0.3">
      <c r="G30" s="166" t="s">
        <v>153</v>
      </c>
      <c r="J30" s="44" t="s">
        <v>186</v>
      </c>
      <c r="K30" s="135">
        <v>46022</v>
      </c>
    </row>
    <row r="31" spans="3:13" ht="15.75" customHeight="1" outlineLevel="1" x14ac:dyDescent="0.3">
      <c r="C31" s="272" t="s">
        <v>262</v>
      </c>
      <c r="D31" s="44" t="s">
        <v>33</v>
      </c>
      <c r="E31" s="156">
        <v>0.01</v>
      </c>
      <c r="K31" s="148"/>
    </row>
    <row r="32" spans="3:13" ht="15.75" customHeight="1" outlineLevel="1" x14ac:dyDescent="0.3">
      <c r="C32" s="272" t="s">
        <v>263</v>
      </c>
      <c r="D32" s="44" t="s">
        <v>33</v>
      </c>
      <c r="E32" s="156">
        <v>0.02</v>
      </c>
      <c r="G32" s="325" t="s">
        <v>290</v>
      </c>
    </row>
    <row r="33" spans="2:15" ht="15.75" customHeight="1" outlineLevel="1" x14ac:dyDescent="0.3">
      <c r="C33" s="325" t="s">
        <v>287</v>
      </c>
      <c r="D33" s="44" t="s">
        <v>288</v>
      </c>
      <c r="E33" s="326">
        <v>7</v>
      </c>
      <c r="G33" s="169" t="s">
        <v>60</v>
      </c>
      <c r="J33" s="44" t="s">
        <v>54</v>
      </c>
      <c r="K33" s="275">
        <v>10</v>
      </c>
    </row>
    <row r="34" spans="2:15" ht="15.75" customHeight="1" outlineLevel="1" x14ac:dyDescent="0.3">
      <c r="G34" s="169" t="s">
        <v>61</v>
      </c>
      <c r="J34" s="44" t="s">
        <v>54</v>
      </c>
      <c r="K34" s="334">
        <f>(K33+K35)/2</f>
        <v>8.5</v>
      </c>
    </row>
    <row r="35" spans="2:15" ht="15.75" customHeight="1" outlineLevel="1" x14ac:dyDescent="0.3">
      <c r="C35" s="272" t="s">
        <v>264</v>
      </c>
      <c r="D35" s="44" t="s">
        <v>175</v>
      </c>
      <c r="E35" s="302">
        <v>10</v>
      </c>
      <c r="G35" s="175" t="s">
        <v>62</v>
      </c>
      <c r="H35" s="176"/>
      <c r="I35" s="176"/>
      <c r="J35" s="367" t="s">
        <v>54</v>
      </c>
      <c r="K35" s="276">
        <v>7</v>
      </c>
    </row>
    <row r="36" spans="2:15" ht="15.75" customHeight="1" outlineLevel="1" x14ac:dyDescent="0.3">
      <c r="G36" s="3" t="s">
        <v>151</v>
      </c>
      <c r="J36" s="44" t="s">
        <v>54</v>
      </c>
      <c r="K36" s="334" t="s">
        <v>61</v>
      </c>
    </row>
    <row r="38" spans="2:15" ht="15.75" customHeight="1" x14ac:dyDescent="0.3">
      <c r="B38" s="4" t="s">
        <v>1</v>
      </c>
      <c r="C38" s="5"/>
      <c r="D38" s="6"/>
      <c r="E38" s="5"/>
      <c r="F38" s="5"/>
      <c r="G38" s="5"/>
      <c r="H38" s="5"/>
      <c r="I38" s="5"/>
      <c r="J38" s="5"/>
      <c r="K38" s="5"/>
      <c r="L38" s="6"/>
      <c r="M38" s="5"/>
      <c r="N38" s="5"/>
      <c r="O38" s="5"/>
    </row>
    <row r="39" spans="2:15" ht="15.75" customHeight="1" outlineLevel="1" x14ac:dyDescent="0.3"/>
    <row r="40" spans="2:15" ht="15.75" customHeight="1" outlineLevel="1" x14ac:dyDescent="0.3">
      <c r="C40" s="8" t="s">
        <v>27</v>
      </c>
      <c r="D40" s="27" t="s">
        <v>190</v>
      </c>
      <c r="E40" s="27" t="s">
        <v>19</v>
      </c>
      <c r="F40" s="26" t="s">
        <v>26</v>
      </c>
      <c r="H40" s="8" t="s">
        <v>24</v>
      </c>
      <c r="I40" s="168"/>
      <c r="J40" s="168"/>
      <c r="K40" s="27" t="str">
        <f>+$D$40</f>
        <v>$ M CAD</v>
      </c>
      <c r="L40" s="27" t="s">
        <v>19</v>
      </c>
    </row>
    <row r="41" spans="2:15" ht="15.75" customHeight="1" outlineLevel="1" x14ac:dyDescent="0.3">
      <c r="C41" s="169" t="s">
        <v>13</v>
      </c>
      <c r="D41" s="177">
        <f>E41*LTM_EBITDA</f>
        <v>0</v>
      </c>
      <c r="E41" s="418">
        <v>0</v>
      </c>
      <c r="F41" s="321">
        <f>D41/$D$48</f>
        <v>0</v>
      </c>
      <c r="H41" s="273" t="s">
        <v>100</v>
      </c>
      <c r="K41" s="68">
        <f>E18</f>
        <v>2569.6265750000002</v>
      </c>
      <c r="L41" s="320">
        <f>K41/LTM_EBITDA</f>
        <v>4.7375121220501493</v>
      </c>
    </row>
    <row r="42" spans="2:15" ht="15.75" customHeight="1" outlineLevel="1" x14ac:dyDescent="0.3">
      <c r="C42" s="169" t="s">
        <v>98</v>
      </c>
      <c r="D42" s="247">
        <f>E42*LTM_EBITDA</f>
        <v>813.5999999999998</v>
      </c>
      <c r="E42" s="418">
        <v>1.5</v>
      </c>
      <c r="F42" s="321">
        <f t="shared" ref="F42:F47" si="0">D42/$D$48</f>
        <v>0.20373295869887201</v>
      </c>
      <c r="H42" s="273" t="s">
        <v>260</v>
      </c>
      <c r="K42" s="174">
        <f>E20</f>
        <v>1333.9</v>
      </c>
      <c r="L42" s="320">
        <f>K42/LTM_EBITDA</f>
        <v>2.4592551622418886</v>
      </c>
    </row>
    <row r="43" spans="2:15" ht="15.75" customHeight="1" outlineLevel="1" x14ac:dyDescent="0.3">
      <c r="C43" s="169" t="s">
        <v>99</v>
      </c>
      <c r="D43" s="247">
        <f>E43*LTM_EBITDA</f>
        <v>813.5999999999998</v>
      </c>
      <c r="E43" s="418">
        <v>1.5</v>
      </c>
      <c r="F43" s="321">
        <f t="shared" si="0"/>
        <v>0.20373295869887201</v>
      </c>
      <c r="H43" s="169" t="s">
        <v>18</v>
      </c>
      <c r="K43" s="47">
        <f>E35+E31*E18</f>
        <v>35.696265750000002</v>
      </c>
      <c r="L43" s="320">
        <f>K43/LTM_EBITDA</f>
        <v>6.581169939159294E-2</v>
      </c>
    </row>
    <row r="44" spans="2:15" ht="15.75" customHeight="1" outlineLevel="1" x14ac:dyDescent="0.3">
      <c r="C44" s="169" t="s">
        <v>58</v>
      </c>
      <c r="D44" s="247">
        <f>E44*LTM_EBITDA</f>
        <v>1084.7999999999997</v>
      </c>
      <c r="E44" s="418">
        <v>2</v>
      </c>
      <c r="F44" s="321">
        <f t="shared" si="0"/>
        <v>0.27164394493182936</v>
      </c>
      <c r="H44" s="273" t="s">
        <v>261</v>
      </c>
      <c r="K44" s="47">
        <f>E32*SUM(D41:D44)</f>
        <v>54.239999999999981</v>
      </c>
      <c r="L44" s="370">
        <f>K44/LTM_EBITDA</f>
        <v>9.9999999999999992E-2</v>
      </c>
      <c r="N44" s="60"/>
      <c r="O44" s="69"/>
    </row>
    <row r="45" spans="2:15" ht="15.75" customHeight="1" outlineLevel="1" x14ac:dyDescent="0.3">
      <c r="C45" s="169" t="s">
        <v>101</v>
      </c>
      <c r="D45" s="247">
        <f>E45*LTM_EBITDA</f>
        <v>108.47999999999998</v>
      </c>
      <c r="E45" s="418">
        <v>0.2</v>
      </c>
      <c r="F45" s="321">
        <f t="shared" si="0"/>
        <v>2.7164394493182933E-2</v>
      </c>
      <c r="H45" s="28" t="s">
        <v>9</v>
      </c>
      <c r="I45" s="172"/>
      <c r="J45" s="172"/>
      <c r="K45" s="59">
        <f>SUM(K41:K44)</f>
        <v>3993.4628407499999</v>
      </c>
      <c r="L45" s="380"/>
      <c r="N45" s="174"/>
      <c r="O45" s="69"/>
    </row>
    <row r="46" spans="2:15" ht="15.75" customHeight="1" outlineLevel="1" x14ac:dyDescent="0.3">
      <c r="C46" s="368" t="s">
        <v>324</v>
      </c>
      <c r="D46" s="247">
        <f>-E19-Min_Cash</f>
        <v>234.8</v>
      </c>
      <c r="E46" s="320"/>
      <c r="F46" s="321">
        <f t="shared" si="0"/>
        <v>5.8796089850657769E-2</v>
      </c>
      <c r="H46" s="64"/>
      <c r="K46" s="56"/>
      <c r="L46" s="319"/>
      <c r="N46" s="174"/>
      <c r="O46" s="69"/>
    </row>
    <row r="47" spans="2:15" ht="15.75" customHeight="1" outlineLevel="1" x14ac:dyDescent="0.3">
      <c r="C47" s="368" t="s">
        <v>326</v>
      </c>
      <c r="D47" s="382">
        <f>K45-SUM(D41:D46)</f>
        <v>938.18284075000065</v>
      </c>
      <c r="E47" s="370"/>
      <c r="F47" s="381">
        <f t="shared" si="0"/>
        <v>0.23492965332658597</v>
      </c>
    </row>
    <row r="48" spans="2:15" ht="15.75" customHeight="1" outlineLevel="1" x14ac:dyDescent="0.3">
      <c r="C48" s="28" t="s">
        <v>8</v>
      </c>
      <c r="D48" s="59">
        <f>SUM(D41:D47)</f>
        <v>3993.4628407499999</v>
      </c>
      <c r="E48" s="277"/>
      <c r="F48" s="322"/>
      <c r="H48" s="177"/>
      <c r="K48" s="178"/>
      <c r="N48" s="178"/>
    </row>
    <row r="49" spans="2:15" ht="15.75" customHeight="1" outlineLevel="1" x14ac:dyDescent="0.3"/>
    <row r="50" spans="2:15" ht="15.75" customHeight="1" outlineLevel="1" x14ac:dyDescent="0.3">
      <c r="C50" s="8" t="s">
        <v>55</v>
      </c>
      <c r="D50" s="27" t="str">
        <f>+$D$40</f>
        <v>$ M CAD</v>
      </c>
      <c r="E50" s="27" t="s">
        <v>33</v>
      </c>
      <c r="G50" s="179"/>
    </row>
    <row r="51" spans="2:15" ht="15.75" customHeight="1" outlineLevel="1" x14ac:dyDescent="0.3">
      <c r="C51" s="169" t="s">
        <v>32</v>
      </c>
      <c r="D51" s="177">
        <f>D45</f>
        <v>108.47999999999998</v>
      </c>
      <c r="E51" s="53">
        <f>Mgmt_Equity/Total_Equity</f>
        <v>0.1036436909542591</v>
      </c>
    </row>
    <row r="52" spans="2:15" ht="15.75" customHeight="1" outlineLevel="1" x14ac:dyDescent="0.3">
      <c r="C52" s="169" t="s">
        <v>56</v>
      </c>
      <c r="D52" s="174">
        <f>D47</f>
        <v>938.18284075000065</v>
      </c>
      <c r="E52" s="180">
        <f>Sponsor_Equity/Total_Equity</f>
        <v>0.89635630904574082</v>
      </c>
    </row>
    <row r="53" spans="2:15" ht="15.75" customHeight="1" outlineLevel="1" x14ac:dyDescent="0.3">
      <c r="C53" s="28" t="s">
        <v>57</v>
      </c>
      <c r="D53" s="59">
        <f>Sponsor_Equity+Mgmt_Equity</f>
        <v>1046.6628407500007</v>
      </c>
      <c r="E53" s="33">
        <f>SUM(E51:E52)</f>
        <v>0.99999999999999989</v>
      </c>
    </row>
    <row r="55" spans="2:15" ht="15.75" customHeight="1" x14ac:dyDescent="0.3">
      <c r="B55" s="4" t="s">
        <v>21</v>
      </c>
      <c r="C55" s="5"/>
      <c r="D55" s="6"/>
      <c r="E55" s="5"/>
      <c r="F55" s="5"/>
      <c r="G55" s="5"/>
      <c r="H55" s="5"/>
      <c r="I55" s="5"/>
      <c r="J55" s="5"/>
      <c r="K55" s="5"/>
      <c r="L55" s="6"/>
      <c r="M55" s="5"/>
      <c r="N55" s="5"/>
      <c r="O55" s="5"/>
    </row>
    <row r="56" spans="2:15" ht="15.75" customHeight="1" outlineLevel="1" x14ac:dyDescent="0.3"/>
    <row r="57" spans="2:15" ht="15.75" customHeight="1" outlineLevel="1" x14ac:dyDescent="0.3">
      <c r="C57" s="10"/>
      <c r="D57" s="26" t="s">
        <v>285</v>
      </c>
      <c r="E57" s="26" t="s">
        <v>285</v>
      </c>
      <c r="F57" s="26" t="s">
        <v>36</v>
      </c>
      <c r="G57" s="26" t="s">
        <v>10</v>
      </c>
      <c r="H57" s="26" t="s">
        <v>17</v>
      </c>
      <c r="I57" s="26" t="s">
        <v>135</v>
      </c>
    </row>
    <row r="58" spans="2:15" ht="15.75" customHeight="1" outlineLevel="1" x14ac:dyDescent="0.3">
      <c r="C58" s="8" t="s">
        <v>12</v>
      </c>
      <c r="D58" s="27" t="s">
        <v>35</v>
      </c>
      <c r="E58" s="27" t="s">
        <v>15</v>
      </c>
      <c r="F58" s="27" t="s">
        <v>14</v>
      </c>
      <c r="G58" s="27" t="s">
        <v>16</v>
      </c>
      <c r="H58" s="27" t="s">
        <v>217</v>
      </c>
      <c r="I58" s="27" t="s">
        <v>102</v>
      </c>
    </row>
    <row r="59" spans="2:15" ht="15.75" customHeight="1" outlineLevel="1" x14ac:dyDescent="0.3">
      <c r="C59" s="169" t="s">
        <v>13</v>
      </c>
      <c r="D59" s="248">
        <v>0.01</v>
      </c>
      <c r="E59" s="248">
        <v>1.4999999999999999E-2</v>
      </c>
      <c r="G59" s="9"/>
      <c r="H59" s="184">
        <v>0</v>
      </c>
      <c r="I59" s="184">
        <v>1</v>
      </c>
    </row>
    <row r="60" spans="2:15" ht="15.75" customHeight="1" outlineLevel="1" x14ac:dyDescent="0.3">
      <c r="C60" s="169" t="str">
        <f>$C$42</f>
        <v>Term Loan A:</v>
      </c>
      <c r="D60" s="248">
        <v>1.4999999999999999E-2</v>
      </c>
      <c r="E60" s="248">
        <v>0.03</v>
      </c>
      <c r="G60" s="9"/>
      <c r="H60" s="184">
        <v>0.1</v>
      </c>
      <c r="I60" s="184">
        <v>0.5</v>
      </c>
    </row>
    <row r="61" spans="2:15" ht="15.75" customHeight="1" outlineLevel="1" x14ac:dyDescent="0.3">
      <c r="C61" s="169" t="str">
        <f>$C$43</f>
        <v>Term Loan B:</v>
      </c>
      <c r="D61" s="248">
        <v>0.02</v>
      </c>
      <c r="E61" s="248">
        <v>3.5000000000000003E-2</v>
      </c>
      <c r="G61" s="9"/>
      <c r="H61" s="184">
        <v>0.01</v>
      </c>
      <c r="I61" s="184">
        <v>0.5</v>
      </c>
    </row>
    <row r="62" spans="2:15" ht="15.75" customHeight="1" outlineLevel="1" x14ac:dyDescent="0.3">
      <c r="C62" s="169" t="str">
        <f>$C$44</f>
        <v>Subordinated Notes:</v>
      </c>
      <c r="F62" s="248">
        <v>0.06</v>
      </c>
      <c r="G62" s="248">
        <v>0.02</v>
      </c>
      <c r="H62" s="184">
        <v>0</v>
      </c>
      <c r="I62" s="184" t="s">
        <v>11</v>
      </c>
    </row>
    <row r="63" spans="2:15" ht="15.75" customHeight="1" outlineLevel="1" x14ac:dyDescent="0.3">
      <c r="C63" s="343" t="s">
        <v>320</v>
      </c>
      <c r="F63" s="248">
        <v>5.0000000000000001E-3</v>
      </c>
      <c r="G63" s="364"/>
      <c r="H63" s="365"/>
      <c r="I63" s="365"/>
    </row>
    <row r="64" spans="2:15" ht="15.75" customHeight="1" outlineLevel="1" x14ac:dyDescent="0.3">
      <c r="C64" s="343"/>
      <c r="G64" s="383"/>
      <c r="H64" s="384"/>
      <c r="I64" s="384"/>
    </row>
    <row r="65" spans="2:26" ht="15.75" customHeight="1" outlineLevel="1" x14ac:dyDescent="0.3">
      <c r="C65" s="169"/>
      <c r="D65" s="131">
        <f>+K87</f>
        <v>44561</v>
      </c>
      <c r="E65" s="131">
        <f>+L87</f>
        <v>44926</v>
      </c>
      <c r="F65" s="131">
        <f>+M87</f>
        <v>45291</v>
      </c>
      <c r="G65" s="131">
        <f>+N87</f>
        <v>45657</v>
      </c>
      <c r="H65" s="131">
        <f>+O87</f>
        <v>46022</v>
      </c>
    </row>
    <row r="66" spans="2:26" ht="15.75" customHeight="1" outlineLevel="1" x14ac:dyDescent="0.3">
      <c r="C66" s="169" t="s">
        <v>103</v>
      </c>
      <c r="D66" s="70">
        <v>110</v>
      </c>
      <c r="E66" s="70">
        <v>108</v>
      </c>
      <c r="F66" s="70">
        <v>106</v>
      </c>
      <c r="G66" s="70">
        <v>104</v>
      </c>
      <c r="H66" s="70">
        <v>102</v>
      </c>
    </row>
    <row r="68" spans="2:26" ht="15.75" customHeight="1" x14ac:dyDescent="0.3">
      <c r="B68" s="181" t="s">
        <v>107</v>
      </c>
      <c r="C68" s="5"/>
      <c r="D68" s="6"/>
      <c r="E68" s="5"/>
      <c r="F68" s="5"/>
      <c r="G68" s="5"/>
      <c r="H68" s="5"/>
      <c r="I68" s="5"/>
      <c r="J68" s="5"/>
      <c r="K68" s="5"/>
      <c r="L68" s="6"/>
      <c r="M68" s="5"/>
      <c r="N68" s="5"/>
      <c r="O68" s="5"/>
    </row>
    <row r="69" spans="2:26" ht="15.75" customHeight="1" outlineLevel="1" x14ac:dyDescent="0.3"/>
    <row r="70" spans="2:26" ht="15.75" customHeight="1" outlineLevel="1" x14ac:dyDescent="0.3">
      <c r="C70" s="8" t="s">
        <v>108</v>
      </c>
      <c r="D70" s="27"/>
      <c r="E70" s="27" t="str">
        <f>+$D$40</f>
        <v>$ M CAD</v>
      </c>
      <c r="F70" s="182"/>
      <c r="H70" s="8" t="s">
        <v>109</v>
      </c>
      <c r="I70" s="27"/>
      <c r="J70" s="27"/>
      <c r="K70" s="27" t="s">
        <v>110</v>
      </c>
      <c r="L70" s="27" t="str">
        <f>+$D$40</f>
        <v>$ M CAD</v>
      </c>
    </row>
    <row r="71" spans="2:26" ht="15.75" customHeight="1" outlineLevel="1" x14ac:dyDescent="0.3">
      <c r="C71" s="183" t="s">
        <v>111</v>
      </c>
      <c r="E71" s="177">
        <f>E18</f>
        <v>2569.6265750000002</v>
      </c>
      <c r="F71" s="182"/>
      <c r="H71" s="119" t="s">
        <v>112</v>
      </c>
      <c r="K71" s="184">
        <v>0.1</v>
      </c>
      <c r="L71" s="174">
        <f>G190*(K71)</f>
        <v>146.55000000000001</v>
      </c>
    </row>
    <row r="72" spans="2:26" ht="15.75" customHeight="1" outlineLevel="1" x14ac:dyDescent="0.3">
      <c r="C72" s="119" t="s">
        <v>124</v>
      </c>
      <c r="E72" s="174">
        <f>-G212</f>
        <v>-465.2</v>
      </c>
      <c r="F72" s="182"/>
      <c r="H72" s="119" t="s">
        <v>113</v>
      </c>
      <c r="K72" s="185">
        <v>20</v>
      </c>
    </row>
    <row r="73" spans="2:26" ht="15.75" customHeight="1" outlineLevel="1" x14ac:dyDescent="0.3">
      <c r="C73" s="186" t="s">
        <v>125</v>
      </c>
      <c r="D73" s="176"/>
      <c r="E73" s="187">
        <f>G192</f>
        <v>13.5</v>
      </c>
      <c r="F73" s="182"/>
      <c r="H73" s="119" t="s">
        <v>114</v>
      </c>
      <c r="K73" s="178">
        <f>L71/K72</f>
        <v>7.3275000000000006</v>
      </c>
      <c r="L73" s="174"/>
    </row>
    <row r="74" spans="2:26" ht="15.75" customHeight="1" outlineLevel="1" x14ac:dyDescent="0.3">
      <c r="C74" s="64" t="s">
        <v>115</v>
      </c>
      <c r="E74" s="35">
        <f>SUM(E71:E73)</f>
        <v>2117.9265750000004</v>
      </c>
      <c r="F74" s="182"/>
      <c r="H74" s="41"/>
      <c r="L74" s="174"/>
    </row>
    <row r="75" spans="2:26" ht="15.75" customHeight="1" outlineLevel="1" x14ac:dyDescent="0.3">
      <c r="C75" s="41"/>
      <c r="F75" s="182"/>
      <c r="H75" s="8" t="s">
        <v>116</v>
      </c>
      <c r="I75" s="27"/>
      <c r="J75" s="27"/>
      <c r="K75" s="27" t="s">
        <v>110</v>
      </c>
      <c r="L75" s="27" t="str">
        <f>+$D$40</f>
        <v>$ M CAD</v>
      </c>
    </row>
    <row r="76" spans="2:26" ht="15.75" customHeight="1" outlineLevel="1" x14ac:dyDescent="0.3">
      <c r="C76" s="119" t="s">
        <v>126</v>
      </c>
      <c r="E76" s="174">
        <f>-L71</f>
        <v>-146.55000000000001</v>
      </c>
      <c r="F76" s="182"/>
      <c r="H76" s="119" t="s">
        <v>117</v>
      </c>
      <c r="K76" s="174"/>
      <c r="L76" s="177">
        <f>E74</f>
        <v>2117.9265750000004</v>
      </c>
    </row>
    <row r="77" spans="2:26" ht="15.75" customHeight="1" outlineLevel="1" x14ac:dyDescent="0.3">
      <c r="C77" s="119" t="s">
        <v>127</v>
      </c>
      <c r="E77" s="174">
        <f>-(L78+L80)</f>
        <v>-423.58531500000004</v>
      </c>
      <c r="F77" s="182"/>
      <c r="H77" s="41"/>
      <c r="Z77" s="371"/>
    </row>
    <row r="78" spans="2:26" ht="15.75" customHeight="1" outlineLevel="1" x14ac:dyDescent="0.3">
      <c r="C78" s="119" t="s">
        <v>128</v>
      </c>
      <c r="E78" s="174">
        <f>-G207</f>
        <v>-62.6</v>
      </c>
      <c r="F78" s="182"/>
      <c r="H78" s="119" t="s">
        <v>118</v>
      </c>
      <c r="K78" s="184">
        <v>0.15</v>
      </c>
      <c r="L78" s="174">
        <f>L76*K78</f>
        <v>317.68898625000003</v>
      </c>
      <c r="P78" s="371"/>
      <c r="Q78" s="371"/>
      <c r="R78" s="371"/>
      <c r="S78" s="371"/>
      <c r="T78" s="371"/>
      <c r="U78" s="371"/>
      <c r="V78" s="371"/>
      <c r="W78" s="371"/>
      <c r="X78" s="371"/>
      <c r="Y78" s="371"/>
      <c r="Z78" s="371"/>
    </row>
    <row r="79" spans="2:26" ht="15.75" customHeight="1" outlineLevel="1" x14ac:dyDescent="0.3">
      <c r="C79" s="186" t="s">
        <v>129</v>
      </c>
      <c r="D79" s="176"/>
      <c r="E79" s="188">
        <f>K84</f>
        <v>148.49242261780842</v>
      </c>
      <c r="F79" s="182"/>
      <c r="H79" s="41"/>
      <c r="L79" s="174"/>
      <c r="P79" s="371"/>
      <c r="Q79" s="371"/>
      <c r="R79" s="371"/>
      <c r="S79" s="371"/>
      <c r="T79" s="371"/>
      <c r="U79" s="371"/>
      <c r="V79" s="371"/>
      <c r="W79" s="371"/>
      <c r="X79" s="371"/>
      <c r="Y79" s="371"/>
      <c r="Z79" s="371"/>
    </row>
    <row r="80" spans="2:26" ht="15.75" customHeight="1" outlineLevel="1" x14ac:dyDescent="0.3">
      <c r="C80" s="64" t="s">
        <v>120</v>
      </c>
      <c r="E80" s="56">
        <f>SUM(E74:E79)</f>
        <v>1633.6836826178089</v>
      </c>
      <c r="F80" s="182"/>
      <c r="H80" s="119" t="s">
        <v>119</v>
      </c>
      <c r="K80" s="184">
        <v>0.05</v>
      </c>
      <c r="L80" s="174">
        <f>L76*K80</f>
        <v>105.89632875000002</v>
      </c>
      <c r="P80" s="371"/>
      <c r="Q80" s="371"/>
      <c r="R80" s="371"/>
      <c r="S80" s="371"/>
      <c r="T80" s="371"/>
      <c r="U80" s="371"/>
      <c r="V80" s="371"/>
      <c r="W80" s="371"/>
      <c r="X80" s="371"/>
      <c r="Y80" s="371"/>
      <c r="Z80" s="371"/>
    </row>
    <row r="81" spans="2:26" ht="15.75" customHeight="1" outlineLevel="1" x14ac:dyDescent="0.3">
      <c r="F81" s="182"/>
      <c r="H81" s="119" t="s">
        <v>121</v>
      </c>
      <c r="K81" s="185">
        <v>10</v>
      </c>
      <c r="L81" s="174"/>
      <c r="P81" s="371"/>
      <c r="Q81" s="371"/>
      <c r="R81" s="371"/>
      <c r="S81" s="371"/>
      <c r="T81" s="371"/>
      <c r="U81" s="371"/>
      <c r="V81" s="371"/>
      <c r="W81" s="371"/>
      <c r="X81" s="371"/>
      <c r="Y81" s="371"/>
      <c r="Z81" s="371"/>
    </row>
    <row r="82" spans="2:26" ht="15.75" customHeight="1" outlineLevel="1" x14ac:dyDescent="0.3">
      <c r="C82" s="41"/>
      <c r="F82" s="182"/>
      <c r="H82" s="119" t="s">
        <v>122</v>
      </c>
      <c r="K82" s="178">
        <f>L80/K81</f>
        <v>10.589632875000003</v>
      </c>
      <c r="L82" s="174"/>
      <c r="P82" s="371"/>
      <c r="Q82" s="371"/>
      <c r="R82" s="371"/>
      <c r="S82" s="371"/>
      <c r="T82" s="371"/>
      <c r="U82" s="371"/>
      <c r="V82" s="371"/>
      <c r="W82" s="371"/>
      <c r="X82" s="371"/>
      <c r="Y82" s="371"/>
      <c r="Z82" s="371"/>
    </row>
    <row r="83" spans="2:26" ht="15.75" customHeight="1" outlineLevel="1" x14ac:dyDescent="0.3">
      <c r="E83" s="174"/>
      <c r="F83" s="182"/>
      <c r="H83" s="41"/>
      <c r="P83" s="371"/>
      <c r="Q83" s="371"/>
      <c r="R83" s="371"/>
      <c r="S83" s="371"/>
      <c r="T83" s="371"/>
      <c r="U83" s="371"/>
      <c r="V83" s="371"/>
      <c r="W83" s="371"/>
      <c r="X83" s="371"/>
      <c r="Y83" s="371"/>
      <c r="Z83" s="371"/>
    </row>
    <row r="84" spans="2:26" ht="15.75" customHeight="1" outlineLevel="1" x14ac:dyDescent="0.3">
      <c r="H84" s="119" t="s">
        <v>123</v>
      </c>
      <c r="K84" s="174">
        <f>(L80+L78+L71)*Tax_Rate</f>
        <v>148.49242261780842</v>
      </c>
      <c r="L84" s="174"/>
      <c r="P84" s="371"/>
      <c r="Q84" s="371"/>
      <c r="R84" s="371"/>
      <c r="S84" s="371"/>
      <c r="T84" s="371"/>
      <c r="U84" s="371"/>
      <c r="V84" s="371"/>
      <c r="W84" s="371"/>
      <c r="X84" s="371"/>
      <c r="Y84" s="371"/>
      <c r="Z84" s="371"/>
    </row>
    <row r="85" spans="2:26" ht="15.75" customHeight="1" x14ac:dyDescent="0.3">
      <c r="P85" s="371"/>
      <c r="Q85" s="371"/>
      <c r="R85" s="371"/>
      <c r="S85" s="371"/>
      <c r="T85" s="371"/>
      <c r="U85" s="371"/>
      <c r="V85" s="371"/>
      <c r="W85" s="371"/>
      <c r="X85" s="371"/>
      <c r="Y85" s="371"/>
      <c r="Z85" s="371"/>
    </row>
    <row r="86" spans="2:26" ht="15.75" customHeight="1" x14ac:dyDescent="0.3">
      <c r="B86" s="11"/>
      <c r="C86" s="12"/>
      <c r="D86" s="13"/>
      <c r="E86" s="14" t="s">
        <v>2</v>
      </c>
      <c r="F86" s="14"/>
      <c r="G86" s="15"/>
      <c r="H86" s="16" t="s">
        <v>104</v>
      </c>
      <c r="I86" s="15"/>
      <c r="J86" s="15"/>
      <c r="K86" s="16" t="s">
        <v>3</v>
      </c>
      <c r="L86" s="17"/>
      <c r="M86" s="15"/>
      <c r="N86" s="15"/>
      <c r="O86" s="15"/>
      <c r="P86" s="371"/>
      <c r="Q86" s="371"/>
      <c r="R86" s="371"/>
      <c r="S86" s="371"/>
      <c r="T86" s="371"/>
      <c r="U86" s="371"/>
      <c r="V86" s="371"/>
      <c r="W86" s="371"/>
      <c r="X86" s="371"/>
      <c r="Y86" s="371"/>
      <c r="Z86" s="371"/>
    </row>
    <row r="87" spans="2:26" ht="15.75" customHeight="1" x14ac:dyDescent="0.3">
      <c r="B87" s="29" t="s">
        <v>95</v>
      </c>
      <c r="C87" s="18"/>
      <c r="D87" s="34" t="str">
        <f>$D$5</f>
        <v>Units:</v>
      </c>
      <c r="E87" s="1">
        <f>EOMONTH(F87,-12)</f>
        <v>43465</v>
      </c>
      <c r="F87" s="1">
        <f>EOMONTH(G87,-12)</f>
        <v>43830</v>
      </c>
      <c r="G87" s="2">
        <f>Hist_Year</f>
        <v>44196</v>
      </c>
      <c r="H87" s="1" t="s">
        <v>105</v>
      </c>
      <c r="I87" s="1" t="s">
        <v>106</v>
      </c>
      <c r="J87" s="1">
        <f>+G87</f>
        <v>44196</v>
      </c>
      <c r="K87" s="54">
        <f>EOMONTH(G87,12)</f>
        <v>44561</v>
      </c>
      <c r="L87" s="1">
        <f t="shared" ref="L87" si="1">EOMONTH(K87,12)</f>
        <v>44926</v>
      </c>
      <c r="M87" s="1">
        <f t="shared" ref="M87" si="2">EOMONTH(L87,12)</f>
        <v>45291</v>
      </c>
      <c r="N87" s="1">
        <f t="shared" ref="N87" si="3">EOMONTH(M87,12)</f>
        <v>45657</v>
      </c>
      <c r="O87" s="1">
        <f t="shared" ref="O87" si="4">EOMONTH(N87,12)</f>
        <v>46022</v>
      </c>
      <c r="P87" s="371"/>
      <c r="Q87" s="371"/>
      <c r="R87" s="371"/>
      <c r="S87" s="371"/>
      <c r="T87" s="371"/>
      <c r="U87" s="371"/>
      <c r="V87" s="371"/>
      <c r="W87" s="371"/>
      <c r="X87" s="371"/>
      <c r="Y87" s="371"/>
      <c r="Z87" s="371"/>
    </row>
    <row r="88" spans="2:26" ht="15.75" customHeight="1" outlineLevel="1" x14ac:dyDescent="0.3">
      <c r="B88" s="61" t="s">
        <v>64</v>
      </c>
      <c r="C88" s="189"/>
      <c r="D88" s="189"/>
      <c r="E88" s="189"/>
      <c r="F88" s="189"/>
      <c r="G88" s="189"/>
      <c r="H88" s="190"/>
      <c r="I88" s="189"/>
      <c r="J88" s="191"/>
      <c r="K88" s="189"/>
      <c r="L88" s="189"/>
      <c r="M88" s="189"/>
      <c r="N88" s="189"/>
      <c r="O88" s="189"/>
      <c r="P88" s="371"/>
      <c r="Q88" s="371"/>
      <c r="R88" s="371"/>
      <c r="S88" s="371"/>
      <c r="T88" s="371"/>
      <c r="U88" s="371"/>
      <c r="V88" s="371"/>
      <c r="W88" s="371"/>
      <c r="X88" s="371"/>
      <c r="Y88" s="371"/>
      <c r="Z88" s="371"/>
    </row>
    <row r="89" spans="2:26" ht="15.75" customHeight="1" outlineLevel="1" x14ac:dyDescent="0.3">
      <c r="B89" s="3"/>
      <c r="C89" s="303" t="s">
        <v>266</v>
      </c>
      <c r="D89" s="44" t="s">
        <v>209</v>
      </c>
      <c r="E89" s="163">
        <v>2072000</v>
      </c>
      <c r="F89" s="163">
        <v>1731000</v>
      </c>
      <c r="G89" s="163">
        <v>1717700</v>
      </c>
      <c r="H89" s="192"/>
      <c r="K89" s="337">
        <f>G89+K90</f>
        <v>1717700</v>
      </c>
      <c r="L89" s="338">
        <f>K89+L90</f>
        <v>1917700</v>
      </c>
      <c r="M89" s="338">
        <f t="shared" ref="M89:O89" si="5">L89+M90</f>
        <v>1917700</v>
      </c>
      <c r="N89" s="338">
        <f t="shared" si="5"/>
        <v>2167700</v>
      </c>
      <c r="O89" s="338">
        <f t="shared" si="5"/>
        <v>2167700</v>
      </c>
      <c r="P89" s="371"/>
      <c r="Q89" s="371"/>
      <c r="R89" s="371"/>
      <c r="S89" s="371"/>
      <c r="T89" s="371"/>
      <c r="U89" s="371"/>
      <c r="V89" s="371"/>
      <c r="W89" s="371"/>
      <c r="X89" s="371"/>
      <c r="Y89" s="371"/>
      <c r="Z89" s="371"/>
    </row>
    <row r="90" spans="2:26" ht="15.75" customHeight="1" outlineLevel="1" x14ac:dyDescent="0.3">
      <c r="B90" s="3"/>
      <c r="C90" s="369" t="s">
        <v>325</v>
      </c>
      <c r="D90" s="44" t="s">
        <v>209</v>
      </c>
      <c r="H90" s="192"/>
      <c r="J90" s="193"/>
      <c r="K90" s="243">
        <v>0</v>
      </c>
      <c r="L90" s="245">
        <v>200000</v>
      </c>
      <c r="M90" s="246">
        <v>0</v>
      </c>
      <c r="N90" s="244">
        <v>250000</v>
      </c>
      <c r="O90" s="244">
        <v>0</v>
      </c>
      <c r="P90" s="371"/>
      <c r="Q90" s="371"/>
      <c r="R90" s="371"/>
      <c r="S90" s="371"/>
      <c r="T90" s="371"/>
      <c r="U90" s="371"/>
      <c r="V90" s="371"/>
      <c r="W90" s="371"/>
      <c r="X90" s="371"/>
      <c r="Y90" s="371"/>
      <c r="Z90" s="371"/>
    </row>
    <row r="91" spans="2:26" ht="15.75" customHeight="1" outlineLevel="1" x14ac:dyDescent="0.3">
      <c r="B91" s="3"/>
      <c r="H91" s="192"/>
      <c r="J91" s="193"/>
      <c r="P91" s="371"/>
      <c r="Q91" s="371"/>
      <c r="R91" s="371"/>
      <c r="S91" s="371"/>
      <c r="T91" s="371"/>
      <c r="U91" s="371"/>
      <c r="V91" s="371"/>
      <c r="W91" s="371"/>
      <c r="X91" s="371"/>
      <c r="Y91" s="371"/>
      <c r="Z91" s="371"/>
    </row>
    <row r="92" spans="2:26" ht="15.75" customHeight="1" outlineLevel="1" x14ac:dyDescent="0.3">
      <c r="C92" s="166" t="s">
        <v>214</v>
      </c>
      <c r="D92" s="44" t="s">
        <v>33</v>
      </c>
      <c r="E92" s="164">
        <v>1</v>
      </c>
      <c r="F92" s="164">
        <v>1</v>
      </c>
      <c r="G92" s="165">
        <v>0.3</v>
      </c>
      <c r="H92" s="192"/>
      <c r="J92" s="193"/>
      <c r="K92" s="239">
        <f>INDEX(K93:K95,MATCH(Scenario,$C93:$C95,0))</f>
        <v>0.7</v>
      </c>
      <c r="L92" s="239">
        <f>INDEX(L93:L95,MATCH(Scenario,$C93:$C95,0))</f>
        <v>0.9</v>
      </c>
      <c r="M92" s="239">
        <f>INDEX(M93:M95,MATCH(Scenario,$C93:$C95,0))</f>
        <v>1</v>
      </c>
      <c r="N92" s="239">
        <f>INDEX(N93:N95,MATCH(Scenario,$C93:$C95,0))</f>
        <v>1</v>
      </c>
      <c r="O92" s="239">
        <f>INDEX(O93:O95,MATCH(Scenario,$C93:$C95,0))</f>
        <v>1</v>
      </c>
      <c r="P92" s="371"/>
      <c r="Q92" s="371"/>
      <c r="R92" s="371"/>
      <c r="S92" s="371"/>
      <c r="T92" s="371"/>
      <c r="U92" s="371"/>
      <c r="V92" s="371"/>
      <c r="W92" s="371"/>
      <c r="X92" s="371"/>
      <c r="Y92" s="371"/>
      <c r="Z92" s="371"/>
    </row>
    <row r="93" spans="2:26" ht="15.75" customHeight="1" outlineLevel="1" x14ac:dyDescent="0.3">
      <c r="C93" s="169" t="s">
        <v>60</v>
      </c>
      <c r="D93" s="44" t="s">
        <v>33</v>
      </c>
      <c r="G93" s="58"/>
      <c r="H93" s="101"/>
      <c r="I93" s="58"/>
      <c r="J93" s="102"/>
      <c r="K93" s="399">
        <v>0.85</v>
      </c>
      <c r="L93" s="399">
        <v>1</v>
      </c>
      <c r="M93" s="399">
        <v>1</v>
      </c>
      <c r="N93" s="399">
        <v>1</v>
      </c>
      <c r="O93" s="399">
        <v>1</v>
      </c>
      <c r="P93" s="371"/>
      <c r="Q93" s="371"/>
      <c r="R93" s="371"/>
      <c r="S93" s="371"/>
      <c r="T93" s="371"/>
      <c r="U93" s="371"/>
      <c r="V93" s="371"/>
      <c r="W93" s="371"/>
      <c r="X93" s="371"/>
      <c r="Y93" s="371"/>
      <c r="Z93" s="371"/>
    </row>
    <row r="94" spans="2:26" ht="15.75" customHeight="1" outlineLevel="1" x14ac:dyDescent="0.3">
      <c r="C94" s="169" t="s">
        <v>61</v>
      </c>
      <c r="D94" s="44" t="s">
        <v>33</v>
      </c>
      <c r="G94" s="58"/>
      <c r="H94" s="101"/>
      <c r="I94" s="58"/>
      <c r="J94" s="102"/>
      <c r="K94" s="399">
        <v>0.7</v>
      </c>
      <c r="L94" s="399">
        <v>0.9</v>
      </c>
      <c r="M94" s="399">
        <v>1</v>
      </c>
      <c r="N94" s="399">
        <v>1</v>
      </c>
      <c r="O94" s="399">
        <v>1</v>
      </c>
      <c r="P94" s="371"/>
      <c r="Q94" s="371"/>
      <c r="R94" s="371"/>
      <c r="S94" s="371"/>
      <c r="T94" s="371"/>
      <c r="U94" s="371"/>
      <c r="V94" s="371"/>
      <c r="W94" s="371"/>
      <c r="X94" s="371"/>
      <c r="Y94" s="371"/>
      <c r="Z94" s="371"/>
    </row>
    <row r="95" spans="2:26" ht="15.75" customHeight="1" outlineLevel="1" x14ac:dyDescent="0.3">
      <c r="C95" s="169" t="s">
        <v>62</v>
      </c>
      <c r="D95" s="44" t="s">
        <v>33</v>
      </c>
      <c r="G95" s="58"/>
      <c r="H95" s="101"/>
      <c r="I95" s="58"/>
      <c r="J95" s="102"/>
      <c r="K95" s="399">
        <v>0.5</v>
      </c>
      <c r="L95" s="399">
        <v>0.75</v>
      </c>
      <c r="M95" s="399">
        <v>0.9</v>
      </c>
      <c r="N95" s="399">
        <v>1</v>
      </c>
      <c r="O95" s="399">
        <v>1</v>
      </c>
      <c r="P95" s="371"/>
      <c r="Q95" s="371"/>
      <c r="R95" s="371"/>
      <c r="S95" s="371"/>
      <c r="T95" s="371"/>
      <c r="U95" s="371"/>
      <c r="V95" s="371"/>
      <c r="W95" s="371"/>
      <c r="X95" s="371"/>
      <c r="Y95" s="371"/>
      <c r="Z95" s="371"/>
    </row>
    <row r="96" spans="2:26" ht="15.75" customHeight="1" outlineLevel="1" x14ac:dyDescent="0.3">
      <c r="B96" s="3"/>
      <c r="H96" s="192"/>
      <c r="J96" s="193"/>
      <c r="P96" s="371"/>
      <c r="Q96" s="371"/>
      <c r="R96" s="371"/>
      <c r="S96" s="371"/>
      <c r="T96" s="371"/>
      <c r="U96" s="371"/>
      <c r="V96" s="371"/>
      <c r="W96" s="371"/>
      <c r="X96" s="371"/>
      <c r="Y96" s="371"/>
      <c r="Z96" s="371"/>
    </row>
    <row r="97" spans="2:26" ht="15.75" customHeight="1" outlineLevel="1" x14ac:dyDescent="0.3">
      <c r="B97" s="3"/>
      <c r="C97" s="303" t="s">
        <v>265</v>
      </c>
      <c r="D97" s="44" t="s">
        <v>209</v>
      </c>
      <c r="E97" s="304">
        <f>E89*E92</f>
        <v>2072000</v>
      </c>
      <c r="F97" s="304">
        <f t="shared" ref="F97:G97" si="6">F89*F92</f>
        <v>1731000</v>
      </c>
      <c r="G97" s="304">
        <f t="shared" si="6"/>
        <v>515310</v>
      </c>
      <c r="H97" s="192"/>
      <c r="J97" s="193"/>
      <c r="K97" s="304">
        <f>K92*K89</f>
        <v>1202390</v>
      </c>
      <c r="L97" s="304">
        <f t="shared" ref="L97:O97" si="7">L92*L89</f>
        <v>1725930</v>
      </c>
      <c r="M97" s="304">
        <f t="shared" si="7"/>
        <v>1917700</v>
      </c>
      <c r="N97" s="304">
        <f t="shared" si="7"/>
        <v>2167700</v>
      </c>
      <c r="O97" s="304">
        <f t="shared" si="7"/>
        <v>2167700</v>
      </c>
      <c r="P97" s="371"/>
      <c r="Q97" s="371"/>
      <c r="R97" s="371"/>
      <c r="S97" s="371"/>
      <c r="T97" s="371"/>
      <c r="U97" s="371"/>
      <c r="V97" s="371"/>
      <c r="W97" s="371"/>
      <c r="X97" s="371"/>
      <c r="Y97" s="371"/>
      <c r="Z97" s="371"/>
    </row>
    <row r="98" spans="2:26" ht="15.75" customHeight="1" outlineLevel="1" x14ac:dyDescent="0.3">
      <c r="B98" s="3"/>
      <c r="C98" s="166" t="s">
        <v>210</v>
      </c>
      <c r="D98" s="44" t="s">
        <v>211</v>
      </c>
      <c r="E98" s="194">
        <f>E149/E97*Units</f>
        <v>1278.3783783783786</v>
      </c>
      <c r="F98" s="194">
        <f>F149/F97*Units</f>
        <v>1752.744078567302</v>
      </c>
      <c r="G98" s="194">
        <f>G149/G97*Units</f>
        <v>1268.3754582233009</v>
      </c>
      <c r="H98" s="192"/>
      <c r="J98" s="193"/>
      <c r="K98" s="194">
        <f>G98*(1+K100)</f>
        <v>1204.9566853121357</v>
      </c>
      <c r="L98" s="194">
        <f>K98*(1+L100)</f>
        <v>1180.8575516058929</v>
      </c>
      <c r="M98" s="194">
        <f t="shared" ref="M98:O98" si="8">L98*(1+M100)</f>
        <v>1298.9433067664822</v>
      </c>
      <c r="N98" s="194">
        <f t="shared" si="8"/>
        <v>1558.7319681197787</v>
      </c>
      <c r="O98" s="194">
        <f t="shared" si="8"/>
        <v>1949.973692117843</v>
      </c>
      <c r="P98" s="371"/>
      <c r="Q98" s="371"/>
      <c r="R98" s="371"/>
      <c r="S98" s="371"/>
      <c r="T98" s="371"/>
      <c r="U98" s="371"/>
      <c r="V98" s="371"/>
      <c r="W98" s="371"/>
      <c r="X98" s="371"/>
      <c r="Y98" s="371"/>
      <c r="Z98" s="371"/>
    </row>
    <row r="99" spans="2:26" ht="15.75" customHeight="1" outlineLevel="1" x14ac:dyDescent="0.3">
      <c r="B99" s="3"/>
      <c r="D99" s="44"/>
      <c r="E99" s="194"/>
      <c r="F99" s="194"/>
      <c r="G99" s="194"/>
      <c r="H99" s="192"/>
      <c r="K99" s="192"/>
      <c r="P99" s="371"/>
      <c r="Q99" s="371"/>
      <c r="R99" s="371"/>
      <c r="S99" s="371"/>
      <c r="T99" s="371"/>
      <c r="U99" s="371"/>
      <c r="V99" s="371"/>
      <c r="W99" s="371"/>
      <c r="X99" s="371"/>
      <c r="Y99" s="371"/>
      <c r="Z99" s="371"/>
    </row>
    <row r="100" spans="2:26" ht="15.75" customHeight="1" outlineLevel="1" x14ac:dyDescent="0.3">
      <c r="B100" s="3"/>
      <c r="C100" s="166" t="s">
        <v>215</v>
      </c>
      <c r="D100" s="44" t="s">
        <v>33</v>
      </c>
      <c r="E100" s="164">
        <v>-0.22854587829729245</v>
      </c>
      <c r="F100" s="237">
        <f>F97/E97-1</f>
        <v>-0.16457528957528955</v>
      </c>
      <c r="G100" s="237">
        <f>G97/F97-1</f>
        <v>-0.70230502599653377</v>
      </c>
      <c r="H100" s="192"/>
      <c r="K100" s="242">
        <f>INDEX(K101:K103,MATCH(Scenario,$C101:$C103,0))</f>
        <v>-0.05</v>
      </c>
      <c r="L100" s="239">
        <f>INDEX(L101:L103,MATCH(Scenario,$C101:$C103,0))</f>
        <v>-0.02</v>
      </c>
      <c r="M100" s="239">
        <f>INDEX(M101:M103,MATCH(Scenario,$C101:$C103,0))</f>
        <v>0.1</v>
      </c>
      <c r="N100" s="239">
        <f>INDEX(N101:N103,MATCH(Scenario,$C101:$C103,0))</f>
        <v>0.2</v>
      </c>
      <c r="O100" s="239">
        <f>INDEX(O101:O103,MATCH(Scenario,$C101:$C103,0))</f>
        <v>0.251</v>
      </c>
      <c r="P100" s="371"/>
      <c r="Q100" s="371"/>
      <c r="R100" s="371"/>
      <c r="S100" s="371"/>
      <c r="T100" s="371"/>
      <c r="U100" s="371"/>
      <c r="V100" s="371"/>
      <c r="W100" s="371"/>
      <c r="X100" s="371"/>
      <c r="Y100" s="371"/>
      <c r="Z100" s="371"/>
    </row>
    <row r="101" spans="2:26" ht="15.75" customHeight="1" outlineLevel="1" x14ac:dyDescent="0.3">
      <c r="B101" s="3"/>
      <c r="C101" s="169" t="s">
        <v>60</v>
      </c>
      <c r="D101" s="44" t="s">
        <v>33</v>
      </c>
      <c r="E101" s="194"/>
      <c r="F101" s="194"/>
      <c r="G101" s="194"/>
      <c r="H101" s="192"/>
      <c r="K101" s="400">
        <v>0</v>
      </c>
      <c r="L101" s="399">
        <v>0.03</v>
      </c>
      <c r="M101" s="399">
        <v>0.1</v>
      </c>
      <c r="N101" s="401">
        <v>0.2</v>
      </c>
      <c r="O101" s="399">
        <v>0.27600000000000002</v>
      </c>
    </row>
    <row r="102" spans="2:26" ht="15.75" customHeight="1" outlineLevel="1" x14ac:dyDescent="0.3">
      <c r="B102" s="3"/>
      <c r="C102" s="169" t="s">
        <v>61</v>
      </c>
      <c r="D102" s="44" t="s">
        <v>33</v>
      </c>
      <c r="E102" s="194"/>
      <c r="F102" s="194"/>
      <c r="G102" s="194"/>
      <c r="H102" s="192"/>
      <c r="K102" s="400">
        <v>-0.05</v>
      </c>
      <c r="L102" s="399">
        <v>-0.02</v>
      </c>
      <c r="M102" s="399">
        <v>0.1</v>
      </c>
      <c r="N102" s="399">
        <v>0.2</v>
      </c>
      <c r="O102" s="399">
        <v>0.251</v>
      </c>
    </row>
    <row r="103" spans="2:26" ht="15.75" customHeight="1" outlineLevel="1" x14ac:dyDescent="0.3">
      <c r="B103" s="3"/>
      <c r="C103" s="169" t="s">
        <v>62</v>
      </c>
      <c r="D103" s="44" t="s">
        <v>33</v>
      </c>
      <c r="E103" s="194"/>
      <c r="F103" s="194"/>
      <c r="G103" s="194"/>
      <c r="H103" s="192"/>
      <c r="K103" s="400">
        <v>-0.08</v>
      </c>
      <c r="L103" s="399">
        <v>0.01</v>
      </c>
      <c r="M103" s="399">
        <v>0.08</v>
      </c>
      <c r="N103" s="399">
        <v>0.15</v>
      </c>
      <c r="O103" s="399">
        <v>0.19500000000000001</v>
      </c>
    </row>
    <row r="104" spans="2:26" ht="15.75" customHeight="1" outlineLevel="1" x14ac:dyDescent="0.3">
      <c r="B104" s="3"/>
      <c r="D104" s="44"/>
      <c r="E104" s="194"/>
      <c r="F104" s="194"/>
      <c r="G104" s="194"/>
      <c r="H104" s="192"/>
      <c r="K104" s="241"/>
    </row>
    <row r="105" spans="2:26" ht="15.75" customHeight="1" outlineLevel="1" x14ac:dyDescent="0.3">
      <c r="B105" s="3"/>
      <c r="C105" s="166" t="s">
        <v>212</v>
      </c>
      <c r="D105" s="44" t="s">
        <v>211</v>
      </c>
      <c r="E105" s="182">
        <f>E153/E97*Units</f>
        <v>49.710424710424711</v>
      </c>
      <c r="F105" s="182">
        <f>F153/F97*Units</f>
        <v>63.835932986712884</v>
      </c>
      <c r="G105" s="182">
        <f>G153/G97*Units</f>
        <v>37.259125574896665</v>
      </c>
      <c r="H105" s="192"/>
      <c r="K105" s="385">
        <v>40</v>
      </c>
      <c r="L105" s="240">
        <f>AVERAGE(E105:G105)</f>
        <v>50.268494424011415</v>
      </c>
      <c r="M105" s="240">
        <f>L105*1.05</f>
        <v>52.781919145211987</v>
      </c>
      <c r="N105" s="240">
        <f t="shared" ref="N105:O105" si="9">M105*1.05</f>
        <v>55.421015102472587</v>
      </c>
      <c r="O105" s="240">
        <f t="shared" si="9"/>
        <v>58.192065857596219</v>
      </c>
    </row>
    <row r="106" spans="2:26" ht="15.75" customHeight="1" outlineLevel="1" x14ac:dyDescent="0.3">
      <c r="B106" s="3"/>
      <c r="C106" s="166" t="s">
        <v>213</v>
      </c>
      <c r="D106" s="44" t="s">
        <v>33</v>
      </c>
      <c r="E106" s="237">
        <f>-E150/E149</f>
        <v>0.61484445786771358</v>
      </c>
      <c r="F106" s="237">
        <f t="shared" ref="F106:G106" si="10">-F150/F149</f>
        <v>0.61015161502966386</v>
      </c>
      <c r="G106" s="237">
        <f t="shared" si="10"/>
        <v>0.39</v>
      </c>
      <c r="H106" s="192"/>
      <c r="J106" s="193"/>
      <c r="K106" s="398">
        <v>0.45</v>
      </c>
      <c r="L106" s="398">
        <v>0.55000000000000004</v>
      </c>
      <c r="M106" s="397">
        <f>AVERAGE(E106:F106)</f>
        <v>0.61249803644868872</v>
      </c>
      <c r="N106" s="398">
        <f>M106</f>
        <v>0.61249803644868872</v>
      </c>
      <c r="O106" s="398">
        <f>N106</f>
        <v>0.61249803644868872</v>
      </c>
    </row>
    <row r="107" spans="2:26" ht="15.75" customHeight="1" outlineLevel="1" x14ac:dyDescent="0.3">
      <c r="C107" s="166" t="s">
        <v>216</v>
      </c>
      <c r="D107" s="44" t="s">
        <v>33</v>
      </c>
      <c r="E107" s="164">
        <v>0.13883299798792748</v>
      </c>
      <c r="F107" s="237">
        <f>E154/F154-1</f>
        <v>-9.1492776886035299E-2</v>
      </c>
      <c r="G107" s="237">
        <f>F154/G154-1</f>
        <v>1.5532786885245904</v>
      </c>
      <c r="H107" s="192"/>
      <c r="J107" s="193"/>
      <c r="K107" s="397">
        <v>0.53353963654216086</v>
      </c>
      <c r="L107" s="398">
        <v>0.15</v>
      </c>
      <c r="M107" s="398">
        <v>0.06</v>
      </c>
      <c r="N107" s="397">
        <f>AVERAGE(E107:F107)</f>
        <v>2.3670110550946089E-2</v>
      </c>
      <c r="O107" s="397">
        <f>N107</f>
        <v>2.3670110550946089E-2</v>
      </c>
    </row>
    <row r="108" spans="2:26" ht="15.75" customHeight="1" outlineLevel="1" x14ac:dyDescent="0.3">
      <c r="H108" s="192"/>
      <c r="J108" s="193"/>
    </row>
    <row r="109" spans="2:26" ht="15.75" customHeight="1" outlineLevel="1" x14ac:dyDescent="0.3">
      <c r="C109" s="303" t="s">
        <v>267</v>
      </c>
      <c r="D109" s="44" t="s">
        <v>209</v>
      </c>
      <c r="E109" s="386">
        <f>E89-E110</f>
        <v>2072000</v>
      </c>
      <c r="F109" s="386">
        <f t="shared" ref="F109:G109" si="11">F89-F110</f>
        <v>976357.49668288371</v>
      </c>
      <c r="G109" s="386">
        <f t="shared" si="11"/>
        <v>1037757.904934658</v>
      </c>
      <c r="H109" s="192"/>
      <c r="J109" s="193"/>
      <c r="K109" s="388">
        <f>K89-K110</f>
        <v>1037757.904934658</v>
      </c>
      <c r="L109" s="388">
        <f t="shared" ref="L109:O109" si="12">L89-L110</f>
        <v>1237757.904934658</v>
      </c>
      <c r="M109" s="388">
        <f t="shared" si="12"/>
        <v>1237757.904934658</v>
      </c>
      <c r="N109" s="388">
        <f t="shared" si="12"/>
        <v>1487757.904934658</v>
      </c>
      <c r="O109" s="388">
        <f t="shared" si="12"/>
        <v>1487757.904934658</v>
      </c>
    </row>
    <row r="110" spans="2:26" ht="15.75" customHeight="1" outlineLevel="1" x14ac:dyDescent="0.3">
      <c r="C110" s="303" t="s">
        <v>268</v>
      </c>
      <c r="D110" s="44" t="s">
        <v>209</v>
      </c>
      <c r="E110" s="304">
        <f>E191/(E190+E191)*E89</f>
        <v>0</v>
      </c>
      <c r="F110" s="304">
        <f>F191/(F190+F191)*F89</f>
        <v>754642.50331711629</v>
      </c>
      <c r="G110" s="304">
        <f>G191/(G190+G191)*G89</f>
        <v>679942.09506534203</v>
      </c>
      <c r="H110" s="192"/>
      <c r="J110" s="193"/>
      <c r="K110" s="387">
        <f>G110</f>
        <v>679942.09506534203</v>
      </c>
      <c r="L110" s="387">
        <f>K110</f>
        <v>679942.09506534203</v>
      </c>
      <c r="M110" s="387">
        <f t="shared" ref="M110:O110" si="13">L110</f>
        <v>679942.09506534203</v>
      </c>
      <c r="N110" s="387">
        <f t="shared" si="13"/>
        <v>679942.09506534203</v>
      </c>
      <c r="O110" s="387">
        <f t="shared" si="13"/>
        <v>679942.09506534203</v>
      </c>
    </row>
    <row r="111" spans="2:26" ht="15.75" customHeight="1" x14ac:dyDescent="0.3">
      <c r="H111" s="192"/>
      <c r="J111" s="193"/>
    </row>
    <row r="112" spans="2:26" ht="15.75" customHeight="1" x14ac:dyDescent="0.3">
      <c r="B112" s="8" t="s">
        <v>274</v>
      </c>
      <c r="C112" s="168"/>
      <c r="D112" s="168"/>
      <c r="E112" s="311">
        <f>$E$87</f>
        <v>43465</v>
      </c>
      <c r="F112" s="311">
        <f>$F$87</f>
        <v>43830</v>
      </c>
      <c r="G112" s="311">
        <f>$G$87</f>
        <v>44196</v>
      </c>
      <c r="H112" s="201"/>
      <c r="I112" s="168"/>
      <c r="J112" s="202"/>
      <c r="K112" s="311">
        <f>$K$87</f>
        <v>44561</v>
      </c>
      <c r="L112" s="311">
        <f>$L$87</f>
        <v>44926</v>
      </c>
      <c r="M112" s="311">
        <f>$M$87</f>
        <v>45291</v>
      </c>
      <c r="N112" s="311">
        <f>$N$87</f>
        <v>45657</v>
      </c>
      <c r="O112" s="311">
        <f>$O$87</f>
        <v>46022</v>
      </c>
    </row>
    <row r="113" spans="3:26" ht="15.75" customHeight="1" outlineLevel="1" x14ac:dyDescent="0.3">
      <c r="C113" s="305" t="s">
        <v>269</v>
      </c>
      <c r="D113" s="44" t="s">
        <v>211</v>
      </c>
      <c r="E113" s="306">
        <f>-E158/E97*Units</f>
        <v>178.57142857142858</v>
      </c>
      <c r="F113" s="306">
        <f>-F158/F97*Units</f>
        <v>255.92143269786251</v>
      </c>
      <c r="G113" s="306">
        <f>-G158/G97*Units</f>
        <v>308.74619161281555</v>
      </c>
      <c r="H113" s="205"/>
      <c r="I113" s="204"/>
      <c r="J113" s="206"/>
      <c r="K113" s="63">
        <v>200</v>
      </c>
      <c r="L113" s="63">
        <v>210</v>
      </c>
      <c r="M113" s="63">
        <v>220</v>
      </c>
      <c r="N113" s="63">
        <v>230</v>
      </c>
      <c r="O113" s="63">
        <v>240</v>
      </c>
    </row>
    <row r="114" spans="3:26" ht="15.75" customHeight="1" outlineLevel="1" x14ac:dyDescent="0.3">
      <c r="C114" s="305" t="s">
        <v>270</v>
      </c>
      <c r="D114" s="44" t="s">
        <v>33</v>
      </c>
      <c r="E114" s="237">
        <f>-E159/E155</f>
        <v>0.30471266316324802</v>
      </c>
      <c r="F114" s="237">
        <f t="shared" ref="F114:G114" si="14">-F159/F155</f>
        <v>0.27308940690469163</v>
      </c>
      <c r="G114" s="237">
        <f t="shared" si="14"/>
        <v>0.30296179063983725</v>
      </c>
      <c r="H114" s="207"/>
      <c r="I114" s="208"/>
      <c r="J114" s="209"/>
      <c r="K114" s="397">
        <f>AVERAGE(E114:G114)</f>
        <v>0.29358795356925893</v>
      </c>
      <c r="L114" s="397">
        <f>K114</f>
        <v>0.29358795356925893</v>
      </c>
      <c r="M114" s="397">
        <f t="shared" ref="M114:O114" si="15">L114</f>
        <v>0.29358795356925893</v>
      </c>
      <c r="N114" s="397">
        <f t="shared" si="15"/>
        <v>0.29358795356925893</v>
      </c>
      <c r="O114" s="397">
        <f t="shared" si="15"/>
        <v>0.29358795356925893</v>
      </c>
    </row>
    <row r="115" spans="3:26" ht="15.75" customHeight="1" outlineLevel="1" x14ac:dyDescent="0.3">
      <c r="C115" s="19"/>
      <c r="G115" s="57"/>
      <c r="H115" s="103"/>
      <c r="I115" s="57"/>
      <c r="J115" s="104"/>
      <c r="K115" s="57"/>
      <c r="L115" s="57"/>
      <c r="M115" s="57"/>
      <c r="N115" s="57"/>
      <c r="O115" s="57"/>
    </row>
    <row r="116" spans="3:26" ht="15.75" customHeight="1" outlineLevel="1" x14ac:dyDescent="0.3">
      <c r="C116" s="305" t="s">
        <v>276</v>
      </c>
      <c r="D116" s="44" t="s">
        <v>175</v>
      </c>
      <c r="E116" s="174">
        <f>E161</f>
        <v>-8.9000000000000057</v>
      </c>
      <c r="F116" s="174">
        <f t="shared" ref="F116:G116" si="16">F161</f>
        <v>-7.8</v>
      </c>
      <c r="G116" s="174">
        <f t="shared" si="16"/>
        <v>-9.1</v>
      </c>
      <c r="H116" s="103"/>
      <c r="I116" s="57"/>
      <c r="J116" s="104"/>
      <c r="K116" s="309">
        <f>AVERAGE(E116:G116)</f>
        <v>-8.6000000000000014</v>
      </c>
      <c r="L116" s="309">
        <f>K116</f>
        <v>-8.6000000000000014</v>
      </c>
      <c r="M116" s="309">
        <f t="shared" ref="M116:O116" si="17">L116</f>
        <v>-8.6000000000000014</v>
      </c>
      <c r="N116" s="309">
        <f t="shared" si="17"/>
        <v>-8.6000000000000014</v>
      </c>
      <c r="O116" s="309">
        <f t="shared" si="17"/>
        <v>-8.6000000000000014</v>
      </c>
    </row>
    <row r="117" spans="3:26" ht="15.75" customHeight="1" outlineLevel="1" x14ac:dyDescent="0.3">
      <c r="C117" s="389" t="s">
        <v>335</v>
      </c>
      <c r="D117" s="44" t="s">
        <v>175</v>
      </c>
      <c r="E117" s="174">
        <f>E170</f>
        <v>-15.7</v>
      </c>
      <c r="F117" s="174">
        <f t="shared" ref="F117:G117" si="18">F170</f>
        <v>5.2999999999999989</v>
      </c>
      <c r="G117" s="174">
        <f t="shared" si="18"/>
        <v>-24.599999999999998</v>
      </c>
      <c r="H117" s="103"/>
      <c r="I117" s="57"/>
      <c r="J117" s="104"/>
      <c r="K117" s="309">
        <f>AVERAGE(E117:G117)</f>
        <v>-11.666666666666666</v>
      </c>
      <c r="L117" s="309">
        <f>K117</f>
        <v>-11.666666666666666</v>
      </c>
      <c r="M117" s="309">
        <f t="shared" ref="M117:O117" si="19">L117</f>
        <v>-11.666666666666666</v>
      </c>
      <c r="N117" s="309">
        <f t="shared" si="19"/>
        <v>-11.666666666666666</v>
      </c>
      <c r="O117" s="309">
        <f t="shared" si="19"/>
        <v>-11.666666666666666</v>
      </c>
    </row>
    <row r="118" spans="3:26" ht="15.75" customHeight="1" outlineLevel="1" x14ac:dyDescent="0.3">
      <c r="C118" s="19"/>
      <c r="G118" s="57"/>
      <c r="H118" s="103"/>
      <c r="I118" s="57"/>
      <c r="J118" s="104"/>
      <c r="K118" s="57"/>
      <c r="L118" s="57"/>
      <c r="M118" s="57"/>
      <c r="N118" s="57"/>
      <c r="O118" s="57"/>
    </row>
    <row r="119" spans="3:26" ht="15.75" customHeight="1" outlineLevel="1" x14ac:dyDescent="0.3">
      <c r="C119" s="305" t="s">
        <v>277</v>
      </c>
      <c r="D119" s="44" t="s">
        <v>33</v>
      </c>
      <c r="E119" s="237">
        <f>-E174/E175</f>
        <v>0.2393822393822394</v>
      </c>
      <c r="F119" s="237">
        <f t="shared" ref="F119:G119" si="20">-F174/F175</f>
        <v>0.2700247729149467</v>
      </c>
      <c r="G119" s="237">
        <f t="shared" si="20"/>
        <v>0.27194656488549601</v>
      </c>
      <c r="H119" s="103"/>
      <c r="I119" s="57"/>
      <c r="J119" s="104"/>
      <c r="K119" s="397">
        <f>AVERAGE(E119:G119)</f>
        <v>0.26045119239422737</v>
      </c>
      <c r="L119" s="397">
        <f>K119</f>
        <v>0.26045119239422737</v>
      </c>
      <c r="M119" s="397">
        <f t="shared" ref="M119:O119" si="21">L119</f>
        <v>0.26045119239422737</v>
      </c>
      <c r="N119" s="397">
        <f t="shared" si="21"/>
        <v>0.26045119239422737</v>
      </c>
      <c r="O119" s="397">
        <f t="shared" si="21"/>
        <v>0.26045119239422737</v>
      </c>
    </row>
    <row r="120" spans="3:26" ht="15.75" customHeight="1" outlineLevel="1" x14ac:dyDescent="0.3">
      <c r="C120" s="19"/>
      <c r="G120" s="57"/>
      <c r="H120" s="103"/>
      <c r="I120" s="57"/>
      <c r="J120" s="104"/>
      <c r="K120" s="57"/>
      <c r="L120" s="57"/>
      <c r="M120" s="57"/>
      <c r="N120" s="57"/>
      <c r="O120" s="57"/>
    </row>
    <row r="121" spans="3:26" ht="15.75" customHeight="1" outlineLevel="1" x14ac:dyDescent="0.3">
      <c r="C121" s="305" t="s">
        <v>278</v>
      </c>
      <c r="D121" s="44" t="s">
        <v>175</v>
      </c>
      <c r="E121" s="174">
        <f>E176</f>
        <v>1.6</v>
      </c>
      <c r="F121" s="174">
        <f t="shared" ref="F121:G121" si="22">F176</f>
        <v>2.7</v>
      </c>
      <c r="G121" s="174">
        <f t="shared" si="22"/>
        <v>2.9</v>
      </c>
      <c r="H121" s="103"/>
      <c r="I121" s="57"/>
      <c r="J121" s="104"/>
      <c r="K121" s="63">
        <f>AVERAGE(E121:G121)</f>
        <v>2.4000000000000004</v>
      </c>
      <c r="L121" s="309">
        <f>K121</f>
        <v>2.4000000000000004</v>
      </c>
      <c r="M121" s="309">
        <f t="shared" ref="M121:O121" si="23">L121</f>
        <v>2.4000000000000004</v>
      </c>
      <c r="N121" s="309">
        <f t="shared" si="23"/>
        <v>2.4000000000000004</v>
      </c>
      <c r="O121" s="309">
        <f t="shared" si="23"/>
        <v>2.4000000000000004</v>
      </c>
      <c r="Z121" s="371"/>
    </row>
    <row r="122" spans="3:26" ht="15.75" customHeight="1" outlineLevel="1" x14ac:dyDescent="0.3">
      <c r="C122" s="305" t="s">
        <v>279</v>
      </c>
      <c r="D122" s="44" t="s">
        <v>33</v>
      </c>
      <c r="E122" s="237">
        <f>-E177/E175</f>
        <v>0.38009438009438012</v>
      </c>
      <c r="F122" s="237">
        <f t="shared" ref="F122:G122" si="24">-F177/F175</f>
        <v>0.29108175061932329</v>
      </c>
      <c r="G122" s="237">
        <f t="shared" si="24"/>
        <v>0.18702290076335867</v>
      </c>
      <c r="H122" s="103"/>
      <c r="I122" s="57"/>
      <c r="J122" s="104"/>
      <c r="K122" s="238">
        <v>0.18</v>
      </c>
      <c r="L122" s="238">
        <v>0.15</v>
      </c>
      <c r="M122" s="238">
        <v>0.14000000000000001</v>
      </c>
      <c r="N122" s="238">
        <v>0.13</v>
      </c>
      <c r="O122" s="238">
        <v>0.12</v>
      </c>
      <c r="Z122" s="371"/>
    </row>
    <row r="123" spans="3:26" ht="15.75" customHeight="1" outlineLevel="1" x14ac:dyDescent="0.3">
      <c r="C123" s="19"/>
      <c r="G123" s="57"/>
      <c r="H123" s="103"/>
      <c r="I123" s="57"/>
      <c r="J123" s="104"/>
      <c r="K123" s="57"/>
      <c r="L123" s="57"/>
      <c r="M123" s="57"/>
      <c r="N123" s="57"/>
      <c r="O123" s="57"/>
      <c r="Z123" s="371"/>
    </row>
    <row r="124" spans="3:26" ht="15.75" customHeight="1" outlineLevel="1" x14ac:dyDescent="0.3">
      <c r="C124" s="366" t="s">
        <v>322</v>
      </c>
      <c r="D124" s="44" t="s">
        <v>33</v>
      </c>
      <c r="E124" s="237">
        <f>E226/E155</f>
        <v>1.1018816748601458E-2</v>
      </c>
      <c r="F124" s="237">
        <f t="shared" ref="F124:G124" si="25">F226/F155</f>
        <v>8.9997049277072885E-3</v>
      </c>
      <c r="G124" s="237">
        <f t="shared" si="25"/>
        <v>3.866154193985983E-2</v>
      </c>
      <c r="H124" s="103"/>
      <c r="I124" s="57"/>
      <c r="J124" s="104"/>
      <c r="K124" s="238">
        <v>0</v>
      </c>
      <c r="L124" s="238">
        <f>K124</f>
        <v>0</v>
      </c>
      <c r="M124" s="238">
        <f t="shared" ref="M124:O124" si="26">L124</f>
        <v>0</v>
      </c>
      <c r="N124" s="238">
        <f t="shared" si="26"/>
        <v>0</v>
      </c>
      <c r="O124" s="238">
        <f t="shared" si="26"/>
        <v>0</v>
      </c>
      <c r="Z124" s="371"/>
    </row>
    <row r="125" spans="3:26" ht="15.75" customHeight="1" outlineLevel="1" x14ac:dyDescent="0.3">
      <c r="C125" s="19"/>
      <c r="G125" s="57"/>
      <c r="H125" s="103"/>
      <c r="I125" s="57"/>
      <c r="J125" s="104"/>
      <c r="K125" s="57"/>
      <c r="L125" s="57"/>
      <c r="M125" s="57"/>
      <c r="N125" s="57"/>
      <c r="O125" s="57"/>
      <c r="Z125" s="371"/>
    </row>
    <row r="126" spans="3:26" ht="15.75" customHeight="1" outlineLevel="1" x14ac:dyDescent="0.3">
      <c r="C126" s="305" t="s">
        <v>271</v>
      </c>
      <c r="D126" s="44" t="s">
        <v>211</v>
      </c>
      <c r="E126" s="174">
        <f>E160/E109*Units</f>
        <v>-35.762548262548258</v>
      </c>
      <c r="F126" s="174">
        <f>F160/F109*Units</f>
        <v>-92.076929101717241</v>
      </c>
      <c r="G126" s="174">
        <f>G160/G109*Units</f>
        <v>-88.170853302978472</v>
      </c>
      <c r="H126" s="103"/>
      <c r="I126" s="57"/>
      <c r="J126" s="104"/>
      <c r="K126" s="309">
        <v>-70</v>
      </c>
      <c r="L126" s="309">
        <f>K126-5</f>
        <v>-75</v>
      </c>
      <c r="M126" s="309">
        <f t="shared" ref="M126:O126" si="27">L126-5</f>
        <v>-80</v>
      </c>
      <c r="N126" s="309">
        <f t="shared" si="27"/>
        <v>-85</v>
      </c>
      <c r="O126" s="309">
        <f t="shared" si="27"/>
        <v>-90</v>
      </c>
      <c r="Z126" s="371"/>
    </row>
    <row r="127" spans="3:26" ht="15.75" customHeight="1" outlineLevel="1" x14ac:dyDescent="0.3">
      <c r="C127" s="305"/>
      <c r="D127" s="44"/>
      <c r="E127" s="174"/>
      <c r="F127" s="174"/>
      <c r="G127" s="174"/>
      <c r="H127" s="103"/>
      <c r="I127" s="57"/>
      <c r="J127" s="104"/>
      <c r="K127" s="57"/>
      <c r="L127" s="57"/>
      <c r="M127" s="57"/>
      <c r="N127" s="57"/>
      <c r="O127" s="57"/>
      <c r="Z127" s="371"/>
    </row>
    <row r="128" spans="3:26" ht="15.75" customHeight="1" outlineLevel="1" x14ac:dyDescent="0.3">
      <c r="C128" s="389" t="s">
        <v>336</v>
      </c>
      <c r="D128" s="44"/>
      <c r="E128" s="174"/>
      <c r="F128" s="174"/>
      <c r="G128" s="174"/>
      <c r="H128" s="103"/>
      <c r="I128" s="57"/>
      <c r="J128" s="104"/>
      <c r="K128" s="404">
        <f>K129+K130</f>
        <v>-518.46687199393432</v>
      </c>
      <c r="L128" s="404">
        <f t="shared" ref="L128:O128" si="28">L129+L130</f>
        <v>-402</v>
      </c>
      <c r="M128" s="404">
        <f t="shared" si="28"/>
        <v>-355</v>
      </c>
      <c r="N128" s="404">
        <f t="shared" si="28"/>
        <v>-357</v>
      </c>
      <c r="O128" s="404">
        <f t="shared" si="28"/>
        <v>-360</v>
      </c>
      <c r="Z128" s="371"/>
    </row>
    <row r="129" spans="2:26" ht="15.75" customHeight="1" outlineLevel="1" x14ac:dyDescent="0.3">
      <c r="C129" s="336" t="s">
        <v>292</v>
      </c>
      <c r="D129" s="44" t="s">
        <v>211</v>
      </c>
      <c r="E129" s="174">
        <f>E241/E109*Units</f>
        <v>-95.173745173745175</v>
      </c>
      <c r="F129" s="174">
        <f>F241/F109*Units</f>
        <v>-412.75864769735313</v>
      </c>
      <c r="G129" s="174">
        <f>G241/G109*Units</f>
        <v>-297.4682231107044</v>
      </c>
      <c r="H129" s="103"/>
      <c r="I129" s="57"/>
      <c r="J129" s="104"/>
      <c r="K129" s="63">
        <f>AVERAGE(E129:G129)</f>
        <v>-268.46687199393426</v>
      </c>
      <c r="L129" s="63">
        <v>-150</v>
      </c>
      <c r="M129" s="63">
        <v>-100</v>
      </c>
      <c r="N129" s="63">
        <v>-100</v>
      </c>
      <c r="O129" s="63">
        <v>-100</v>
      </c>
      <c r="Z129" s="371"/>
    </row>
    <row r="130" spans="2:26" ht="15.75" customHeight="1" outlineLevel="1" x14ac:dyDescent="0.3">
      <c r="C130" s="336" t="s">
        <v>293</v>
      </c>
      <c r="D130" s="44" t="s">
        <v>211</v>
      </c>
      <c r="F130" s="174"/>
      <c r="G130" s="174"/>
      <c r="H130" s="103"/>
      <c r="I130" s="57"/>
      <c r="J130" s="104"/>
      <c r="K130" s="63">
        <v>-250</v>
      </c>
      <c r="L130" s="63">
        <v>-252</v>
      </c>
      <c r="M130" s="63">
        <v>-255</v>
      </c>
      <c r="N130" s="63">
        <v>-257</v>
      </c>
      <c r="O130" s="63">
        <v>-260</v>
      </c>
      <c r="Z130" s="371"/>
    </row>
    <row r="131" spans="2:26" ht="15.75" customHeight="1" outlineLevel="1" x14ac:dyDescent="0.3">
      <c r="C131" s="19"/>
      <c r="F131" s="174"/>
      <c r="G131" s="174"/>
      <c r="H131" s="103"/>
      <c r="I131" s="57"/>
      <c r="J131" s="104"/>
      <c r="K131" s="57"/>
      <c r="L131" s="57"/>
      <c r="M131" s="57"/>
      <c r="N131" s="57"/>
      <c r="O131" s="57"/>
      <c r="Z131" s="371"/>
    </row>
    <row r="132" spans="2:26" ht="15.75" customHeight="1" outlineLevel="1" x14ac:dyDescent="0.3">
      <c r="C132" s="305" t="s">
        <v>272</v>
      </c>
      <c r="D132" s="44" t="s">
        <v>211</v>
      </c>
      <c r="E132" s="174">
        <f>-IFERROR(E162/E110*Units,0)</f>
        <v>0</v>
      </c>
      <c r="F132" s="174">
        <f>-IFERROR(F162/F110*Units,0)</f>
        <v>73.014705317818354</v>
      </c>
      <c r="G132" s="174">
        <f>-IFERROR(G162/G110*Units,0)</f>
        <v>81.918740440165365</v>
      </c>
      <c r="H132" s="195"/>
      <c r="I132" s="174"/>
      <c r="J132" s="196"/>
      <c r="K132" s="63">
        <v>83</v>
      </c>
      <c r="L132" s="309">
        <f>K132</f>
        <v>83</v>
      </c>
      <c r="M132" s="309">
        <f>L132</f>
        <v>83</v>
      </c>
      <c r="N132" s="309">
        <f t="shared" ref="N132:O132" si="29">M132</f>
        <v>83</v>
      </c>
      <c r="O132" s="309">
        <f t="shared" si="29"/>
        <v>83</v>
      </c>
      <c r="Z132" s="371"/>
    </row>
    <row r="133" spans="2:26" ht="15.75" customHeight="1" outlineLevel="1" x14ac:dyDescent="0.3">
      <c r="C133" s="305" t="s">
        <v>273</v>
      </c>
      <c r="D133" s="44" t="s">
        <v>211</v>
      </c>
      <c r="E133" s="174">
        <f>-IFERROR(E163/E110*Units,0)</f>
        <v>0</v>
      </c>
      <c r="F133" s="174">
        <f>-IFERROR(F163/F110*Units,0)</f>
        <v>67.449156092140711</v>
      </c>
      <c r="G133" s="174">
        <f>-IFERROR(G163/G110*Units,0)</f>
        <v>74.85931577027678</v>
      </c>
      <c r="H133" s="103"/>
      <c r="I133" s="57"/>
      <c r="J133" s="104"/>
      <c r="K133" s="63">
        <v>75</v>
      </c>
      <c r="L133" s="63">
        <v>73</v>
      </c>
      <c r="M133" s="63">
        <v>72</v>
      </c>
      <c r="N133" s="63">
        <v>70</v>
      </c>
      <c r="O133" s="63">
        <v>67</v>
      </c>
      <c r="Z133" s="371"/>
    </row>
    <row r="134" spans="2:26" ht="15.75" customHeight="1" outlineLevel="1" x14ac:dyDescent="0.3">
      <c r="C134" s="375" t="s">
        <v>329</v>
      </c>
      <c r="D134" s="44" t="s">
        <v>211</v>
      </c>
      <c r="E134" s="174">
        <f>IFERROR(-E243/E110,0)*Units</f>
        <v>0</v>
      </c>
      <c r="F134" s="174">
        <f>IFERROR(-F243/F110,0)*Units</f>
        <v>59.365858407227982</v>
      </c>
      <c r="G134" s="174">
        <f>IFERROR(-G243/G110,0)*Units</f>
        <v>44.415546881382305</v>
      </c>
      <c r="H134" s="103"/>
      <c r="I134" s="57"/>
      <c r="J134" s="104"/>
      <c r="K134" s="63">
        <v>0</v>
      </c>
      <c r="L134" s="63">
        <v>0</v>
      </c>
      <c r="M134" s="63">
        <v>0</v>
      </c>
      <c r="N134" s="63">
        <v>0</v>
      </c>
      <c r="O134" s="63">
        <v>0</v>
      </c>
      <c r="Z134" s="371"/>
    </row>
    <row r="135" spans="2:26" ht="15.75" customHeight="1" outlineLevel="1" x14ac:dyDescent="0.3">
      <c r="C135" s="375" t="s">
        <v>330</v>
      </c>
      <c r="D135" s="44" t="s">
        <v>211</v>
      </c>
      <c r="E135" s="174">
        <f>IFERROR(E244/E110,0)*Units</f>
        <v>0</v>
      </c>
      <c r="F135" s="174">
        <f>IFERROR(F244/F110,0)*Units</f>
        <v>59.365858407227982</v>
      </c>
      <c r="G135" s="174">
        <f>IFERROR(G244/G110,0)*Units</f>
        <v>44.415546881382305</v>
      </c>
      <c r="H135" s="103"/>
      <c r="I135" s="57"/>
      <c r="J135" s="104"/>
      <c r="K135" s="309">
        <f>K134</f>
        <v>0</v>
      </c>
      <c r="L135" s="309">
        <f t="shared" ref="L135:O135" si="30">L134</f>
        <v>0</v>
      </c>
      <c r="M135" s="309">
        <f t="shared" si="30"/>
        <v>0</v>
      </c>
      <c r="N135" s="309">
        <f t="shared" si="30"/>
        <v>0</v>
      </c>
      <c r="O135" s="309">
        <f t="shared" si="30"/>
        <v>0</v>
      </c>
      <c r="Z135" s="371"/>
    </row>
    <row r="136" spans="2:26" ht="15.75" customHeight="1" outlineLevel="1" x14ac:dyDescent="0.3">
      <c r="C136" s="305" t="s">
        <v>275</v>
      </c>
      <c r="D136" s="44" t="s">
        <v>211</v>
      </c>
      <c r="E136" s="174">
        <f>-IFERROR(E245/E110,0)*Units</f>
        <v>0</v>
      </c>
      <c r="F136" s="174">
        <f>-IFERROR(F245/F110,0)*Units</f>
        <v>109.72082759193029</v>
      </c>
      <c r="G136" s="174">
        <f>-IFERROR(G245/G110,0)*Units</f>
        <v>127.95207214173047</v>
      </c>
      <c r="H136" s="197"/>
      <c r="I136" s="177"/>
      <c r="J136" s="198"/>
      <c r="K136" s="63">
        <v>135</v>
      </c>
      <c r="L136" s="63">
        <v>138</v>
      </c>
      <c r="M136" s="63">
        <v>142</v>
      </c>
      <c r="N136" s="63">
        <v>145</v>
      </c>
      <c r="O136" s="63">
        <v>148</v>
      </c>
    </row>
    <row r="137" spans="2:26" ht="15.75" customHeight="1" x14ac:dyDescent="0.3">
      <c r="H137" s="192"/>
      <c r="J137" s="193"/>
      <c r="K137" s="174"/>
      <c r="L137" s="174"/>
      <c r="M137" s="174"/>
      <c r="N137" s="174"/>
      <c r="O137" s="174"/>
    </row>
    <row r="138" spans="2:26" ht="15.75" customHeight="1" x14ac:dyDescent="0.3">
      <c r="B138" s="8" t="s">
        <v>96</v>
      </c>
      <c r="C138" s="168"/>
      <c r="D138" s="168"/>
      <c r="E138" s="311">
        <f>$E$87</f>
        <v>43465</v>
      </c>
      <c r="F138" s="311">
        <f>$F$87</f>
        <v>43830</v>
      </c>
      <c r="G138" s="311">
        <f>$G$87</f>
        <v>44196</v>
      </c>
      <c r="H138" s="201"/>
      <c r="I138" s="168"/>
      <c r="J138" s="202"/>
      <c r="K138" s="311">
        <f>$K$87</f>
        <v>44561</v>
      </c>
      <c r="L138" s="311">
        <f>$L$87</f>
        <v>44926</v>
      </c>
      <c r="M138" s="311">
        <f>$M$87</f>
        <v>45291</v>
      </c>
      <c r="N138" s="311">
        <f>$N$87</f>
        <v>45657</v>
      </c>
      <c r="O138" s="311">
        <f>$O$87</f>
        <v>46022</v>
      </c>
      <c r="P138" s="372"/>
      <c r="Q138" s="372"/>
      <c r="R138" s="372"/>
      <c r="S138" s="372"/>
      <c r="T138" s="372"/>
      <c r="U138" s="372"/>
      <c r="V138" s="372"/>
      <c r="W138" s="372"/>
      <c r="X138" s="372"/>
      <c r="Y138" s="372"/>
      <c r="Z138" s="372"/>
    </row>
    <row r="139" spans="2:26" ht="15.75" hidden="1" customHeight="1" outlineLevel="1" x14ac:dyDescent="0.3">
      <c r="C139" s="389" t="s">
        <v>334</v>
      </c>
      <c r="D139" s="44" t="s">
        <v>33</v>
      </c>
      <c r="E139" s="392">
        <f>E185/E$155</f>
        <v>5.7213086963892185E-2</v>
      </c>
      <c r="F139" s="392">
        <f t="shared" ref="F139:G140" si="31">F185/F$155</f>
        <v>5.8719386249631161E-2</v>
      </c>
      <c r="G139" s="393">
        <f t="shared" si="31"/>
        <v>9.2245082523174315E-2</v>
      </c>
      <c r="H139" s="79"/>
      <c r="I139" s="79"/>
      <c r="J139" s="96"/>
      <c r="K139" s="396">
        <v>7.4999999999999997E-2</v>
      </c>
      <c r="L139" s="395">
        <f>AVERAGE(E139:F139)</f>
        <v>5.7966236606761673E-2</v>
      </c>
      <c r="M139" s="395">
        <f>L139</f>
        <v>5.7966236606761673E-2</v>
      </c>
      <c r="N139" s="395">
        <f t="shared" ref="N139:O139" si="32">M139</f>
        <v>5.7966236606761673E-2</v>
      </c>
      <c r="O139" s="395">
        <f t="shared" si="32"/>
        <v>5.7966236606761673E-2</v>
      </c>
      <c r="P139" s="372"/>
      <c r="Q139" s="372"/>
      <c r="R139" s="372"/>
      <c r="S139" s="372"/>
      <c r="T139" s="372"/>
      <c r="U139" s="372"/>
      <c r="V139" s="372"/>
      <c r="W139" s="372"/>
      <c r="X139" s="372"/>
      <c r="Y139" s="372"/>
      <c r="Z139" s="372"/>
    </row>
    <row r="140" spans="2:26" ht="15.75" hidden="1" customHeight="1" outlineLevel="1" x14ac:dyDescent="0.3">
      <c r="C140" s="305" t="s">
        <v>280</v>
      </c>
      <c r="D140" s="44" t="s">
        <v>33</v>
      </c>
      <c r="E140" s="237">
        <f>E186/E$155</f>
        <v>2.9327004577046959E-2</v>
      </c>
      <c r="F140" s="237">
        <f t="shared" si="31"/>
        <v>1.8442018294482148E-2</v>
      </c>
      <c r="G140" s="315">
        <f t="shared" si="31"/>
        <v>0.15035044087723265</v>
      </c>
      <c r="H140" s="80"/>
      <c r="I140" s="80"/>
      <c r="J140" s="98"/>
      <c r="K140" s="396">
        <v>7.4999999999999997E-2</v>
      </c>
      <c r="L140" s="396">
        <v>4.4999999999999998E-2</v>
      </c>
      <c r="M140" s="395">
        <f>AVERAGE(E140:F140)</f>
        <v>2.3884511435764554E-2</v>
      </c>
      <c r="N140" s="395">
        <f>M140</f>
        <v>2.3884511435764554E-2</v>
      </c>
      <c r="O140" s="395">
        <f>N140</f>
        <v>2.3884511435764554E-2</v>
      </c>
      <c r="P140" s="372"/>
      <c r="Q140" s="372"/>
      <c r="R140" s="372"/>
      <c r="S140" s="372"/>
      <c r="T140" s="372"/>
      <c r="U140" s="372"/>
      <c r="V140" s="372"/>
      <c r="W140" s="372"/>
      <c r="X140" s="372"/>
      <c r="Y140" s="372"/>
      <c r="Z140" s="372"/>
    </row>
    <row r="141" spans="2:26" ht="15.75" hidden="1" customHeight="1" outlineLevel="1" x14ac:dyDescent="0.3">
      <c r="C141" s="203"/>
      <c r="D141" s="44"/>
      <c r="F141" s="152"/>
      <c r="G141" s="153"/>
      <c r="H141" s="80"/>
      <c r="I141" s="80"/>
      <c r="J141" s="98"/>
      <c r="K141" s="312"/>
      <c r="L141" s="313"/>
      <c r="M141" s="313"/>
      <c r="N141" s="313"/>
      <c r="O141" s="313"/>
      <c r="P141" s="372"/>
      <c r="Q141" s="372"/>
      <c r="R141" s="372"/>
      <c r="S141" s="372"/>
      <c r="T141" s="372"/>
      <c r="U141" s="372"/>
      <c r="V141" s="372"/>
      <c r="W141" s="372"/>
      <c r="X141" s="372"/>
      <c r="Y141" s="372"/>
      <c r="Z141" s="372"/>
    </row>
    <row r="142" spans="2:26" ht="15.75" hidden="1" customHeight="1" outlineLevel="1" x14ac:dyDescent="0.3">
      <c r="C142" s="389" t="s">
        <v>333</v>
      </c>
      <c r="D142" s="44" t="s">
        <v>33</v>
      </c>
      <c r="E142" s="392">
        <f>-E201/SUM(E158:E159)</f>
        <v>0.26881425633995887</v>
      </c>
      <c r="F142" s="392">
        <f t="shared" ref="F142:G142" si="33">-F201/SUM(F158:F159)</f>
        <v>0.29734382685686178</v>
      </c>
      <c r="G142" s="392">
        <f t="shared" si="33"/>
        <v>0.49437052200614123</v>
      </c>
      <c r="H142" s="97"/>
      <c r="I142" s="80"/>
      <c r="J142" s="98"/>
      <c r="K142" s="394">
        <v>0.35</v>
      </c>
      <c r="L142" s="395">
        <f>AVERAGE(E142:F142)</f>
        <v>0.28307904159841035</v>
      </c>
      <c r="M142" s="395">
        <f>L142</f>
        <v>0.28307904159841035</v>
      </c>
      <c r="N142" s="395">
        <f t="shared" ref="N142:O142" si="34">M142</f>
        <v>0.28307904159841035</v>
      </c>
      <c r="O142" s="395">
        <f t="shared" si="34"/>
        <v>0.28307904159841035</v>
      </c>
      <c r="P142" s="372"/>
      <c r="Q142" s="372"/>
      <c r="R142" s="372"/>
      <c r="S142" s="372"/>
      <c r="T142" s="372"/>
      <c r="U142" s="372"/>
      <c r="V142" s="372"/>
      <c r="W142" s="372"/>
      <c r="X142" s="372"/>
      <c r="Y142" s="372"/>
      <c r="Z142" s="372"/>
    </row>
    <row r="143" spans="2:26" ht="15.75" hidden="1" customHeight="1" outlineLevel="1" x14ac:dyDescent="0.3">
      <c r="C143" s="305" t="s">
        <v>281</v>
      </c>
      <c r="D143" s="44" t="s">
        <v>33</v>
      </c>
      <c r="E143" s="237">
        <f>-E202/SUM(E158:E159)</f>
        <v>4.825222755311858E-2</v>
      </c>
      <c r="F143" s="237">
        <f t="shared" ref="F143:G143" si="35">-F202/SUM(F158:F159)</f>
        <v>7.1323167732415147E-3</v>
      </c>
      <c r="G143" s="237">
        <f t="shared" si="35"/>
        <v>1.8423746161719549E-2</v>
      </c>
      <c r="H143" s="99"/>
      <c r="I143" s="81"/>
      <c r="J143" s="100"/>
      <c r="K143" s="402">
        <f>G143</f>
        <v>1.8423746161719549E-2</v>
      </c>
      <c r="L143" s="402">
        <f>K143</f>
        <v>1.8423746161719549E-2</v>
      </c>
      <c r="M143" s="402">
        <f t="shared" ref="M143:O143" si="36">L143</f>
        <v>1.8423746161719549E-2</v>
      </c>
      <c r="N143" s="402">
        <f t="shared" si="36"/>
        <v>1.8423746161719549E-2</v>
      </c>
      <c r="O143" s="402">
        <f t="shared" si="36"/>
        <v>1.8423746161719549E-2</v>
      </c>
      <c r="P143" s="372"/>
      <c r="Q143" s="372"/>
      <c r="R143" s="372"/>
      <c r="S143" s="372"/>
      <c r="T143" s="372"/>
      <c r="U143" s="372"/>
      <c r="V143" s="372"/>
      <c r="W143" s="372"/>
      <c r="X143" s="372"/>
      <c r="Y143" s="372"/>
      <c r="Z143" s="372"/>
    </row>
    <row r="144" spans="2:26" ht="15.75" hidden="1" customHeight="1" outlineLevel="1" x14ac:dyDescent="0.3">
      <c r="C144" s="305" t="s">
        <v>282</v>
      </c>
      <c r="D144" s="44" t="s">
        <v>33</v>
      </c>
      <c r="E144" s="237">
        <f>-E209/SUM(E158:E159)</f>
        <v>4.3454420836189167E-2</v>
      </c>
      <c r="F144" s="237">
        <f t="shared" ref="F144:G144" si="37">-F209/SUM(F158:F159)</f>
        <v>3.7014264633546484E-2</v>
      </c>
      <c r="G144" s="237">
        <f t="shared" si="37"/>
        <v>9.9624701467076068E-2</v>
      </c>
      <c r="H144" s="99"/>
      <c r="I144" s="81"/>
      <c r="J144" s="100"/>
      <c r="K144" s="394">
        <v>7.0000000000000007E-2</v>
      </c>
      <c r="L144" s="403">
        <f>AVERAGE(E144:F144)</f>
        <v>4.0234342734867826E-2</v>
      </c>
      <c r="M144" s="403">
        <f>L144</f>
        <v>4.0234342734867826E-2</v>
      </c>
      <c r="N144" s="403">
        <f t="shared" ref="N144:O144" si="38">M144</f>
        <v>4.0234342734867826E-2</v>
      </c>
      <c r="O144" s="403">
        <f t="shared" si="38"/>
        <v>4.0234342734867826E-2</v>
      </c>
      <c r="P144" s="372"/>
      <c r="Q144" s="372"/>
      <c r="R144" s="372"/>
      <c r="S144" s="372"/>
      <c r="T144" s="372"/>
      <c r="U144" s="372"/>
      <c r="V144" s="372"/>
      <c r="W144" s="372"/>
      <c r="X144" s="372"/>
      <c r="Y144" s="372"/>
      <c r="Z144" s="372"/>
    </row>
    <row r="145" spans="2:26" ht="15.75" customHeight="1" collapsed="1" x14ac:dyDescent="0.3">
      <c r="P145" s="372"/>
      <c r="Q145" s="372"/>
      <c r="R145" s="372"/>
      <c r="S145" s="372"/>
      <c r="T145" s="372"/>
      <c r="U145" s="372"/>
      <c r="V145" s="372"/>
      <c r="W145" s="372"/>
      <c r="X145" s="372"/>
      <c r="Y145" s="372"/>
      <c r="Z145" s="372"/>
    </row>
    <row r="146" spans="2:26" ht="15.75" customHeight="1" x14ac:dyDescent="0.3">
      <c r="B146" s="11"/>
      <c r="C146" s="12"/>
      <c r="D146" s="13"/>
      <c r="E146" s="14" t="str">
        <f>$E$86</f>
        <v>Historical</v>
      </c>
      <c r="F146" s="15"/>
      <c r="G146" s="15"/>
      <c r="H146" s="16" t="str">
        <f>+$H$86</f>
        <v>Transaction Adjustments:</v>
      </c>
      <c r="I146" s="15"/>
      <c r="J146" s="15"/>
      <c r="K146" s="16" t="str">
        <f>$K$86</f>
        <v>Projected</v>
      </c>
      <c r="L146" s="17"/>
      <c r="M146" s="15"/>
      <c r="N146" s="15"/>
      <c r="O146" s="15"/>
      <c r="P146" s="372"/>
      <c r="Q146" s="372"/>
      <c r="R146" s="372"/>
      <c r="S146" s="372"/>
      <c r="T146" s="372"/>
      <c r="U146" s="372"/>
      <c r="V146" s="372"/>
      <c r="W146" s="372"/>
      <c r="X146" s="372"/>
      <c r="Y146" s="372"/>
      <c r="Z146" s="372"/>
    </row>
    <row r="147" spans="2:26" ht="15.75" customHeight="1" x14ac:dyDescent="0.3">
      <c r="B147" s="29" t="s">
        <v>65</v>
      </c>
      <c r="C147" s="18"/>
      <c r="D147" s="34" t="str">
        <f>$D$5</f>
        <v>Units:</v>
      </c>
      <c r="E147" s="1">
        <f>$E$87</f>
        <v>43465</v>
      </c>
      <c r="F147" s="1">
        <f>$F$87</f>
        <v>43830</v>
      </c>
      <c r="G147" s="2">
        <f>$G$87</f>
        <v>44196</v>
      </c>
      <c r="H147" s="1" t="str">
        <f>+$H$87</f>
        <v>Debit</v>
      </c>
      <c r="I147" s="1" t="str">
        <f>+$I$87</f>
        <v>Credit</v>
      </c>
      <c r="J147" s="1">
        <f>+$J$87</f>
        <v>44196</v>
      </c>
      <c r="K147" s="54">
        <f>$K$87</f>
        <v>44561</v>
      </c>
      <c r="L147" s="1">
        <f>$L$87</f>
        <v>44926</v>
      </c>
      <c r="M147" s="1">
        <f>$M$87</f>
        <v>45291</v>
      </c>
      <c r="N147" s="1">
        <f>$N$87</f>
        <v>45657</v>
      </c>
      <c r="O147" s="1">
        <f>$O$87</f>
        <v>46022</v>
      </c>
    </row>
    <row r="148" spans="2:26" ht="15.75" customHeight="1" outlineLevel="1" x14ac:dyDescent="0.3">
      <c r="C148" s="3" t="s">
        <v>206</v>
      </c>
      <c r="E148" s="204"/>
      <c r="F148" s="204"/>
      <c r="H148" s="192"/>
      <c r="J148" s="193"/>
    </row>
    <row r="149" spans="2:26" ht="15.75" customHeight="1" outlineLevel="1" x14ac:dyDescent="0.3">
      <c r="C149" s="169" t="s">
        <v>219</v>
      </c>
      <c r="D149" s="44" t="s">
        <v>175</v>
      </c>
      <c r="E149" s="60">
        <v>2648.8</v>
      </c>
      <c r="F149" s="60">
        <v>3034</v>
      </c>
      <c r="G149" s="60">
        <v>653.60655737704917</v>
      </c>
      <c r="H149" s="192"/>
      <c r="J149" s="193"/>
      <c r="K149" s="177">
        <f>K97*K98/Units</f>
        <v>1448.827868852459</v>
      </c>
      <c r="L149" s="177">
        <f>L97*L98/Units</f>
        <v>2038.0774740431589</v>
      </c>
      <c r="M149" s="177">
        <f>M97*M98/Units</f>
        <v>2490.983579386083</v>
      </c>
      <c r="N149" s="177">
        <f>N97*N98/Units</f>
        <v>3378.8632872932444</v>
      </c>
      <c r="O149" s="177">
        <f>O97*O98/Units</f>
        <v>4226.9579724038485</v>
      </c>
    </row>
    <row r="150" spans="2:26" ht="15.75" customHeight="1" outlineLevel="1" x14ac:dyDescent="0.3">
      <c r="C150" s="210" t="s">
        <v>208</v>
      </c>
      <c r="D150" s="45" t="s">
        <v>175</v>
      </c>
      <c r="E150" s="66">
        <v>-1628.6</v>
      </c>
      <c r="F150" s="66">
        <v>-1851.2</v>
      </c>
      <c r="G150" s="151">
        <v>-254.90655737704918</v>
      </c>
      <c r="H150" s="211"/>
      <c r="I150" s="176"/>
      <c r="J150" s="212"/>
      <c r="K150" s="199">
        <f>-K149*K106</f>
        <v>-651.97254098360656</v>
      </c>
      <c r="L150" s="188">
        <f>-L149*L106</f>
        <v>-1120.9426107237375</v>
      </c>
      <c r="M150" s="188">
        <f>-M149*M106</f>
        <v>-1525.7225511999022</v>
      </c>
      <c r="N150" s="188">
        <f>-N149*N106</f>
        <v>-2069.5471288956737</v>
      </c>
      <c r="O150" s="188">
        <f>-O149*O106</f>
        <v>-2589.0034582484877</v>
      </c>
    </row>
    <row r="151" spans="2:26" ht="15.75" customHeight="1" outlineLevel="1" x14ac:dyDescent="0.3">
      <c r="C151" s="25" t="s">
        <v>207</v>
      </c>
      <c r="D151" s="44" t="s">
        <v>175</v>
      </c>
      <c r="E151" s="162">
        <v>1020.2</v>
      </c>
      <c r="F151" s="162">
        <v>1182.8</v>
      </c>
      <c r="G151" s="162">
        <f>SUM(G149:G150)</f>
        <v>398.7</v>
      </c>
      <c r="H151" s="192"/>
      <c r="J151" s="193"/>
      <c r="K151" s="35">
        <f>K149+K150</f>
        <v>796.85532786885244</v>
      </c>
      <c r="L151" s="35">
        <f t="shared" ref="L151:O151" si="39">L149+L150</f>
        <v>917.13486331942136</v>
      </c>
      <c r="M151" s="35">
        <f t="shared" si="39"/>
        <v>965.26102818618074</v>
      </c>
      <c r="N151" s="35">
        <f t="shared" si="39"/>
        <v>1309.3161583975707</v>
      </c>
      <c r="O151" s="35">
        <f t="shared" si="39"/>
        <v>1637.9545141553608</v>
      </c>
    </row>
    <row r="152" spans="2:26" ht="15.75" customHeight="1" outlineLevel="1" x14ac:dyDescent="0.3">
      <c r="C152" s="169"/>
      <c r="D152" s="44"/>
      <c r="E152" s="20"/>
      <c r="F152" s="20"/>
      <c r="G152" s="20"/>
      <c r="H152" s="192"/>
      <c r="J152" s="193"/>
    </row>
    <row r="153" spans="2:26" ht="15.75" customHeight="1" outlineLevel="1" x14ac:dyDescent="0.3">
      <c r="C153" s="169" t="s">
        <v>220</v>
      </c>
      <c r="D153" s="44" t="s">
        <v>175</v>
      </c>
      <c r="E153" s="20">
        <v>103</v>
      </c>
      <c r="F153" s="20">
        <v>110.5</v>
      </c>
      <c r="G153" s="20">
        <v>19.2</v>
      </c>
      <c r="H153" s="192"/>
      <c r="J153" s="193"/>
      <c r="K153" s="247">
        <f>K105*K97/Units</f>
        <v>48.095599999999997</v>
      </c>
      <c r="L153" s="247">
        <f>L105*L97/Units</f>
        <v>86.759902581234016</v>
      </c>
      <c r="M153" s="247">
        <f>M105*M97/Units</f>
        <v>101.21988634477303</v>
      </c>
      <c r="N153" s="247">
        <f>N105*N97/Units</f>
        <v>120.13613443762983</v>
      </c>
      <c r="O153" s="247">
        <f>O105*O97/Units</f>
        <v>126.14294115951132</v>
      </c>
    </row>
    <row r="154" spans="2:26" ht="15.75" customHeight="1" outlineLevel="1" x14ac:dyDescent="0.3">
      <c r="C154" s="169" t="s">
        <v>221</v>
      </c>
      <c r="D154" s="45" t="s">
        <v>175</v>
      </c>
      <c r="E154" s="20">
        <v>56.6</v>
      </c>
      <c r="F154" s="20">
        <v>62.3</v>
      </c>
      <c r="G154" s="20">
        <v>24.4</v>
      </c>
      <c r="H154" s="192"/>
      <c r="J154" s="193"/>
      <c r="K154" s="247">
        <f>(K107+1)*G154</f>
        <v>37.418367131628727</v>
      </c>
      <c r="L154" s="247">
        <f>(L107+1)*K154</f>
        <v>43.03112220137303</v>
      </c>
      <c r="M154" s="247">
        <f>(M107+1)*L154</f>
        <v>45.612989533455412</v>
      </c>
      <c r="N154" s="247">
        <f>(N107+1)*M154</f>
        <v>46.692654038271449</v>
      </c>
      <c r="O154" s="247">
        <f>(O107+1)*N154</f>
        <v>47.797874321274413</v>
      </c>
    </row>
    <row r="155" spans="2:26" ht="15.75" customHeight="1" outlineLevel="1" x14ac:dyDescent="0.3">
      <c r="C155" s="30" t="s">
        <v>152</v>
      </c>
      <c r="D155" s="44" t="s">
        <v>175</v>
      </c>
      <c r="E155" s="31">
        <f>E151+SUM(E153:E154)</f>
        <v>1179.8</v>
      </c>
      <c r="F155" s="31">
        <f t="shared" ref="F155:G155" si="40">F151+SUM(F153:F154)</f>
        <v>1355.6</v>
      </c>
      <c r="G155" s="31">
        <f t="shared" si="40"/>
        <v>442.29999999999995</v>
      </c>
      <c r="H155" s="213"/>
      <c r="I155" s="172"/>
      <c r="J155" s="214"/>
      <c r="K155" s="31">
        <f>SUM(K153:K154)+K151</f>
        <v>882.3692950004812</v>
      </c>
      <c r="L155" s="31">
        <f t="shared" ref="L155:O155" si="41">SUM(L153:L154)+L151</f>
        <v>1046.9258881020285</v>
      </c>
      <c r="M155" s="31">
        <f t="shared" si="41"/>
        <v>1112.0939040644091</v>
      </c>
      <c r="N155" s="31">
        <f t="shared" si="41"/>
        <v>1476.144946873472</v>
      </c>
      <c r="O155" s="31">
        <f t="shared" si="41"/>
        <v>1811.8953296361465</v>
      </c>
    </row>
    <row r="156" spans="2:26" ht="15.75" customHeight="1" outlineLevel="1" x14ac:dyDescent="0.3">
      <c r="E156" s="174"/>
      <c r="F156" s="174"/>
      <c r="G156" s="174"/>
      <c r="H156" s="192"/>
      <c r="J156" s="193"/>
    </row>
    <row r="157" spans="2:26" ht="15.75" customHeight="1" outlineLevel="1" x14ac:dyDescent="0.3">
      <c r="C157" s="3" t="s">
        <v>218</v>
      </c>
      <c r="E157" s="310"/>
      <c r="F157" s="310"/>
      <c r="G157" s="174"/>
      <c r="H157" s="192"/>
      <c r="J157" s="193"/>
      <c r="K157" s="310"/>
      <c r="L157" s="310"/>
      <c r="M157" s="310"/>
      <c r="N157" s="310"/>
      <c r="O157" s="310"/>
    </row>
    <row r="158" spans="2:26" ht="15.75" customHeight="1" outlineLevel="1" x14ac:dyDescent="0.3">
      <c r="C158" s="169" t="s">
        <v>222</v>
      </c>
      <c r="D158" s="44" t="s">
        <v>175</v>
      </c>
      <c r="E158" s="20">
        <f>-357-13</f>
        <v>-370</v>
      </c>
      <c r="F158" s="20">
        <f>-430.8-12.2</f>
        <v>-443</v>
      </c>
      <c r="G158" s="20">
        <f>-142-17.1</f>
        <v>-159.1</v>
      </c>
      <c r="H158" s="195"/>
      <c r="I158" s="174"/>
      <c r="J158" s="196"/>
      <c r="K158" s="174">
        <f>-K113*K97/Units</f>
        <v>-240.47800000000001</v>
      </c>
      <c r="L158" s="174">
        <f>-L113*L97/Units</f>
        <v>-362.44529999999997</v>
      </c>
      <c r="M158" s="174">
        <f>-M113*M97/Units</f>
        <v>-421.89400000000001</v>
      </c>
      <c r="N158" s="174">
        <f>-N113*N97/Units</f>
        <v>-498.57100000000003</v>
      </c>
      <c r="O158" s="174">
        <f>-O113*O97/Units</f>
        <v>-520.24800000000005</v>
      </c>
    </row>
    <row r="159" spans="2:26" ht="15.75" customHeight="1" outlineLevel="1" x14ac:dyDescent="0.3">
      <c r="C159" s="169" t="s">
        <v>223</v>
      </c>
      <c r="D159" s="44" t="s">
        <v>175</v>
      </c>
      <c r="E159" s="20">
        <v>-359.5</v>
      </c>
      <c r="F159" s="20">
        <v>-370.2</v>
      </c>
      <c r="G159" s="20">
        <v>-134</v>
      </c>
      <c r="H159" s="195"/>
      <c r="I159" s="174"/>
      <c r="J159" s="196"/>
      <c r="K159" s="174">
        <f>-K155*K114</f>
        <v>-259.05299561154101</v>
      </c>
      <c r="L159" s="174">
        <f>-L155*L114</f>
        <v>-307.36482902655348</v>
      </c>
      <c r="M159" s="174">
        <f>-M155*M114</f>
        <v>-326.49737347111761</v>
      </c>
      <c r="N159" s="174">
        <f>-N155*N114</f>
        <v>-433.37837412418509</v>
      </c>
      <c r="O159" s="174">
        <f>-O155*O114</f>
        <v>-531.95064190957407</v>
      </c>
    </row>
    <row r="160" spans="2:26" ht="15.75" customHeight="1" outlineLevel="1" x14ac:dyDescent="0.3">
      <c r="C160" s="169" t="s">
        <v>229</v>
      </c>
      <c r="D160" s="44" t="s">
        <v>175</v>
      </c>
      <c r="E160" s="20">
        <v>-74.099999999999994</v>
      </c>
      <c r="F160" s="20">
        <v>-89.9</v>
      </c>
      <c r="G160" s="20">
        <v>-91.5</v>
      </c>
      <c r="H160" s="195"/>
      <c r="I160" s="174"/>
      <c r="J160" s="196"/>
      <c r="K160" s="174">
        <f>K126*K109/Units</f>
        <v>-72.643053345426054</v>
      </c>
      <c r="L160" s="174">
        <f>L126*L109/Units</f>
        <v>-92.831842870099351</v>
      </c>
      <c r="M160" s="174">
        <f>M126*M109/Units</f>
        <v>-99.020632394772633</v>
      </c>
      <c r="N160" s="174">
        <f>N126*N109/Units</f>
        <v>-126.45942191944593</v>
      </c>
      <c r="O160" s="174">
        <f>O126*O109/Units</f>
        <v>-133.89821144411923</v>
      </c>
    </row>
    <row r="161" spans="3:15" ht="15.75" customHeight="1" outlineLevel="1" x14ac:dyDescent="0.3">
      <c r="C161" s="169" t="s">
        <v>230</v>
      </c>
      <c r="D161" s="44" t="s">
        <v>175</v>
      </c>
      <c r="E161" s="20">
        <v>-8.9000000000000057</v>
      </c>
      <c r="F161" s="20">
        <v>-7.8</v>
      </c>
      <c r="G161" s="20">
        <v>-9.1</v>
      </c>
      <c r="H161" s="195"/>
      <c r="I161" s="174"/>
      <c r="J161" s="196"/>
      <c r="K161" s="174">
        <f>K116</f>
        <v>-8.6000000000000014</v>
      </c>
      <c r="L161" s="174">
        <f>L116</f>
        <v>-8.6000000000000014</v>
      </c>
      <c r="M161" s="174">
        <f>M116</f>
        <v>-8.6000000000000014</v>
      </c>
      <c r="N161" s="174">
        <f>N116</f>
        <v>-8.6000000000000014</v>
      </c>
      <c r="O161" s="174">
        <f>O116</f>
        <v>-8.6000000000000014</v>
      </c>
    </row>
    <row r="162" spans="3:15" ht="15.75" customHeight="1" outlineLevel="1" x14ac:dyDescent="0.3">
      <c r="C162" s="169" t="s">
        <v>224</v>
      </c>
      <c r="D162" s="44" t="s">
        <v>175</v>
      </c>
      <c r="E162" s="20">
        <v>0</v>
      </c>
      <c r="F162" s="20">
        <v>-55.1</v>
      </c>
      <c r="G162" s="20">
        <v>-55.7</v>
      </c>
      <c r="H162" s="195"/>
      <c r="I162" s="174"/>
      <c r="J162" s="196"/>
      <c r="K162" s="174">
        <f>-K132*K110/Units</f>
        <v>-56.435193890423385</v>
      </c>
      <c r="L162" s="174">
        <f>-L132*L110/Units</f>
        <v>-56.435193890423385</v>
      </c>
      <c r="M162" s="174">
        <f>-M132*M110/Units</f>
        <v>-56.435193890423385</v>
      </c>
      <c r="N162" s="174">
        <f>-N132*N110/Units</f>
        <v>-56.435193890423385</v>
      </c>
      <c r="O162" s="174">
        <f>-O132*O110/Units</f>
        <v>-56.435193890423385</v>
      </c>
    </row>
    <row r="163" spans="3:15" ht="15.75" customHeight="1" outlineLevel="1" x14ac:dyDescent="0.3">
      <c r="C163" s="169" t="s">
        <v>227</v>
      </c>
      <c r="D163" s="44" t="s">
        <v>175</v>
      </c>
      <c r="E163" s="20">
        <v>0</v>
      </c>
      <c r="F163" s="20">
        <v>-50.9</v>
      </c>
      <c r="G163" s="20">
        <v>-50.9</v>
      </c>
      <c r="H163" s="195"/>
      <c r="I163" s="174"/>
      <c r="J163" s="196"/>
      <c r="K163" s="174">
        <f>-K133*K110/Units</f>
        <v>-50.99565712990065</v>
      </c>
      <c r="L163" s="174">
        <f>-L133*L110/Units</f>
        <v>-49.635772939769971</v>
      </c>
      <c r="M163" s="174">
        <f>-M133*M110/Units</f>
        <v>-48.955830844704629</v>
      </c>
      <c r="N163" s="174">
        <f>-N133*N110/Units</f>
        <v>-47.595946654573943</v>
      </c>
      <c r="O163" s="174">
        <f>-O133*O110/Units</f>
        <v>-45.556120369377922</v>
      </c>
    </row>
    <row r="164" spans="3:15" ht="15.75" customHeight="1" outlineLevel="1" x14ac:dyDescent="0.3">
      <c r="C164" s="335" t="s">
        <v>291</v>
      </c>
      <c r="D164" s="140" t="s">
        <v>175</v>
      </c>
      <c r="E164" s="105">
        <v>-67.3</v>
      </c>
      <c r="F164" s="105">
        <v>-41.5</v>
      </c>
      <c r="G164" s="134">
        <v>-57.7</v>
      </c>
      <c r="H164" s="216"/>
      <c r="I164" s="216"/>
      <c r="J164" s="249"/>
      <c r="K164" s="217">
        <f>-K275</f>
        <v>-168.14399999999995</v>
      </c>
      <c r="L164" s="217">
        <f t="shared" ref="L164:O164" si="42">-L275</f>
        <v>-174.63563093355322</v>
      </c>
      <c r="M164" s="217">
        <f t="shared" si="42"/>
        <v>-185.09070152519178</v>
      </c>
      <c r="N164" s="217">
        <f t="shared" si="42"/>
        <v>-196.91171174673048</v>
      </c>
      <c r="O164" s="217">
        <f t="shared" si="42"/>
        <v>-208.17357648899969</v>
      </c>
    </row>
    <row r="165" spans="3:15" ht="15.75" customHeight="1" outlineLevel="1" x14ac:dyDescent="0.3">
      <c r="C165" s="278" t="s">
        <v>253</v>
      </c>
      <c r="D165" s="253" t="s">
        <v>175</v>
      </c>
      <c r="E165" s="106">
        <v>4.5999999999999996</v>
      </c>
      <c r="F165" s="106">
        <v>5.0999999999999996</v>
      </c>
      <c r="G165" s="251">
        <v>7</v>
      </c>
      <c r="H165" s="250"/>
      <c r="I165" s="250"/>
      <c r="J165" s="259"/>
      <c r="K165" s="226">
        <f>J184*$F$63</f>
        <v>1</v>
      </c>
      <c r="L165" s="226">
        <f t="shared" ref="L165:O165" si="43">K184*$F$63</f>
        <v>1</v>
      </c>
      <c r="M165" s="226">
        <f t="shared" si="43"/>
        <v>1</v>
      </c>
      <c r="N165" s="226">
        <f t="shared" si="43"/>
        <v>1</v>
      </c>
      <c r="O165" s="226">
        <f t="shared" si="43"/>
        <v>1</v>
      </c>
    </row>
    <row r="166" spans="3:15" ht="15.75" customHeight="1" outlineLevel="1" x14ac:dyDescent="0.3">
      <c r="C166" s="224" t="s">
        <v>228</v>
      </c>
      <c r="D166" s="253" t="s">
        <v>175</v>
      </c>
      <c r="E166" s="106"/>
      <c r="F166" s="106"/>
      <c r="G166" s="251"/>
      <c r="H166" s="250"/>
      <c r="I166" s="250"/>
      <c r="J166" s="259"/>
      <c r="K166" s="226">
        <f>-MIN($K$44+SUM($J166:J166),$K$44/$E$33)</f>
        <v>-7.7485714285714256</v>
      </c>
      <c r="L166" s="226">
        <f>-MIN($K$44+SUM($J166:K166),$K$44/$E$33)</f>
        <v>-7.7485714285714256</v>
      </c>
      <c r="M166" s="226">
        <f>-MIN($K$44+SUM($J166:L166),$K$44/$E$33)</f>
        <v>-7.7485714285714256</v>
      </c>
      <c r="N166" s="226">
        <f>-MIN($K$44+SUM($J166:M166),$K$44/$E$33)</f>
        <v>-7.7485714285714256</v>
      </c>
      <c r="O166" s="226">
        <f>-MIN($K$44+SUM($J166:N166),$K$44/$E$33)</f>
        <v>-7.7485714285714256</v>
      </c>
    </row>
    <row r="167" spans="3:15" ht="15.75" customHeight="1" outlineLevel="1" x14ac:dyDescent="0.3">
      <c r="C167" s="252" t="s">
        <v>97</v>
      </c>
      <c r="D167" s="253" t="s">
        <v>175</v>
      </c>
      <c r="E167" s="254"/>
      <c r="F167" s="254"/>
      <c r="G167" s="254"/>
      <c r="H167" s="255"/>
      <c r="I167" s="256"/>
      <c r="J167" s="257"/>
      <c r="K167" s="254">
        <v>0</v>
      </c>
      <c r="L167" s="254">
        <v>0</v>
      </c>
      <c r="M167" s="254">
        <v>0</v>
      </c>
      <c r="N167" s="254">
        <v>0</v>
      </c>
      <c r="O167" s="254">
        <v>0</v>
      </c>
    </row>
    <row r="168" spans="3:15" ht="15.75" customHeight="1" outlineLevel="1" x14ac:dyDescent="0.3">
      <c r="C168" s="224" t="s">
        <v>231</v>
      </c>
      <c r="D168" s="141" t="s">
        <v>175</v>
      </c>
      <c r="E168" s="106"/>
      <c r="F168" s="106"/>
      <c r="G168" s="251"/>
      <c r="H168" s="106"/>
      <c r="I168" s="106"/>
      <c r="J168" s="251"/>
      <c r="K168" s="226">
        <f>-MIN($L$80/$K$81,$L$80+SUM($J168:J168))</f>
        <v>-10.589632875000003</v>
      </c>
      <c r="L168" s="226">
        <f>-MIN($L$80/$K$81,$L$80+SUM($J168:K168))</f>
        <v>-10.589632875000003</v>
      </c>
      <c r="M168" s="226">
        <f>-MIN($L$80/$K$81,$L$80+SUM($J168:L168))</f>
        <v>-10.589632875000003</v>
      </c>
      <c r="N168" s="226">
        <f>-MIN($L$80/$K$81,$L$80+SUM($J168:M168))</f>
        <v>-10.589632875000003</v>
      </c>
      <c r="O168" s="226">
        <f>-MIN($L$80/$K$81,$L$80+SUM($J168:N168))</f>
        <v>-10.589632875000003</v>
      </c>
    </row>
    <row r="169" spans="3:15" ht="15.75" customHeight="1" outlineLevel="1" x14ac:dyDescent="0.3">
      <c r="C169" s="228" t="s">
        <v>149</v>
      </c>
      <c r="D169" s="142" t="s">
        <v>175</v>
      </c>
      <c r="E169" s="107"/>
      <c r="F169" s="107"/>
      <c r="G169" s="133"/>
      <c r="H169" s="107"/>
      <c r="I169" s="107"/>
      <c r="J169" s="133"/>
      <c r="K169" s="231">
        <f>-MIN($K$73,$L$71+SUM($J169:J169))</f>
        <v>-7.3275000000000006</v>
      </c>
      <c r="L169" s="231">
        <f>-MIN($K$73,$L$71+SUM($J169:K169))</f>
        <v>-7.3275000000000006</v>
      </c>
      <c r="M169" s="231">
        <f>-MIN($K$73,$L$71+SUM($J169:L169))</f>
        <v>-7.3275000000000006</v>
      </c>
      <c r="N169" s="231">
        <f>-MIN($K$73,$L$71+SUM($J169:M169))</f>
        <v>-7.3275000000000006</v>
      </c>
      <c r="O169" s="231">
        <f>-MIN($K$73,$L$71+SUM($J169:N169))</f>
        <v>-7.3275000000000006</v>
      </c>
    </row>
    <row r="170" spans="3:15" ht="15.75" customHeight="1" outlineLevel="1" x14ac:dyDescent="0.3">
      <c r="C170" s="169" t="s">
        <v>226</v>
      </c>
      <c r="D170" s="258" t="s">
        <v>175</v>
      </c>
      <c r="E170" s="20">
        <v>-15.7</v>
      </c>
      <c r="F170" s="20">
        <f>-3.6+6.6+2.3</f>
        <v>5.2999999999999989</v>
      </c>
      <c r="G170" s="20">
        <f>-24.7+0.1</f>
        <v>-24.599999999999998</v>
      </c>
      <c r="H170" s="195"/>
      <c r="I170" s="174"/>
      <c r="J170" s="196"/>
      <c r="K170" s="47">
        <f>K117</f>
        <v>-11.666666666666666</v>
      </c>
      <c r="L170" s="47">
        <f>L117</f>
        <v>-11.666666666666666</v>
      </c>
      <c r="M170" s="47">
        <f>M117</f>
        <v>-11.666666666666666</v>
      </c>
      <c r="N170" s="47">
        <f>N117</f>
        <v>-11.666666666666666</v>
      </c>
      <c r="O170" s="47">
        <f>O117</f>
        <v>-11.666666666666666</v>
      </c>
    </row>
    <row r="171" spans="3:15" ht="15.75" customHeight="1" outlineLevel="1" x14ac:dyDescent="0.3">
      <c r="C171" s="30" t="s">
        <v>225</v>
      </c>
      <c r="D171" s="44" t="s">
        <v>175</v>
      </c>
      <c r="E171" s="31">
        <f>SUM(E158:E170)</f>
        <v>-890.9</v>
      </c>
      <c r="F171" s="31">
        <f>SUM(F158:F170)</f>
        <v>-1048.0000000000002</v>
      </c>
      <c r="G171" s="31">
        <f t="shared" ref="G171" si="44">SUM(G158:G170)</f>
        <v>-575.6</v>
      </c>
      <c r="H171" s="71"/>
      <c r="I171" s="31"/>
      <c r="J171" s="72"/>
      <c r="K171" s="31">
        <f>SUM(K158:K170)</f>
        <v>-892.68127094752924</v>
      </c>
      <c r="L171" s="31">
        <f t="shared" ref="L171:O171" si="45">SUM(L158:L170)</f>
        <v>-1088.2809406306376</v>
      </c>
      <c r="M171" s="31">
        <f t="shared" si="45"/>
        <v>-1182.8261030964484</v>
      </c>
      <c r="N171" s="31">
        <f t="shared" si="45"/>
        <v>-1404.284019305597</v>
      </c>
      <c r="O171" s="31">
        <f t="shared" si="45"/>
        <v>-1541.1941150727325</v>
      </c>
    </row>
    <row r="172" spans="3:15" ht="15.75" customHeight="1" outlineLevel="1" x14ac:dyDescent="0.3">
      <c r="C172" s="169"/>
      <c r="E172" s="174"/>
      <c r="F172" s="174"/>
      <c r="G172" s="174"/>
      <c r="H172" s="192"/>
      <c r="J172" s="193"/>
    </row>
    <row r="173" spans="3:15" ht="15.75" customHeight="1" outlineLevel="1" x14ac:dyDescent="0.3">
      <c r="C173" s="3" t="s">
        <v>66</v>
      </c>
      <c r="D173" s="44" t="s">
        <v>175</v>
      </c>
      <c r="E173" s="35">
        <f>E155+E171</f>
        <v>288.89999999999998</v>
      </c>
      <c r="F173" s="35">
        <f>F155+F171</f>
        <v>307.59999999999968</v>
      </c>
      <c r="G173" s="35">
        <f t="shared" ref="G173" si="46">G155+G171</f>
        <v>-133.30000000000007</v>
      </c>
      <c r="H173" s="73"/>
      <c r="I173" s="35"/>
      <c r="J173" s="74"/>
      <c r="K173" s="35">
        <f>K171+K155</f>
        <v>-10.31197594704804</v>
      </c>
      <c r="L173" s="35">
        <f t="shared" ref="L173:O173" si="47">L171+L155</f>
        <v>-41.355052528609122</v>
      </c>
      <c r="M173" s="35">
        <f t="shared" si="47"/>
        <v>-70.732199032039262</v>
      </c>
      <c r="N173" s="35">
        <f t="shared" si="47"/>
        <v>71.860927567875024</v>
      </c>
      <c r="O173" s="35">
        <f t="shared" si="47"/>
        <v>270.70121456341394</v>
      </c>
    </row>
    <row r="174" spans="3:15" ht="15.75" customHeight="1" outlineLevel="1" x14ac:dyDescent="0.3">
      <c r="C174" s="343" t="s">
        <v>311</v>
      </c>
      <c r="D174" s="44" t="s">
        <v>175</v>
      </c>
      <c r="E174" s="20">
        <v>-55.8</v>
      </c>
      <c r="F174" s="20">
        <v>-65.400000000000006</v>
      </c>
      <c r="G174" s="20">
        <v>28.5</v>
      </c>
      <c r="H174" s="195"/>
      <c r="I174" s="174"/>
      <c r="J174" s="196"/>
      <c r="K174" s="174">
        <f>-K173*Tax_Rate</f>
        <v>2.6857664313492542</v>
      </c>
      <c r="L174" s="174">
        <f>-L173*Tax_Rate</f>
        <v>10.770972742602153</v>
      </c>
      <c r="M174" s="174">
        <f>-M173*Tax_Rate</f>
        <v>18.422285578560441</v>
      </c>
      <c r="N174" s="174">
        <f>-N173*Tax_Rate</f>
        <v>-18.716264271608257</v>
      </c>
      <c r="O174" s="174">
        <f>-O173*Tax_Rate</f>
        <v>-70.504454115606748</v>
      </c>
    </row>
    <row r="175" spans="3:15" ht="15.75" customHeight="1" outlineLevel="1" x14ac:dyDescent="0.3">
      <c r="C175" s="30" t="s">
        <v>25</v>
      </c>
      <c r="D175" s="143" t="s">
        <v>175</v>
      </c>
      <c r="E175" s="31">
        <f>SUM(E173:E174)</f>
        <v>233.09999999999997</v>
      </c>
      <c r="F175" s="31">
        <f>SUM(F173:F174)</f>
        <v>242.19999999999968</v>
      </c>
      <c r="G175" s="31">
        <f t="shared" ref="G175" si="48">SUM(G173:G174)</f>
        <v>-104.80000000000007</v>
      </c>
      <c r="H175" s="71"/>
      <c r="I175" s="31"/>
      <c r="J175" s="72"/>
      <c r="K175" s="31">
        <f>K174+K173</f>
        <v>-7.6262095156987861</v>
      </c>
      <c r="L175" s="31">
        <f t="shared" ref="L175:O175" si="49">L174+L173</f>
        <v>-30.584079786006967</v>
      </c>
      <c r="M175" s="31">
        <f t="shared" si="49"/>
        <v>-52.309913453478821</v>
      </c>
      <c r="N175" s="31">
        <f t="shared" si="49"/>
        <v>53.144663296266771</v>
      </c>
      <c r="O175" s="31">
        <f t="shared" si="49"/>
        <v>200.19676044780721</v>
      </c>
    </row>
    <row r="176" spans="3:15" ht="15.75" customHeight="1" outlineLevel="1" x14ac:dyDescent="0.3">
      <c r="C176" s="169" t="s">
        <v>232</v>
      </c>
      <c r="D176" s="44" t="s">
        <v>175</v>
      </c>
      <c r="E176" s="20">
        <v>1.6</v>
      </c>
      <c r="F176" s="20">
        <v>2.7</v>
      </c>
      <c r="G176" s="20">
        <v>2.9</v>
      </c>
      <c r="H176" s="195"/>
      <c r="I176" s="174"/>
      <c r="J176" s="196"/>
      <c r="K176" s="174">
        <f>K121</f>
        <v>2.4000000000000004</v>
      </c>
      <c r="L176" s="174">
        <f>L121</f>
        <v>2.4000000000000004</v>
      </c>
      <c r="M176" s="174">
        <f>M121</f>
        <v>2.4000000000000004</v>
      </c>
      <c r="N176" s="174">
        <f>N121</f>
        <v>2.4000000000000004</v>
      </c>
      <c r="O176" s="174">
        <f>O121</f>
        <v>2.4000000000000004</v>
      </c>
    </row>
    <row r="177" spans="2:26" ht="15.75" customHeight="1" outlineLevel="1" x14ac:dyDescent="0.3">
      <c r="C177" s="169" t="s">
        <v>234</v>
      </c>
      <c r="D177" s="44" t="s">
        <v>175</v>
      </c>
      <c r="E177" s="20">
        <v>-88.6</v>
      </c>
      <c r="F177" s="20">
        <v>-70.5</v>
      </c>
      <c r="G177" s="20">
        <v>19.600000000000001</v>
      </c>
      <c r="H177" s="195"/>
      <c r="I177" s="174"/>
      <c r="J177" s="196"/>
      <c r="K177" s="174">
        <f>-K175*K122</f>
        <v>1.3727177128257815</v>
      </c>
      <c r="L177" s="174">
        <f t="shared" ref="L177:O177" si="50">-L175*L122</f>
        <v>4.5876119679010445</v>
      </c>
      <c r="M177" s="174">
        <f t="shared" si="50"/>
        <v>7.3233878834870358</v>
      </c>
      <c r="N177" s="174">
        <f t="shared" si="50"/>
        <v>-6.9088062285146803</v>
      </c>
      <c r="O177" s="174">
        <f t="shared" si="50"/>
        <v>-24.023611253736863</v>
      </c>
      <c r="P177" s="372"/>
      <c r="Q177" s="372"/>
      <c r="R177" s="372"/>
      <c r="S177" s="372"/>
      <c r="T177" s="372"/>
      <c r="U177" s="372"/>
      <c r="V177" s="372"/>
      <c r="W177" s="372"/>
      <c r="X177" s="372"/>
      <c r="Y177" s="372"/>
      <c r="Z177" s="372"/>
    </row>
    <row r="178" spans="2:26" ht="15.75" customHeight="1" outlineLevel="1" x14ac:dyDescent="0.3">
      <c r="C178" s="28" t="s">
        <v>233</v>
      </c>
      <c r="D178" s="143" t="s">
        <v>175</v>
      </c>
      <c r="E178" s="59">
        <f>SUM(E175:E177)</f>
        <v>146.09999999999997</v>
      </c>
      <c r="F178" s="59">
        <f t="shared" ref="F178:G178" si="51">SUM(F175:F177)</f>
        <v>174.39999999999966</v>
      </c>
      <c r="G178" s="59">
        <f t="shared" si="51"/>
        <v>-82.300000000000068</v>
      </c>
      <c r="H178" s="261"/>
      <c r="I178" s="260"/>
      <c r="J178" s="262"/>
      <c r="K178" s="59">
        <f>SUM(K175:K177)</f>
        <v>-3.8534918028730045</v>
      </c>
      <c r="L178" s="59">
        <f t="shared" ref="L178:O178" si="52">SUM(L175:L177)</f>
        <v>-23.596467818105925</v>
      </c>
      <c r="M178" s="59">
        <f t="shared" si="52"/>
        <v>-42.586525569991785</v>
      </c>
      <c r="N178" s="59">
        <f t="shared" si="52"/>
        <v>48.635857067752092</v>
      </c>
      <c r="O178" s="59">
        <f t="shared" si="52"/>
        <v>178.57314919407034</v>
      </c>
      <c r="P178" s="372"/>
      <c r="Q178" s="372"/>
      <c r="R178" s="372"/>
      <c r="S178" s="372"/>
      <c r="T178" s="372"/>
      <c r="U178" s="372"/>
      <c r="V178" s="372"/>
      <c r="W178" s="372"/>
      <c r="X178" s="372"/>
      <c r="Y178" s="372"/>
      <c r="Z178" s="372"/>
    </row>
    <row r="179" spans="2:26" ht="15.75" customHeight="1" x14ac:dyDescent="0.3">
      <c r="C179" s="19"/>
      <c r="E179" s="174"/>
      <c r="F179" s="310"/>
      <c r="G179" s="310"/>
      <c r="H179" s="174"/>
      <c r="I179" s="174"/>
      <c r="J179" s="174"/>
      <c r="K179" s="174"/>
      <c r="L179" s="174"/>
      <c r="M179" s="174"/>
      <c r="N179" s="174"/>
      <c r="O179" s="174"/>
      <c r="P179" s="372"/>
      <c r="Q179" s="372"/>
      <c r="R179" s="372"/>
      <c r="S179" s="372"/>
      <c r="T179" s="372"/>
      <c r="U179" s="372"/>
      <c r="V179" s="372"/>
      <c r="W179" s="372"/>
      <c r="X179" s="372"/>
      <c r="Y179" s="372"/>
      <c r="Z179" s="372"/>
    </row>
    <row r="180" spans="2:26" ht="15.75" customHeight="1" x14ac:dyDescent="0.3">
      <c r="B180" s="11"/>
      <c r="C180" s="12"/>
      <c r="D180" s="13"/>
      <c r="E180" s="14" t="str">
        <f>$E$86</f>
        <v>Historical</v>
      </c>
      <c r="F180" s="15"/>
      <c r="G180" s="15"/>
      <c r="H180" s="16" t="str">
        <f>+$H$86</f>
        <v>Transaction Adjustments:</v>
      </c>
      <c r="I180" s="15"/>
      <c r="J180" s="15"/>
      <c r="K180" s="16" t="str">
        <f>$K$86</f>
        <v>Projected</v>
      </c>
      <c r="L180" s="17"/>
      <c r="M180" s="15"/>
      <c r="N180" s="15"/>
      <c r="O180" s="15"/>
      <c r="P180" s="372"/>
      <c r="Q180" s="372"/>
      <c r="R180" s="372"/>
      <c r="S180" s="372"/>
      <c r="T180" s="372"/>
      <c r="U180" s="372"/>
      <c r="V180" s="372"/>
      <c r="W180" s="372"/>
      <c r="X180" s="372"/>
      <c r="Y180" s="372"/>
      <c r="Z180" s="372"/>
    </row>
    <row r="181" spans="2:26" ht="15.75" customHeight="1" x14ac:dyDescent="0.3">
      <c r="B181" s="29" t="s">
        <v>67</v>
      </c>
      <c r="C181" s="18"/>
      <c r="D181" s="34" t="str">
        <f>$D$5</f>
        <v>Units:</v>
      </c>
      <c r="E181" s="1">
        <f>$E$87</f>
        <v>43465</v>
      </c>
      <c r="F181" s="1">
        <f>$F$87</f>
        <v>43830</v>
      </c>
      <c r="G181" s="2">
        <f>$G$87</f>
        <v>44196</v>
      </c>
      <c r="H181" s="1" t="str">
        <f>+$H$87</f>
        <v>Debit</v>
      </c>
      <c r="I181" s="1" t="str">
        <f>+$I$87</f>
        <v>Credit</v>
      </c>
      <c r="J181" s="1">
        <f>+$J$87</f>
        <v>44196</v>
      </c>
      <c r="K181" s="54">
        <f>$K$87</f>
        <v>44561</v>
      </c>
      <c r="L181" s="1">
        <f>$L$87</f>
        <v>44926</v>
      </c>
      <c r="M181" s="1">
        <f>$M$87</f>
        <v>45291</v>
      </c>
      <c r="N181" s="1">
        <f>$N$87</f>
        <v>45657</v>
      </c>
      <c r="O181" s="1">
        <f>$O$87</f>
        <v>46022</v>
      </c>
      <c r="P181" s="372"/>
      <c r="Q181" s="372"/>
      <c r="R181" s="372"/>
      <c r="S181" s="372"/>
      <c r="T181" s="372"/>
      <c r="U181" s="372"/>
      <c r="V181" s="372"/>
      <c r="W181" s="372"/>
      <c r="X181" s="372"/>
      <c r="Y181" s="372"/>
      <c r="Z181" s="372"/>
    </row>
    <row r="182" spans="2:26" ht="15.75" customHeight="1" outlineLevel="1" x14ac:dyDescent="0.3">
      <c r="B182" s="61" t="s">
        <v>77</v>
      </c>
      <c r="C182" s="65"/>
      <c r="D182" s="189"/>
      <c r="E182" s="219"/>
      <c r="F182" s="219"/>
      <c r="G182" s="219"/>
      <c r="H182" s="220"/>
      <c r="I182" s="219"/>
      <c r="J182" s="221"/>
      <c r="K182" s="219"/>
      <c r="L182" s="219"/>
      <c r="M182" s="219"/>
      <c r="N182" s="219"/>
      <c r="O182" s="219"/>
      <c r="P182" s="372"/>
      <c r="Q182" s="372"/>
      <c r="R182" s="372"/>
      <c r="S182" s="372"/>
      <c r="T182" s="372"/>
      <c r="U182" s="372"/>
      <c r="V182" s="372"/>
      <c r="W182" s="372"/>
      <c r="X182" s="372"/>
      <c r="Y182" s="372"/>
      <c r="Z182" s="372"/>
    </row>
    <row r="183" spans="2:26" ht="15.75" customHeight="1" outlineLevel="1" x14ac:dyDescent="0.3">
      <c r="B183" s="3"/>
      <c r="C183" s="64" t="s">
        <v>85</v>
      </c>
      <c r="E183" s="174"/>
      <c r="F183" s="174"/>
      <c r="G183" s="174"/>
      <c r="H183" s="195"/>
      <c r="I183" s="174"/>
      <c r="J183" s="196"/>
      <c r="K183" s="174"/>
      <c r="L183" s="174"/>
      <c r="M183" s="174"/>
      <c r="N183" s="174"/>
      <c r="O183" s="174"/>
      <c r="P183" s="372"/>
      <c r="Q183" s="372"/>
      <c r="R183" s="372"/>
      <c r="S183" s="372"/>
      <c r="T183" s="372"/>
      <c r="U183" s="372"/>
      <c r="V183" s="372"/>
      <c r="W183" s="372"/>
      <c r="X183" s="372"/>
      <c r="Y183" s="372"/>
      <c r="Z183" s="372"/>
    </row>
    <row r="184" spans="2:26" ht="15.75" customHeight="1" outlineLevel="1" x14ac:dyDescent="0.3">
      <c r="C184" s="218" t="s">
        <v>68</v>
      </c>
      <c r="D184" s="139" t="s">
        <v>175</v>
      </c>
      <c r="E184" s="112">
        <v>336.8</v>
      </c>
      <c r="F184" s="112">
        <v>329.7</v>
      </c>
      <c r="G184" s="112">
        <v>434.8</v>
      </c>
      <c r="H184" s="114">
        <v>0</v>
      </c>
      <c r="I184" s="113">
        <f>-D46</f>
        <v>-234.8</v>
      </c>
      <c r="J184" s="115">
        <f>SUM(G184:I184)</f>
        <v>200</v>
      </c>
      <c r="K184" s="113">
        <f>K255</f>
        <v>200</v>
      </c>
      <c r="L184" s="113">
        <f t="shared" ref="L184:O184" si="53">L255</f>
        <v>200</v>
      </c>
      <c r="M184" s="113">
        <f t="shared" si="53"/>
        <v>200</v>
      </c>
      <c r="N184" s="113">
        <f t="shared" si="53"/>
        <v>200</v>
      </c>
      <c r="O184" s="113">
        <f t="shared" si="53"/>
        <v>200</v>
      </c>
      <c r="P184" s="372"/>
      <c r="Q184" s="372"/>
      <c r="R184" s="372"/>
      <c r="S184" s="372"/>
      <c r="T184" s="372"/>
      <c r="U184" s="372"/>
      <c r="V184" s="372"/>
      <c r="W184" s="372"/>
      <c r="X184" s="372"/>
      <c r="Y184" s="372"/>
      <c r="Z184" s="372"/>
    </row>
    <row r="185" spans="2:26" ht="15.75" customHeight="1" outlineLevel="1" x14ac:dyDescent="0.3">
      <c r="C185" s="169" t="s">
        <v>69</v>
      </c>
      <c r="D185" s="44" t="s">
        <v>175</v>
      </c>
      <c r="E185" s="20">
        <v>67.5</v>
      </c>
      <c r="F185" s="20">
        <v>79.599999999999994</v>
      </c>
      <c r="G185" s="20">
        <v>40.799999999999997</v>
      </c>
      <c r="H185" s="95"/>
      <c r="I185" s="20"/>
      <c r="J185" s="196">
        <f>G185</f>
        <v>40.799999999999997</v>
      </c>
      <c r="K185" s="174">
        <f>K139*K155</f>
        <v>66.17769712503609</v>
      </c>
      <c r="L185" s="174">
        <f t="shared" ref="L185:O185" si="54">L139*L155</f>
        <v>60.686353739466277</v>
      </c>
      <c r="M185" s="174">
        <f t="shared" si="54"/>
        <v>64.46389837193486</v>
      </c>
      <c r="N185" s="174">
        <f t="shared" si="54"/>
        <v>85.566567256343319</v>
      </c>
      <c r="O185" s="174">
        <f t="shared" si="54"/>
        <v>105.02875338437531</v>
      </c>
      <c r="P185" s="372"/>
      <c r="Q185" s="372"/>
      <c r="R185" s="372"/>
      <c r="S185" s="372"/>
      <c r="T185" s="372"/>
      <c r="U185" s="372"/>
      <c r="V185" s="372"/>
      <c r="W185" s="372"/>
      <c r="X185" s="372"/>
      <c r="Y185" s="372"/>
      <c r="Z185" s="372"/>
    </row>
    <row r="186" spans="2:26" ht="15.75" customHeight="1" outlineLevel="1" x14ac:dyDescent="0.3">
      <c r="C186" s="263" t="s">
        <v>235</v>
      </c>
      <c r="D186" s="45" t="s">
        <v>175</v>
      </c>
      <c r="E186" s="20">
        <v>34.6</v>
      </c>
      <c r="F186" s="20">
        <v>25</v>
      </c>
      <c r="G186" s="20">
        <v>66.5</v>
      </c>
      <c r="H186" s="95"/>
      <c r="I186" s="20"/>
      <c r="J186" s="196">
        <f>G186</f>
        <v>66.5</v>
      </c>
      <c r="K186" s="174">
        <f>K140*K155</f>
        <v>66.17769712503609</v>
      </c>
      <c r="L186" s="174">
        <f t="shared" ref="L186:O186" si="55">L140*L155</f>
        <v>47.111664964591277</v>
      </c>
      <c r="M186" s="174">
        <f t="shared" si="55"/>
        <v>26.561819569270426</v>
      </c>
      <c r="N186" s="174">
        <f t="shared" si="55"/>
        <v>35.257000864445502</v>
      </c>
      <c r="O186" s="174">
        <f t="shared" si="55"/>
        <v>43.276234721102924</v>
      </c>
      <c r="P186" s="372"/>
      <c r="Q186" s="372"/>
      <c r="R186" s="372"/>
      <c r="S186" s="372"/>
      <c r="T186" s="372"/>
      <c r="U186" s="372"/>
      <c r="V186" s="372"/>
      <c r="W186" s="372"/>
      <c r="X186" s="372"/>
      <c r="Y186" s="372"/>
      <c r="Z186" s="372"/>
    </row>
    <row r="187" spans="2:26" ht="15.75" customHeight="1" outlineLevel="1" x14ac:dyDescent="0.3">
      <c r="C187" s="28" t="s">
        <v>70</v>
      </c>
      <c r="D187" s="44" t="s">
        <v>175</v>
      </c>
      <c r="E187" s="31">
        <f>SUM(E184:E186)</f>
        <v>438.90000000000003</v>
      </c>
      <c r="F187" s="31">
        <f>SUM(F184:F186)</f>
        <v>434.29999999999995</v>
      </c>
      <c r="G187" s="31">
        <f>SUM(G184:G186)</f>
        <v>542.1</v>
      </c>
      <c r="H187" s="71"/>
      <c r="I187" s="31"/>
      <c r="J187" s="72">
        <f>SUM(J184:J186)</f>
        <v>307.3</v>
      </c>
      <c r="K187" s="31">
        <f>SUM(K184:K186)</f>
        <v>332.35539425007221</v>
      </c>
      <c r="L187" s="31">
        <f t="shared" ref="L187:O187" si="56">SUM(L184:L186)</f>
        <v>307.79801870405754</v>
      </c>
      <c r="M187" s="31">
        <f t="shared" si="56"/>
        <v>291.0257179412053</v>
      </c>
      <c r="N187" s="31">
        <f t="shared" si="56"/>
        <v>320.82356812078882</v>
      </c>
      <c r="O187" s="31">
        <f t="shared" si="56"/>
        <v>348.30498810547823</v>
      </c>
      <c r="P187" s="372"/>
      <c r="Q187" s="372"/>
      <c r="R187" s="372"/>
      <c r="S187" s="372"/>
      <c r="T187" s="372"/>
      <c r="U187" s="372"/>
      <c r="V187" s="372"/>
      <c r="W187" s="372"/>
      <c r="X187" s="372"/>
      <c r="Y187" s="372"/>
      <c r="Z187" s="372"/>
    </row>
    <row r="188" spans="2:26" ht="15.75" customHeight="1" outlineLevel="1" x14ac:dyDescent="0.3">
      <c r="C188" s="19"/>
      <c r="E188" s="174"/>
      <c r="F188" s="174"/>
      <c r="G188" s="174"/>
      <c r="H188" s="195"/>
      <c r="I188" s="174"/>
      <c r="J188" s="196"/>
      <c r="K188" s="174"/>
      <c r="L188" s="174"/>
      <c r="M188" s="174"/>
      <c r="N188" s="174"/>
      <c r="O188" s="174"/>
      <c r="P188" s="372"/>
      <c r="Q188" s="372"/>
      <c r="R188" s="372"/>
      <c r="S188" s="372"/>
      <c r="T188" s="372"/>
      <c r="U188" s="372"/>
      <c r="V188" s="372"/>
      <c r="W188" s="372"/>
      <c r="X188" s="372"/>
      <c r="Y188" s="372"/>
      <c r="Z188" s="372"/>
    </row>
    <row r="189" spans="2:26" ht="15.75" customHeight="1" outlineLevel="1" x14ac:dyDescent="0.3">
      <c r="C189" s="64" t="s">
        <v>86</v>
      </c>
      <c r="E189" s="174"/>
      <c r="F189" s="174"/>
      <c r="G189" s="174"/>
      <c r="H189" s="195"/>
      <c r="I189" s="174"/>
      <c r="J189" s="196"/>
      <c r="K189" s="174"/>
      <c r="L189" s="174"/>
      <c r="M189" s="174"/>
      <c r="N189" s="174"/>
      <c r="O189" s="174"/>
      <c r="P189" s="372"/>
      <c r="Q189" s="372"/>
      <c r="R189" s="372"/>
      <c r="S189" s="372"/>
      <c r="T189" s="372"/>
      <c r="U189" s="372"/>
      <c r="V189" s="372"/>
      <c r="W189" s="372"/>
      <c r="X189" s="372"/>
      <c r="Y189" s="372"/>
      <c r="Z189" s="372"/>
    </row>
    <row r="190" spans="2:26" ht="15.75" customHeight="1" outlineLevel="1" x14ac:dyDescent="0.3">
      <c r="C190" s="215" t="s">
        <v>71</v>
      </c>
      <c r="D190" s="140" t="s">
        <v>175</v>
      </c>
      <c r="E190" s="105">
        <v>989.1</v>
      </c>
      <c r="F190" s="105">
        <v>1275.3</v>
      </c>
      <c r="G190" s="105">
        <v>1465.5</v>
      </c>
      <c r="H190" s="222">
        <f>L71</f>
        <v>146.55000000000001</v>
      </c>
      <c r="I190" s="105">
        <v>0</v>
      </c>
      <c r="J190" s="223">
        <f>SUM(G190:I190)</f>
        <v>1612.05</v>
      </c>
      <c r="K190" s="217">
        <f>J190-K241-K227-K233-K242</f>
        <v>1810.6830652793599</v>
      </c>
      <c r="L190" s="217">
        <f t="shared" ref="L190:O190" si="57">K190-L241-L227-L233-L242</f>
        <v>1946.5874081494592</v>
      </c>
      <c r="M190" s="217">
        <f t="shared" si="57"/>
        <v>1964.0150662481522</v>
      </c>
      <c r="N190" s="217">
        <f t="shared" si="57"/>
        <v>2043.2539348221719</v>
      </c>
      <c r="O190" s="217">
        <f t="shared" si="57"/>
        <v>2050.8040138715187</v>
      </c>
      <c r="P190" s="372"/>
      <c r="Q190" s="372"/>
      <c r="R190" s="372"/>
      <c r="S190" s="372"/>
      <c r="T190" s="372"/>
      <c r="U190" s="372"/>
      <c r="V190" s="372"/>
      <c r="W190" s="372"/>
      <c r="X190" s="372"/>
      <c r="Y190" s="372"/>
      <c r="Z190" s="372"/>
    </row>
    <row r="191" spans="2:26" ht="15.75" customHeight="1" outlineLevel="1" x14ac:dyDescent="0.3">
      <c r="C191" s="264" t="s">
        <v>236</v>
      </c>
      <c r="D191" s="258" t="s">
        <v>175</v>
      </c>
      <c r="E191" s="265">
        <v>0</v>
      </c>
      <c r="F191" s="265">
        <v>985.7</v>
      </c>
      <c r="G191" s="265">
        <v>960.2</v>
      </c>
      <c r="H191" s="323"/>
      <c r="I191" s="265"/>
      <c r="J191" s="266">
        <f>SUM(G191:I191)</f>
        <v>960.2</v>
      </c>
      <c r="K191" s="267">
        <f>J191-K229-K243</f>
        <v>903.76480610957663</v>
      </c>
      <c r="L191" s="267">
        <f t="shared" ref="L191:O191" si="58">K191-L229-L243</f>
        <v>847.3296122191532</v>
      </c>
      <c r="M191" s="267">
        <f t="shared" si="58"/>
        <v>790.89441832872978</v>
      </c>
      <c r="N191" s="267">
        <f t="shared" si="58"/>
        <v>734.45922443830636</v>
      </c>
      <c r="O191" s="267">
        <f t="shared" si="58"/>
        <v>678.02403054788294</v>
      </c>
      <c r="P191" s="372"/>
      <c r="Q191" s="372"/>
      <c r="R191" s="372"/>
      <c r="S191" s="372"/>
      <c r="T191" s="372"/>
      <c r="U191" s="372"/>
      <c r="V191" s="372"/>
      <c r="W191" s="372"/>
      <c r="X191" s="372"/>
      <c r="Y191" s="372"/>
      <c r="Z191" s="372"/>
    </row>
    <row r="192" spans="2:26" ht="15.75" customHeight="1" outlineLevel="1" x14ac:dyDescent="0.3">
      <c r="C192" s="224" t="s">
        <v>72</v>
      </c>
      <c r="D192" s="141" t="s">
        <v>175</v>
      </c>
      <c r="E192" s="106">
        <v>22.5</v>
      </c>
      <c r="F192" s="106">
        <v>13.5</v>
      </c>
      <c r="G192" s="106">
        <v>13.5</v>
      </c>
      <c r="H192" s="225">
        <f>E80</f>
        <v>1633.6836826178089</v>
      </c>
      <c r="I192" s="226">
        <f>-E73</f>
        <v>-13.5</v>
      </c>
      <c r="J192" s="227">
        <f>SUM(G192:I192)</f>
        <v>1633.6836826178089</v>
      </c>
      <c r="K192" s="226">
        <f>J192-K231</f>
        <v>1633.6836826178089</v>
      </c>
      <c r="L192" s="226">
        <f t="shared" ref="L192:O192" si="59">K192-L231</f>
        <v>1633.6836826178089</v>
      </c>
      <c r="M192" s="226">
        <f t="shared" si="59"/>
        <v>1633.6836826178089</v>
      </c>
      <c r="N192" s="226">
        <f t="shared" si="59"/>
        <v>1633.6836826178089</v>
      </c>
      <c r="O192" s="226">
        <f t="shared" si="59"/>
        <v>1633.6836826178089</v>
      </c>
      <c r="P192" s="372"/>
      <c r="Q192" s="372"/>
      <c r="R192" s="372"/>
      <c r="S192" s="372"/>
      <c r="T192" s="372"/>
      <c r="U192" s="372"/>
      <c r="V192" s="372"/>
      <c r="W192" s="372"/>
      <c r="X192" s="372"/>
      <c r="Y192" s="372"/>
      <c r="Z192" s="372"/>
    </row>
    <row r="193" spans="2:26" ht="15.75" customHeight="1" outlineLevel="1" x14ac:dyDescent="0.3">
      <c r="C193" s="228" t="s">
        <v>73</v>
      </c>
      <c r="D193" s="142" t="s">
        <v>175</v>
      </c>
      <c r="E193" s="107">
        <v>99.1</v>
      </c>
      <c r="F193" s="107">
        <v>91.1</v>
      </c>
      <c r="G193" s="107">
        <v>82.1</v>
      </c>
      <c r="H193" s="229">
        <f>L78+L80</f>
        <v>423.58531500000004</v>
      </c>
      <c r="I193" s="107">
        <v>0</v>
      </c>
      <c r="J193" s="230">
        <f>SUM(G193:I193)</f>
        <v>505.68531500000006</v>
      </c>
      <c r="K193" s="231">
        <f>J193-K232-K228</f>
        <v>486.49568212500003</v>
      </c>
      <c r="L193" s="231">
        <f t="shared" ref="L193:O193" si="60">K193-L232-L228</f>
        <v>467.30604925</v>
      </c>
      <c r="M193" s="231">
        <f t="shared" si="60"/>
        <v>448.11641637499997</v>
      </c>
      <c r="N193" s="231">
        <f t="shared" si="60"/>
        <v>428.92678349999994</v>
      </c>
      <c r="O193" s="231">
        <f t="shared" si="60"/>
        <v>409.73715062499991</v>
      </c>
      <c r="P193" s="372"/>
      <c r="Q193" s="372"/>
      <c r="R193" s="372"/>
      <c r="S193" s="372"/>
      <c r="T193" s="372"/>
      <c r="U193" s="372"/>
      <c r="V193" s="372"/>
      <c r="W193" s="372"/>
      <c r="X193" s="372"/>
      <c r="Y193" s="372"/>
      <c r="Z193" s="372"/>
    </row>
    <row r="194" spans="2:26" ht="15.75" customHeight="1" outlineLevel="1" x14ac:dyDescent="0.3">
      <c r="C194" s="175" t="s">
        <v>74</v>
      </c>
      <c r="D194" s="45" t="s">
        <v>175</v>
      </c>
      <c r="E194" s="66">
        <v>40.199999999999996</v>
      </c>
      <c r="F194" s="66">
        <v>39.6</v>
      </c>
      <c r="G194" s="66">
        <v>39.5</v>
      </c>
      <c r="H194" s="116"/>
      <c r="I194" s="66"/>
      <c r="J194" s="200">
        <f>SUM(G194:I194)</f>
        <v>39.5</v>
      </c>
      <c r="K194" s="188">
        <f>J194-K224</f>
        <v>41.9</v>
      </c>
      <c r="L194" s="188">
        <f t="shared" ref="L194:O194" si="61">K194-L224</f>
        <v>44.3</v>
      </c>
      <c r="M194" s="188">
        <f t="shared" si="61"/>
        <v>46.699999999999996</v>
      </c>
      <c r="N194" s="188">
        <f t="shared" si="61"/>
        <v>49.099999999999994</v>
      </c>
      <c r="O194" s="188">
        <f t="shared" si="61"/>
        <v>51.499999999999993</v>
      </c>
      <c r="P194" s="372"/>
      <c r="Q194" s="372"/>
      <c r="R194" s="372"/>
      <c r="S194" s="372"/>
      <c r="T194" s="372"/>
      <c r="U194" s="372"/>
      <c r="V194" s="372"/>
      <c r="W194" s="372"/>
      <c r="X194" s="372"/>
      <c r="Y194" s="372"/>
      <c r="Z194" s="372"/>
    </row>
    <row r="195" spans="2:26" ht="15.75" customHeight="1" outlineLevel="1" x14ac:dyDescent="0.3">
      <c r="C195" s="64" t="s">
        <v>75</v>
      </c>
      <c r="D195" s="44" t="s">
        <v>175</v>
      </c>
      <c r="E195" s="35">
        <f>SUM(E190:E194)</f>
        <v>1150.9000000000001</v>
      </c>
      <c r="F195" s="35">
        <f>SUM(F190:F194)</f>
        <v>2405.1999999999998</v>
      </c>
      <c r="G195" s="35">
        <f>SUM(G190:G194)</f>
        <v>2560.7999999999997</v>
      </c>
      <c r="H195" s="73"/>
      <c r="I195" s="35"/>
      <c r="J195" s="74">
        <f>SUM(J190:J194)</f>
        <v>4751.1189976178084</v>
      </c>
      <c r="K195" s="35">
        <f>SUM(K190:K194)</f>
        <v>4876.5272361317448</v>
      </c>
      <c r="L195" s="35">
        <f t="shared" ref="L195:O195" si="62">SUM(L190:L194)</f>
        <v>4939.2067522364214</v>
      </c>
      <c r="M195" s="35">
        <f t="shared" si="62"/>
        <v>4883.4095835696908</v>
      </c>
      <c r="N195" s="35">
        <f t="shared" si="62"/>
        <v>4889.4236253782874</v>
      </c>
      <c r="O195" s="35">
        <f t="shared" si="62"/>
        <v>4823.7488776622104</v>
      </c>
      <c r="P195" s="372"/>
      <c r="Q195" s="372"/>
      <c r="R195" s="372"/>
      <c r="S195" s="372"/>
      <c r="T195" s="372"/>
      <c r="U195" s="372"/>
      <c r="V195" s="372"/>
      <c r="W195" s="372"/>
      <c r="X195" s="372"/>
      <c r="Y195" s="372"/>
      <c r="Z195" s="372"/>
    </row>
    <row r="196" spans="2:26" ht="15.75" customHeight="1" outlineLevel="1" x14ac:dyDescent="0.3">
      <c r="C196" s="19"/>
      <c r="E196" s="174"/>
      <c r="F196" s="174"/>
      <c r="G196" s="174"/>
      <c r="H196" s="195"/>
      <c r="I196" s="174"/>
      <c r="J196" s="196"/>
      <c r="K196" s="174"/>
      <c r="L196" s="174"/>
      <c r="M196" s="174"/>
      <c r="N196" s="174"/>
      <c r="O196" s="174"/>
      <c r="P196" s="372"/>
      <c r="Q196" s="372"/>
      <c r="R196" s="372"/>
      <c r="S196" s="372"/>
      <c r="T196" s="372"/>
      <c r="U196" s="372"/>
      <c r="V196" s="372"/>
      <c r="W196" s="372"/>
      <c r="X196" s="372"/>
      <c r="Y196" s="372"/>
      <c r="Z196" s="372"/>
    </row>
    <row r="197" spans="2:26" ht="15.75" customHeight="1" outlineLevel="1" x14ac:dyDescent="0.3">
      <c r="C197" s="64" t="s">
        <v>76</v>
      </c>
      <c r="D197" s="44" t="s">
        <v>175</v>
      </c>
      <c r="E197" s="56">
        <f>E187+E195</f>
        <v>1589.8000000000002</v>
      </c>
      <c r="F197" s="56">
        <f>F187+F195</f>
        <v>2839.5</v>
      </c>
      <c r="G197" s="56">
        <f>G187+G195</f>
        <v>3102.8999999999996</v>
      </c>
      <c r="H197" s="75"/>
      <c r="I197" s="56"/>
      <c r="J197" s="76">
        <f>J195+J187</f>
        <v>5058.4189976178086</v>
      </c>
      <c r="K197" s="56">
        <f>K195+K187</f>
        <v>5208.8826303818169</v>
      </c>
      <c r="L197" s="56">
        <f t="shared" ref="L197:O197" si="63">L195+L187</f>
        <v>5247.0047709404789</v>
      </c>
      <c r="M197" s="56">
        <f t="shared" si="63"/>
        <v>5174.4353015108964</v>
      </c>
      <c r="N197" s="56">
        <f t="shared" si="63"/>
        <v>5210.2471934990763</v>
      </c>
      <c r="O197" s="56">
        <f t="shared" si="63"/>
        <v>5172.0538657676889</v>
      </c>
      <c r="P197" s="372"/>
      <c r="Q197" s="372"/>
      <c r="R197" s="372"/>
      <c r="S197" s="372"/>
      <c r="T197" s="372"/>
      <c r="U197" s="372"/>
      <c r="V197" s="372"/>
      <c r="W197" s="372"/>
      <c r="X197" s="372"/>
      <c r="Y197" s="372"/>
      <c r="Z197" s="372"/>
    </row>
    <row r="198" spans="2:26" ht="15.75" customHeight="1" outlineLevel="1" x14ac:dyDescent="0.3">
      <c r="C198" s="19"/>
      <c r="E198" s="174"/>
      <c r="F198" s="174"/>
      <c r="G198" s="174"/>
      <c r="H198" s="195"/>
      <c r="I198" s="174"/>
      <c r="J198" s="196"/>
      <c r="K198" s="174"/>
      <c r="L198" s="174"/>
      <c r="M198" s="174"/>
      <c r="N198" s="174"/>
      <c r="O198" s="174"/>
      <c r="P198" s="372"/>
      <c r="Q198" s="372"/>
      <c r="R198" s="372"/>
      <c r="S198" s="372"/>
      <c r="T198" s="372"/>
      <c r="U198" s="372"/>
      <c r="V198" s="372"/>
      <c r="W198" s="372"/>
      <c r="X198" s="372"/>
      <c r="Y198" s="372"/>
      <c r="Z198" s="372"/>
    </row>
    <row r="199" spans="2:26" ht="15.75" customHeight="1" outlineLevel="1" x14ac:dyDescent="0.3">
      <c r="B199" s="61" t="s">
        <v>80</v>
      </c>
      <c r="C199" s="65"/>
      <c r="D199" s="189"/>
      <c r="E199" s="219"/>
      <c r="F199" s="219"/>
      <c r="G199" s="219"/>
      <c r="H199" s="220"/>
      <c r="I199" s="219"/>
      <c r="J199" s="221"/>
      <c r="K199" s="219"/>
      <c r="L199" s="219"/>
      <c r="M199" s="219"/>
      <c r="N199" s="219"/>
      <c r="O199" s="219"/>
      <c r="P199" s="372"/>
      <c r="Q199" s="372"/>
      <c r="R199" s="372"/>
      <c r="S199" s="372"/>
      <c r="T199" s="372"/>
      <c r="U199" s="372"/>
      <c r="V199" s="372"/>
      <c r="W199" s="372"/>
      <c r="X199" s="372"/>
      <c r="Y199" s="372"/>
      <c r="Z199" s="372"/>
    </row>
    <row r="200" spans="2:26" ht="15.75" customHeight="1" outlineLevel="1" x14ac:dyDescent="0.3">
      <c r="C200" s="64" t="s">
        <v>87</v>
      </c>
      <c r="E200" s="174"/>
      <c r="F200" s="174"/>
      <c r="G200" s="174"/>
      <c r="H200" s="195"/>
      <c r="I200" s="174"/>
      <c r="J200" s="196"/>
      <c r="K200" s="174"/>
      <c r="L200" s="174"/>
      <c r="M200" s="174"/>
      <c r="N200" s="174"/>
      <c r="O200" s="174"/>
      <c r="P200" s="372"/>
      <c r="Q200" s="372"/>
      <c r="R200" s="372"/>
      <c r="S200" s="372"/>
      <c r="T200" s="372"/>
      <c r="U200" s="372"/>
      <c r="V200" s="372"/>
      <c r="W200" s="372"/>
      <c r="X200" s="372"/>
      <c r="Y200" s="372"/>
      <c r="Z200" s="372"/>
    </row>
    <row r="201" spans="2:26" ht="15.75" customHeight="1" outlineLevel="1" x14ac:dyDescent="0.3">
      <c r="C201" s="169" t="s">
        <v>78</v>
      </c>
      <c r="D201" s="44" t="s">
        <v>175</v>
      </c>
      <c r="E201" s="60">
        <v>196.1</v>
      </c>
      <c r="F201" s="60">
        <v>241.8</v>
      </c>
      <c r="G201" s="60">
        <v>144.9</v>
      </c>
      <c r="H201" s="94"/>
      <c r="I201" s="60"/>
      <c r="J201" s="198">
        <f>G201</f>
        <v>144.9</v>
      </c>
      <c r="K201" s="177">
        <f>-K142*SUM(K$158:K$159)</f>
        <v>174.83584846403934</v>
      </c>
      <c r="L201" s="177">
        <f t="shared" ref="L201:O201" si="64">-L142*SUM(L$158:L$159)</f>
        <v>189.60920937774432</v>
      </c>
      <c r="M201" s="177">
        <f t="shared" si="64"/>
        <v>211.85391274272197</v>
      </c>
      <c r="N201" s="177">
        <f t="shared" si="64"/>
        <v>263.8153356453127</v>
      </c>
      <c r="O201" s="177">
        <f t="shared" si="64"/>
        <v>297.85538312291123</v>
      </c>
      <c r="P201" s="372"/>
      <c r="Q201" s="372"/>
      <c r="R201" s="372"/>
      <c r="S201" s="372"/>
      <c r="T201" s="372"/>
      <c r="U201" s="372"/>
      <c r="V201" s="372"/>
      <c r="W201" s="372"/>
      <c r="X201" s="372"/>
      <c r="Y201" s="372"/>
      <c r="Z201" s="372"/>
    </row>
    <row r="202" spans="2:26" ht="15.75" customHeight="1" outlineLevel="1" x14ac:dyDescent="0.3">
      <c r="C202" s="263" t="s">
        <v>237</v>
      </c>
      <c r="D202" s="45" t="s">
        <v>175</v>
      </c>
      <c r="E202" s="20">
        <v>35.200000000000003</v>
      </c>
      <c r="F202" s="20">
        <v>5.8</v>
      </c>
      <c r="G202" s="20">
        <v>5.4</v>
      </c>
      <c r="H202" s="95"/>
      <c r="I202" s="20"/>
      <c r="J202" s="196">
        <f>G202</f>
        <v>5.4</v>
      </c>
      <c r="K202" s="174">
        <f>-K143*SUM(K$158:K$159)</f>
        <v>9.203232263058073</v>
      </c>
      <c r="L202" s="174">
        <f t="shared" ref="L202:O202" si="65">-L143*SUM(L$158:L$159)</f>
        <v>12.340411793733839</v>
      </c>
      <c r="M202" s="174">
        <f t="shared" si="65"/>
        <v>13.788172694452525</v>
      </c>
      <c r="N202" s="174">
        <f t="shared" si="65"/>
        <v>17.169998704437393</v>
      </c>
      <c r="O202" s="174">
        <f t="shared" si="65"/>
        <v>19.385440690248039</v>
      </c>
      <c r="P202" s="372"/>
      <c r="Q202" s="372"/>
      <c r="R202" s="372"/>
      <c r="S202" s="372"/>
      <c r="T202" s="372"/>
      <c r="U202" s="372"/>
      <c r="V202" s="372"/>
      <c r="W202" s="372"/>
      <c r="X202" s="372"/>
      <c r="Y202" s="372"/>
      <c r="Z202" s="372"/>
    </row>
    <row r="203" spans="2:26" ht="15.75" customHeight="1" outlineLevel="1" x14ac:dyDescent="0.3">
      <c r="C203" s="28" t="s">
        <v>79</v>
      </c>
      <c r="D203" s="44" t="s">
        <v>175</v>
      </c>
      <c r="E203" s="31">
        <f>SUM(E201:E202)</f>
        <v>231.3</v>
      </c>
      <c r="F203" s="31">
        <f>SUM(F201:F202)</f>
        <v>247.60000000000002</v>
      </c>
      <c r="G203" s="31">
        <f>SUM(G201:G202)</f>
        <v>150.30000000000001</v>
      </c>
      <c r="H203" s="71"/>
      <c r="I203" s="31"/>
      <c r="J203" s="72">
        <f>J202+J201</f>
        <v>150.30000000000001</v>
      </c>
      <c r="K203" s="31">
        <f>SUM(K201:K202)</f>
        <v>184.03908072709743</v>
      </c>
      <c r="L203" s="31">
        <f t="shared" ref="L203:O203" si="66">SUM(L201:L202)</f>
        <v>201.94962117147816</v>
      </c>
      <c r="M203" s="31">
        <f t="shared" si="66"/>
        <v>225.6420854371745</v>
      </c>
      <c r="N203" s="31">
        <f t="shared" si="66"/>
        <v>280.98533434975008</v>
      </c>
      <c r="O203" s="31">
        <f t="shared" si="66"/>
        <v>317.2408238131593</v>
      </c>
      <c r="P203" s="372"/>
      <c r="Q203" s="372"/>
      <c r="R203" s="372"/>
      <c r="S203" s="372"/>
      <c r="T203" s="372"/>
      <c r="U203" s="372"/>
      <c r="V203" s="372"/>
      <c r="W203" s="372"/>
      <c r="X203" s="372"/>
      <c r="Y203" s="372"/>
      <c r="Z203" s="372"/>
    </row>
    <row r="204" spans="2:26" ht="15.75" customHeight="1" outlineLevel="1" x14ac:dyDescent="0.3">
      <c r="C204" s="19"/>
      <c r="E204" s="174"/>
      <c r="F204" s="174"/>
      <c r="G204" s="174"/>
      <c r="H204" s="195"/>
      <c r="I204" s="174"/>
      <c r="J204" s="196"/>
      <c r="K204" s="174"/>
      <c r="L204" s="174"/>
      <c r="M204" s="174"/>
      <c r="N204" s="174"/>
      <c r="O204" s="174"/>
      <c r="P204" s="372"/>
      <c r="Q204" s="372"/>
      <c r="R204" s="372"/>
      <c r="S204" s="372"/>
      <c r="T204" s="372"/>
      <c r="U204" s="372"/>
      <c r="V204" s="372"/>
      <c r="W204" s="372"/>
      <c r="X204" s="372"/>
      <c r="Y204" s="372"/>
      <c r="Z204" s="372"/>
    </row>
    <row r="205" spans="2:26" ht="15.75" customHeight="1" outlineLevel="1" x14ac:dyDescent="0.3">
      <c r="C205" s="64" t="s">
        <v>88</v>
      </c>
      <c r="E205" s="174"/>
      <c r="F205" s="174"/>
      <c r="G205" s="174"/>
      <c r="H205" s="195"/>
      <c r="I205" s="174"/>
      <c r="J205" s="196"/>
      <c r="K205" s="174"/>
      <c r="L205" s="174"/>
      <c r="M205" s="174"/>
      <c r="N205" s="174"/>
      <c r="O205" s="174"/>
      <c r="P205" s="372"/>
      <c r="Q205" s="372"/>
      <c r="R205" s="372"/>
      <c r="S205" s="372"/>
      <c r="T205" s="372"/>
      <c r="U205" s="372"/>
      <c r="V205" s="372"/>
      <c r="W205" s="372"/>
      <c r="X205" s="372"/>
      <c r="Y205" s="372"/>
      <c r="Z205" s="372"/>
    </row>
    <row r="206" spans="2:26" ht="15.75" customHeight="1" outlineLevel="1" x14ac:dyDescent="0.3">
      <c r="C206" s="268" t="s">
        <v>165</v>
      </c>
      <c r="D206" s="140" t="s">
        <v>175</v>
      </c>
      <c r="E206" s="105">
        <v>631.6</v>
      </c>
      <c r="F206" s="105">
        <v>869.8</v>
      </c>
      <c r="G206" s="105">
        <v>1333.9</v>
      </c>
      <c r="H206" s="222">
        <f>-K42</f>
        <v>-1333.9</v>
      </c>
      <c r="I206" s="390">
        <f>SUM(D42:D44)-K44</f>
        <v>2657.7599999999993</v>
      </c>
      <c r="J206" s="223">
        <f>G206+H206+I206</f>
        <v>2657.7599999999993</v>
      </c>
      <c r="K206" s="217">
        <f>J206+K253+K252+K234+K230</f>
        <v>2870.5962692136786</v>
      </c>
      <c r="L206" s="217">
        <f t="shared" ref="L206:O206" si="67">K206+L253+L252+L234+L230</f>
        <v>3022.4375064340506</v>
      </c>
      <c r="M206" s="217">
        <f t="shared" si="67"/>
        <v>3074.3103499539761</v>
      </c>
      <c r="N206" s="217">
        <f t="shared" si="67"/>
        <v>3106.2899559942789</v>
      </c>
      <c r="O206" s="217">
        <f t="shared" si="67"/>
        <v>2961.628330407781</v>
      </c>
      <c r="P206" s="372"/>
      <c r="Q206" s="372"/>
      <c r="R206" s="372"/>
      <c r="S206" s="372"/>
      <c r="T206" s="372"/>
      <c r="U206" s="372"/>
      <c r="V206" s="372"/>
      <c r="W206" s="372"/>
      <c r="X206" s="372"/>
      <c r="Y206" s="372"/>
      <c r="Z206" s="372"/>
    </row>
    <row r="207" spans="2:26" ht="15.75" customHeight="1" outlineLevel="1" x14ac:dyDescent="0.3">
      <c r="C207" s="269" t="s">
        <v>238</v>
      </c>
      <c r="D207" s="142" t="s">
        <v>175</v>
      </c>
      <c r="E207" s="107">
        <v>72.5</v>
      </c>
      <c r="F207" s="107">
        <v>70.599999999999994</v>
      </c>
      <c r="G207" s="107">
        <v>62.6</v>
      </c>
      <c r="H207" s="229">
        <f>E78</f>
        <v>-62.6</v>
      </c>
      <c r="I207" s="231">
        <f>K84</f>
        <v>148.49242261780842</v>
      </c>
      <c r="J207" s="230">
        <f>G207+H207+I207</f>
        <v>148.49242261780842</v>
      </c>
      <c r="K207" s="231">
        <f>J207+K235</f>
        <v>140.88649267210118</v>
      </c>
      <c r="L207" s="231">
        <f t="shared" ref="L207:O207" si="68">K207+L235</f>
        <v>130.11551992949904</v>
      </c>
      <c r="M207" s="231">
        <f t="shared" si="68"/>
        <v>110.63399317856282</v>
      </c>
      <c r="N207" s="231">
        <f t="shared" si="68"/>
        <v>108.60224764909874</v>
      </c>
      <c r="O207" s="231">
        <f t="shared" si="68"/>
        <v>120.05879791644269</v>
      </c>
      <c r="P207" s="372"/>
      <c r="Q207" s="372"/>
      <c r="R207" s="372"/>
      <c r="S207" s="372"/>
      <c r="T207" s="372"/>
      <c r="U207" s="372"/>
      <c r="V207" s="372"/>
      <c r="W207" s="372"/>
      <c r="X207" s="372"/>
      <c r="Y207" s="372"/>
      <c r="Z207" s="372"/>
    </row>
    <row r="208" spans="2:26" ht="15.75" customHeight="1" outlineLevel="1" x14ac:dyDescent="0.3">
      <c r="C208" s="270" t="s">
        <v>239</v>
      </c>
      <c r="D208" s="143" t="s">
        <v>175</v>
      </c>
      <c r="E208" s="271">
        <v>0</v>
      </c>
      <c r="F208" s="271">
        <v>960.19999999999993</v>
      </c>
      <c r="G208" s="271">
        <v>954.3</v>
      </c>
      <c r="H208" s="324"/>
      <c r="I208" s="271"/>
      <c r="J208" s="262">
        <f>G208</f>
        <v>954.3</v>
      </c>
      <c r="K208" s="260">
        <f>J208+K245+K244</f>
        <v>862.50781716617882</v>
      </c>
      <c r="L208" s="260">
        <f t="shared" ref="L208:O208" si="69">K208+L245+L244</f>
        <v>768.67580804716158</v>
      </c>
      <c r="M208" s="260">
        <f t="shared" si="69"/>
        <v>672.12403054788297</v>
      </c>
      <c r="N208" s="260">
        <f t="shared" si="69"/>
        <v>573.53242676340835</v>
      </c>
      <c r="O208" s="260">
        <f t="shared" si="69"/>
        <v>472.90099669373774</v>
      </c>
      <c r="P208" s="372"/>
      <c r="Q208" s="372"/>
      <c r="R208" s="372"/>
      <c r="S208" s="372"/>
      <c r="T208" s="372"/>
      <c r="U208" s="372"/>
      <c r="V208" s="372"/>
      <c r="W208" s="372"/>
      <c r="X208" s="372"/>
      <c r="Y208" s="372"/>
      <c r="Z208" s="372"/>
    </row>
    <row r="209" spans="2:26" ht="15.75" customHeight="1" outlineLevel="1" x14ac:dyDescent="0.3">
      <c r="C209" s="169" t="s">
        <v>81</v>
      </c>
      <c r="D209" s="45" t="s">
        <v>175</v>
      </c>
      <c r="E209" s="20">
        <v>31.7</v>
      </c>
      <c r="F209" s="20">
        <v>30.1</v>
      </c>
      <c r="G209" s="20">
        <v>29.2</v>
      </c>
      <c r="H209" s="95"/>
      <c r="I209" s="20"/>
      <c r="J209" s="196">
        <f>G209</f>
        <v>29.2</v>
      </c>
      <c r="K209" s="174">
        <f>-K144*SUM(K$158:K$159)</f>
        <v>34.967169692807872</v>
      </c>
      <c r="L209" s="174">
        <f t="shared" ref="L209:O209" si="70">-L144*SUM(L$158:L$159)</f>
        <v>26.949370298540391</v>
      </c>
      <c r="M209" s="174">
        <f t="shared" si="70"/>
        <v>30.111035020055414</v>
      </c>
      <c r="N209" s="174">
        <f t="shared" si="70"/>
        <v>37.49637053005803</v>
      </c>
      <c r="O209" s="174">
        <f t="shared" si="70"/>
        <v>42.334520783752268</v>
      </c>
      <c r="P209" s="372"/>
      <c r="Q209" s="372"/>
      <c r="R209" s="372"/>
      <c r="S209" s="372"/>
      <c r="T209" s="372"/>
      <c r="U209" s="372"/>
      <c r="V209" s="372"/>
      <c r="W209" s="372"/>
      <c r="X209" s="372"/>
      <c r="Y209" s="372"/>
      <c r="Z209" s="372"/>
    </row>
    <row r="210" spans="2:26" ht="15.75" customHeight="1" outlineLevel="1" x14ac:dyDescent="0.3">
      <c r="C210" s="28" t="s">
        <v>82</v>
      </c>
      <c r="D210" s="44" t="s">
        <v>175</v>
      </c>
      <c r="E210" s="67">
        <f>SUM(E206:E209)</f>
        <v>735.80000000000007</v>
      </c>
      <c r="F210" s="67">
        <f>SUM(F206:F209)</f>
        <v>1930.6999999999998</v>
      </c>
      <c r="G210" s="67">
        <f>SUM(G206:G209)</f>
        <v>2380</v>
      </c>
      <c r="H210" s="77"/>
      <c r="I210" s="67"/>
      <c r="J210" s="78">
        <f>SUM(J206:J209)</f>
        <v>3789.7524226178075</v>
      </c>
      <c r="K210" s="31">
        <f>SUM(K206:K209)</f>
        <v>3908.9577487447668</v>
      </c>
      <c r="L210" s="31">
        <f t="shared" ref="L210:O210" si="71">SUM(L206:L209)</f>
        <v>3948.1782047092515</v>
      </c>
      <c r="M210" s="31">
        <f t="shared" si="71"/>
        <v>3887.1794087004778</v>
      </c>
      <c r="N210" s="31">
        <f t="shared" si="71"/>
        <v>3825.9210009368439</v>
      </c>
      <c r="O210" s="31">
        <f t="shared" si="71"/>
        <v>3596.9226458017138</v>
      </c>
      <c r="P210" s="372"/>
      <c r="Q210" s="372"/>
      <c r="R210" s="372"/>
      <c r="S210" s="372"/>
      <c r="T210" s="372"/>
      <c r="U210" s="372"/>
      <c r="V210" s="372"/>
      <c r="W210" s="372"/>
      <c r="X210" s="372"/>
      <c r="Y210" s="372"/>
      <c r="Z210" s="372"/>
    </row>
    <row r="211" spans="2:26" ht="15.75" customHeight="1" outlineLevel="1" x14ac:dyDescent="0.3">
      <c r="C211" s="19"/>
      <c r="E211" s="174"/>
      <c r="F211" s="174"/>
      <c r="G211" s="174"/>
      <c r="H211" s="195"/>
      <c r="I211" s="174"/>
      <c r="J211" s="196"/>
      <c r="K211" s="174"/>
      <c r="L211" s="174"/>
      <c r="M211" s="174"/>
      <c r="N211" s="174"/>
      <c r="O211" s="174"/>
      <c r="P211" s="372"/>
      <c r="Q211" s="372"/>
      <c r="R211" s="372"/>
      <c r="S211" s="372"/>
      <c r="T211" s="372"/>
      <c r="U211" s="372"/>
      <c r="V211" s="372"/>
      <c r="W211" s="372"/>
      <c r="X211" s="372"/>
      <c r="Y211" s="372"/>
      <c r="Z211" s="372"/>
    </row>
    <row r="212" spans="2:26" ht="15.75" customHeight="1" outlineLevel="1" x14ac:dyDescent="0.3">
      <c r="C212" s="108" t="s">
        <v>240</v>
      </c>
      <c r="D212" s="139" t="s">
        <v>175</v>
      </c>
      <c r="E212" s="149">
        <v>469.4</v>
      </c>
      <c r="F212" s="149">
        <v>527.4</v>
      </c>
      <c r="G212" s="149">
        <v>465.2</v>
      </c>
      <c r="H212" s="110">
        <f>-G212-K43</f>
        <v>-500.89626575</v>
      </c>
      <c r="I212" s="109">
        <f>D47+D45</f>
        <v>1046.6628407500007</v>
      </c>
      <c r="J212" s="111">
        <f>G212+H212+I212</f>
        <v>1010.9665750000006</v>
      </c>
      <c r="K212" s="109">
        <f>J212+K223+K236+K254</f>
        <v>1007.1130831971276</v>
      </c>
      <c r="L212" s="109">
        <f t="shared" ref="L212:O212" si="72">K212+L223+L236+L254</f>
        <v>983.51661537902169</v>
      </c>
      <c r="M212" s="109">
        <f t="shared" si="72"/>
        <v>940.93008980902994</v>
      </c>
      <c r="N212" s="109">
        <f t="shared" si="72"/>
        <v>989.56594687678205</v>
      </c>
      <c r="O212" s="109">
        <f t="shared" si="72"/>
        <v>1168.1390960708525</v>
      </c>
      <c r="P212" s="372"/>
      <c r="Q212" s="372"/>
      <c r="R212" s="372"/>
      <c r="S212" s="372"/>
      <c r="T212" s="372"/>
      <c r="U212" s="372"/>
      <c r="V212" s="372"/>
      <c r="W212" s="372"/>
      <c r="X212" s="372"/>
      <c r="Y212" s="372"/>
      <c r="Z212" s="372"/>
    </row>
    <row r="213" spans="2:26" ht="15.75" customHeight="1" outlineLevel="1" x14ac:dyDescent="0.3">
      <c r="C213" s="263" t="s">
        <v>241</v>
      </c>
      <c r="D213" s="44" t="s">
        <v>175</v>
      </c>
      <c r="E213" s="20">
        <v>153.30000000000001</v>
      </c>
      <c r="F213" s="20">
        <v>133.80000000000001</v>
      </c>
      <c r="G213" s="20">
        <v>107.4</v>
      </c>
      <c r="H213" s="95"/>
      <c r="I213" s="20"/>
      <c r="J213" s="196">
        <f>G213</f>
        <v>107.4</v>
      </c>
      <c r="K213" s="174">
        <f>J213+K225</f>
        <v>108.77271771282578</v>
      </c>
      <c r="L213" s="174">
        <f t="shared" ref="L213:O213" si="73">K213+L225</f>
        <v>113.36032968072682</v>
      </c>
      <c r="M213" s="174">
        <f t="shared" si="73"/>
        <v>120.68371756421385</v>
      </c>
      <c r="N213" s="174">
        <f t="shared" si="73"/>
        <v>113.77491133569917</v>
      </c>
      <c r="O213" s="174">
        <f t="shared" si="73"/>
        <v>89.751300081962313</v>
      </c>
      <c r="P213" s="372"/>
      <c r="Q213" s="372"/>
      <c r="R213" s="372"/>
      <c r="S213" s="372"/>
      <c r="T213" s="372"/>
      <c r="U213" s="372"/>
      <c r="V213" s="372"/>
      <c r="W213" s="372"/>
      <c r="X213" s="372"/>
      <c r="Y213" s="372"/>
      <c r="Z213" s="372"/>
    </row>
    <row r="214" spans="2:26" ht="15.75" customHeight="1" outlineLevel="1" x14ac:dyDescent="0.3">
      <c r="C214" s="28" t="s">
        <v>57</v>
      </c>
      <c r="D214" s="143" t="s">
        <v>175</v>
      </c>
      <c r="E214" s="31">
        <f>SUM(E212:E213)</f>
        <v>622.70000000000005</v>
      </c>
      <c r="F214" s="31">
        <f>SUM(F212:F213)</f>
        <v>661.2</v>
      </c>
      <c r="G214" s="31">
        <f>SUM(G212:G213)</f>
        <v>572.6</v>
      </c>
      <c r="H214" s="261"/>
      <c r="I214" s="260"/>
      <c r="J214" s="72">
        <f>J213+J212</f>
        <v>1118.3665750000007</v>
      </c>
      <c r="K214" s="31">
        <f>K213+K212</f>
        <v>1115.8858009099533</v>
      </c>
      <c r="L214" s="31">
        <f t="shared" ref="L214:O214" si="74">L213+L212</f>
        <v>1096.8769450597486</v>
      </c>
      <c r="M214" s="31">
        <f t="shared" si="74"/>
        <v>1061.6138073732438</v>
      </c>
      <c r="N214" s="31">
        <f t="shared" si="74"/>
        <v>1103.3408582124812</v>
      </c>
      <c r="O214" s="31">
        <f t="shared" si="74"/>
        <v>1257.8903961528149</v>
      </c>
      <c r="P214" s="372"/>
      <c r="Q214" s="372"/>
      <c r="R214" s="372"/>
      <c r="S214" s="372"/>
      <c r="T214" s="372"/>
      <c r="U214" s="372"/>
      <c r="V214" s="372"/>
      <c r="W214" s="372"/>
      <c r="X214" s="372"/>
      <c r="Y214" s="372"/>
      <c r="Z214" s="372"/>
    </row>
    <row r="215" spans="2:26" ht="15.75" customHeight="1" outlineLevel="1" x14ac:dyDescent="0.3">
      <c r="C215" s="19"/>
      <c r="E215" s="174"/>
      <c r="F215" s="174"/>
      <c r="G215" s="174"/>
      <c r="H215" s="195"/>
      <c r="I215" s="174"/>
      <c r="J215" s="196"/>
      <c r="K215" s="174"/>
      <c r="L215" s="174"/>
      <c r="M215" s="174"/>
      <c r="N215" s="174"/>
      <c r="O215" s="174"/>
      <c r="P215" s="372"/>
      <c r="Q215" s="372"/>
      <c r="R215" s="372"/>
      <c r="S215" s="372"/>
      <c r="T215" s="372"/>
      <c r="U215" s="372"/>
      <c r="V215" s="372"/>
      <c r="W215" s="372"/>
      <c r="X215" s="372"/>
      <c r="Y215" s="372"/>
      <c r="Z215" s="372"/>
    </row>
    <row r="216" spans="2:26" ht="15.75" customHeight="1" outlineLevel="1" x14ac:dyDescent="0.3">
      <c r="C216" s="64" t="s">
        <v>83</v>
      </c>
      <c r="D216" s="44" t="s">
        <v>175</v>
      </c>
      <c r="E216" s="56">
        <f>E203+E210+E214</f>
        <v>1589.8000000000002</v>
      </c>
      <c r="F216" s="56">
        <f>F203+F210+F214</f>
        <v>2839.5</v>
      </c>
      <c r="G216" s="56">
        <f>G203+G210+G214</f>
        <v>3102.9</v>
      </c>
      <c r="H216" s="75"/>
      <c r="I216" s="56"/>
      <c r="J216" s="76">
        <f>J214+J210+J203</f>
        <v>5058.4189976178086</v>
      </c>
      <c r="K216" s="56">
        <f>K214+K210+K203</f>
        <v>5208.8826303818178</v>
      </c>
      <c r="L216" s="56">
        <f t="shared" ref="L216:O216" si="75">L214+L210+L203</f>
        <v>5247.0047709404789</v>
      </c>
      <c r="M216" s="56">
        <f t="shared" si="75"/>
        <v>5174.4353015108964</v>
      </c>
      <c r="N216" s="56">
        <f t="shared" si="75"/>
        <v>5210.2471934990745</v>
      </c>
      <c r="O216" s="56">
        <f t="shared" si="75"/>
        <v>5172.053865767688</v>
      </c>
      <c r="P216" s="372"/>
      <c r="Q216" s="372"/>
      <c r="R216" s="372"/>
      <c r="S216" s="372"/>
      <c r="T216" s="372"/>
      <c r="U216" s="372"/>
      <c r="V216" s="372"/>
      <c r="W216" s="372"/>
      <c r="X216" s="372"/>
      <c r="Y216" s="372"/>
      <c r="Z216" s="372"/>
    </row>
    <row r="217" spans="2:26" ht="15.75" customHeight="1" outlineLevel="1" x14ac:dyDescent="0.3">
      <c r="C217" s="19"/>
      <c r="E217" s="174"/>
      <c r="F217" s="174"/>
      <c r="G217" s="174"/>
      <c r="H217" s="174"/>
      <c r="I217" s="174"/>
      <c r="J217" s="174"/>
      <c r="K217" s="174"/>
      <c r="L217" s="174"/>
      <c r="M217" s="174"/>
      <c r="N217" s="174"/>
      <c r="O217" s="174"/>
      <c r="P217" s="372"/>
      <c r="Q217" s="372"/>
      <c r="R217" s="372"/>
      <c r="S217" s="372"/>
      <c r="T217" s="372"/>
      <c r="U217" s="372"/>
      <c r="V217" s="372"/>
      <c r="W217" s="372"/>
      <c r="X217" s="372"/>
    </row>
    <row r="218" spans="2:26" s="3" customFormat="1" ht="15.75" customHeight="1" outlineLevel="1" x14ac:dyDescent="0.3">
      <c r="C218" s="64" t="s">
        <v>84</v>
      </c>
      <c r="E218" s="391">
        <f>E197-E216</f>
        <v>0</v>
      </c>
      <c r="F218" s="391">
        <f>F197-F216</f>
        <v>0</v>
      </c>
      <c r="G218" s="391">
        <f>G197-G216</f>
        <v>0</v>
      </c>
      <c r="H218" s="391"/>
      <c r="I218" s="391"/>
      <c r="J218" s="391">
        <f>J216-J197</f>
        <v>0</v>
      </c>
      <c r="K218" s="391">
        <f>K216-K197</f>
        <v>0</v>
      </c>
      <c r="L218" s="391">
        <f t="shared" ref="L218:O218" si="76">L216-L197</f>
        <v>0</v>
      </c>
      <c r="M218" s="391">
        <f t="shared" si="76"/>
        <v>0</v>
      </c>
      <c r="N218" s="391">
        <f t="shared" si="76"/>
        <v>0</v>
      </c>
      <c r="O218" s="391">
        <f t="shared" si="76"/>
        <v>0</v>
      </c>
    </row>
    <row r="219" spans="2:26" ht="15.75" customHeight="1" x14ac:dyDescent="0.3">
      <c r="C219" s="19"/>
      <c r="E219" s="174"/>
      <c r="F219" s="174"/>
      <c r="G219" s="174"/>
      <c r="H219" s="174"/>
      <c r="I219" s="174"/>
      <c r="J219" s="174"/>
      <c r="K219" s="174"/>
      <c r="L219" s="408"/>
      <c r="M219" s="408"/>
      <c r="N219" s="408"/>
      <c r="O219" s="408"/>
      <c r="P219" s="372"/>
      <c r="Q219" s="372"/>
      <c r="R219" s="372"/>
      <c r="S219" s="372"/>
      <c r="T219" s="372"/>
      <c r="U219" s="372"/>
      <c r="V219" s="372"/>
      <c r="W219" s="372"/>
      <c r="X219" s="372"/>
    </row>
    <row r="220" spans="2:26" ht="15.75" customHeight="1" x14ac:dyDescent="0.3">
      <c r="B220" s="22"/>
      <c r="C220" s="23"/>
      <c r="D220" s="13"/>
      <c r="E220" s="14" t="str">
        <f>$E$86</f>
        <v>Historical</v>
      </c>
      <c r="F220" s="15"/>
      <c r="G220" s="15"/>
      <c r="H220" s="16" t="str">
        <f>+$H$86</f>
        <v>Transaction Adjustments:</v>
      </c>
      <c r="I220" s="15"/>
      <c r="J220" s="15"/>
      <c r="K220" s="16" t="str">
        <f>$K$86</f>
        <v>Projected</v>
      </c>
      <c r="L220" s="17"/>
      <c r="M220" s="15"/>
      <c r="N220" s="15"/>
      <c r="O220" s="15"/>
      <c r="P220" s="372"/>
      <c r="Q220" s="372"/>
      <c r="R220" s="372"/>
      <c r="S220" s="372"/>
      <c r="T220" s="372"/>
      <c r="U220" s="372"/>
      <c r="V220" s="372"/>
      <c r="W220" s="372"/>
      <c r="X220" s="372"/>
    </row>
    <row r="221" spans="2:26" ht="15.75" customHeight="1" x14ac:dyDescent="0.3">
      <c r="B221" s="4" t="s">
        <v>29</v>
      </c>
      <c r="C221" s="5"/>
      <c r="D221" s="34" t="str">
        <f>$D$5</f>
        <v>Units:</v>
      </c>
      <c r="E221" s="1">
        <f>$E$87</f>
        <v>43465</v>
      </c>
      <c r="F221" s="1">
        <f>$F$87</f>
        <v>43830</v>
      </c>
      <c r="G221" s="2">
        <f>$G$87</f>
        <v>44196</v>
      </c>
      <c r="H221" s="1" t="str">
        <f>+$H$87</f>
        <v>Debit</v>
      </c>
      <c r="I221" s="1" t="str">
        <f>+$I$87</f>
        <v>Credit</v>
      </c>
      <c r="J221" s="1">
        <f>+$J$87</f>
        <v>44196</v>
      </c>
      <c r="K221" s="54">
        <f>$K$87</f>
        <v>44561</v>
      </c>
      <c r="L221" s="1">
        <f>$L$87</f>
        <v>44926</v>
      </c>
      <c r="M221" s="1">
        <f>$M$87</f>
        <v>45291</v>
      </c>
      <c r="N221" s="1">
        <f>$N$87</f>
        <v>45657</v>
      </c>
      <c r="O221" s="1">
        <f>$O$87</f>
        <v>46022</v>
      </c>
    </row>
    <row r="222" spans="2:26" ht="15.75" customHeight="1" outlineLevel="1" x14ac:dyDescent="0.3">
      <c r="B222" s="8" t="s">
        <v>92</v>
      </c>
      <c r="C222" s="61"/>
      <c r="D222" s="8"/>
      <c r="E222" s="8" t="s">
        <v>93</v>
      </c>
      <c r="F222" s="8" t="s">
        <v>93</v>
      </c>
      <c r="G222" s="8" t="s">
        <v>93</v>
      </c>
      <c r="H222" s="85"/>
      <c r="I222" s="61"/>
      <c r="J222" s="86"/>
      <c r="K222" s="8" t="s">
        <v>93</v>
      </c>
      <c r="L222" s="8" t="s">
        <v>93</v>
      </c>
      <c r="M222" s="8" t="s">
        <v>93</v>
      </c>
      <c r="N222" s="8" t="s">
        <v>93</v>
      </c>
      <c r="O222" s="8" t="s">
        <v>93</v>
      </c>
    </row>
    <row r="223" spans="2:26" ht="15.75" customHeight="1" outlineLevel="1" x14ac:dyDescent="0.3">
      <c r="C223" s="3" t="s">
        <v>233</v>
      </c>
      <c r="D223" s="44" t="s">
        <v>175</v>
      </c>
      <c r="E223" s="56">
        <f>E178</f>
        <v>146.09999999999997</v>
      </c>
      <c r="F223" s="150">
        <f>F178</f>
        <v>174.39999999999966</v>
      </c>
      <c r="G223" s="150">
        <f>G178</f>
        <v>-82.300000000000068</v>
      </c>
      <c r="H223" s="75"/>
      <c r="I223" s="56"/>
      <c r="J223" s="76"/>
      <c r="K223" s="56">
        <f>K178</f>
        <v>-3.8534918028730045</v>
      </c>
      <c r="L223" s="56">
        <f t="shared" ref="L223:O223" si="77">L178</f>
        <v>-23.596467818105925</v>
      </c>
      <c r="M223" s="56">
        <f t="shared" si="77"/>
        <v>-42.586525569991785</v>
      </c>
      <c r="N223" s="56">
        <f t="shared" si="77"/>
        <v>48.635857067752092</v>
      </c>
      <c r="O223" s="56">
        <f t="shared" si="77"/>
        <v>178.57314919407034</v>
      </c>
    </row>
    <row r="224" spans="2:26" ht="15.75" customHeight="1" outlineLevel="1" x14ac:dyDescent="0.3">
      <c r="C224" s="273" t="s">
        <v>242</v>
      </c>
      <c r="D224" s="44" t="s">
        <v>175</v>
      </c>
      <c r="E224" s="274">
        <f>-E176</f>
        <v>-1.6</v>
      </c>
      <c r="F224" s="47">
        <f t="shared" ref="F224:G224" si="78">-F176</f>
        <v>-2.7</v>
      </c>
      <c r="G224" s="47">
        <f t="shared" si="78"/>
        <v>-2.9</v>
      </c>
      <c r="H224" s="75"/>
      <c r="I224" s="56"/>
      <c r="J224" s="76"/>
      <c r="K224" s="316">
        <f>-K176</f>
        <v>-2.4000000000000004</v>
      </c>
      <c r="L224" s="316">
        <f t="shared" ref="L224:O224" si="79">-L176</f>
        <v>-2.4000000000000004</v>
      </c>
      <c r="M224" s="316">
        <f t="shared" si="79"/>
        <v>-2.4000000000000004</v>
      </c>
      <c r="N224" s="316">
        <f t="shared" si="79"/>
        <v>-2.4000000000000004</v>
      </c>
      <c r="O224" s="316">
        <f t="shared" si="79"/>
        <v>-2.4000000000000004</v>
      </c>
    </row>
    <row r="225" spans="2:18" ht="15.75" customHeight="1" outlineLevel="1" x14ac:dyDescent="0.3">
      <c r="C225" s="273" t="s">
        <v>243</v>
      </c>
      <c r="D225" s="44" t="s">
        <v>175</v>
      </c>
      <c r="E225" s="274">
        <f t="shared" ref="E225:G225" si="80">-E177</f>
        <v>88.6</v>
      </c>
      <c r="F225" s="47">
        <f t="shared" si="80"/>
        <v>70.5</v>
      </c>
      <c r="G225" s="47">
        <f t="shared" si="80"/>
        <v>-19.600000000000001</v>
      </c>
      <c r="H225" s="75"/>
      <c r="I225" s="56"/>
      <c r="J225" s="76"/>
      <c r="K225" s="316">
        <f>K177</f>
        <v>1.3727177128257815</v>
      </c>
      <c r="L225" s="316">
        <f t="shared" ref="L225:O225" si="81">L177</f>
        <v>4.5876119679010445</v>
      </c>
      <c r="M225" s="316">
        <f t="shared" si="81"/>
        <v>7.3233878834870358</v>
      </c>
      <c r="N225" s="316">
        <f t="shared" si="81"/>
        <v>-6.9088062285146803</v>
      </c>
      <c r="O225" s="316">
        <f t="shared" si="81"/>
        <v>-24.023611253736863</v>
      </c>
    </row>
    <row r="226" spans="2:18" ht="15.75" customHeight="1" outlineLevel="1" x14ac:dyDescent="0.3">
      <c r="C226" s="295" t="s">
        <v>250</v>
      </c>
      <c r="D226" s="296" t="s">
        <v>175</v>
      </c>
      <c r="E226" s="297">
        <v>13</v>
      </c>
      <c r="F226" s="297">
        <v>12.2</v>
      </c>
      <c r="G226" s="297">
        <v>17.100000000000001</v>
      </c>
      <c r="H226" s="298"/>
      <c r="I226" s="299"/>
      <c r="J226" s="300"/>
      <c r="K226" s="297">
        <f>K124</f>
        <v>0</v>
      </c>
      <c r="L226" s="297">
        <f>L124</f>
        <v>0</v>
      </c>
      <c r="M226" s="297">
        <f>M124</f>
        <v>0</v>
      </c>
      <c r="N226" s="297">
        <f>N124</f>
        <v>0</v>
      </c>
      <c r="O226" s="297">
        <f>O124</f>
        <v>0</v>
      </c>
    </row>
    <row r="227" spans="2:18" ht="15.75" customHeight="1" outlineLevel="1" x14ac:dyDescent="0.3">
      <c r="C227" s="273" t="s">
        <v>244</v>
      </c>
      <c r="D227" s="44" t="s">
        <v>175</v>
      </c>
      <c r="E227" s="274">
        <f>-E160</f>
        <v>74.099999999999994</v>
      </c>
      <c r="F227" s="47">
        <f t="shared" ref="F227:G227" si="82">-F160</f>
        <v>89.9</v>
      </c>
      <c r="G227" s="47">
        <f t="shared" si="82"/>
        <v>91.5</v>
      </c>
      <c r="H227" s="75"/>
      <c r="I227" s="56"/>
      <c r="J227" s="76"/>
      <c r="K227" s="316">
        <f>-K160</f>
        <v>72.643053345426054</v>
      </c>
      <c r="L227" s="316">
        <f t="shared" ref="L227:O227" si="83">-L160</f>
        <v>92.831842870099351</v>
      </c>
      <c r="M227" s="316">
        <f t="shared" si="83"/>
        <v>99.020632394772633</v>
      </c>
      <c r="N227" s="316">
        <f t="shared" si="83"/>
        <v>126.45942191944593</v>
      </c>
      <c r="O227" s="316">
        <f t="shared" si="83"/>
        <v>133.89821144411923</v>
      </c>
    </row>
    <row r="228" spans="2:18" ht="15.75" customHeight="1" outlineLevel="1" x14ac:dyDescent="0.3">
      <c r="C228" s="273" t="s">
        <v>245</v>
      </c>
      <c r="D228" s="44" t="s">
        <v>175</v>
      </c>
      <c r="E228" s="274">
        <f t="shared" ref="E228:G228" si="84">-E161</f>
        <v>8.9000000000000057</v>
      </c>
      <c r="F228" s="47">
        <f t="shared" si="84"/>
        <v>7.8</v>
      </c>
      <c r="G228" s="47">
        <f t="shared" si="84"/>
        <v>9.1</v>
      </c>
      <c r="H228" s="75"/>
      <c r="I228" s="56"/>
      <c r="J228" s="76"/>
      <c r="K228" s="316">
        <f>-K161</f>
        <v>8.6000000000000014</v>
      </c>
      <c r="L228" s="316">
        <f t="shared" ref="L228:O228" si="85">-L161</f>
        <v>8.6000000000000014</v>
      </c>
      <c r="M228" s="316">
        <f t="shared" si="85"/>
        <v>8.6000000000000014</v>
      </c>
      <c r="N228" s="316">
        <f t="shared" si="85"/>
        <v>8.6000000000000014</v>
      </c>
      <c r="O228" s="316">
        <f t="shared" si="85"/>
        <v>8.6000000000000014</v>
      </c>
    </row>
    <row r="229" spans="2:18" ht="15.75" customHeight="1" outlineLevel="1" x14ac:dyDescent="0.3">
      <c r="C229" s="273" t="s">
        <v>246</v>
      </c>
      <c r="D229" s="44" t="s">
        <v>175</v>
      </c>
      <c r="E229" s="274">
        <f t="shared" ref="E229:G229" si="86">-E162</f>
        <v>0</v>
      </c>
      <c r="F229" s="47">
        <f t="shared" si="86"/>
        <v>55.1</v>
      </c>
      <c r="G229" s="47">
        <f t="shared" si="86"/>
        <v>55.7</v>
      </c>
      <c r="H229" s="75"/>
      <c r="I229" s="56"/>
      <c r="J229" s="76"/>
      <c r="K229" s="316">
        <f>-K162</f>
        <v>56.435193890423385</v>
      </c>
      <c r="L229" s="316">
        <f t="shared" ref="L229:O229" si="87">-L162</f>
        <v>56.435193890423385</v>
      </c>
      <c r="M229" s="316">
        <f t="shared" si="87"/>
        <v>56.435193890423385</v>
      </c>
      <c r="N229" s="316">
        <f t="shared" si="87"/>
        <v>56.435193890423385</v>
      </c>
      <c r="O229" s="316">
        <f t="shared" si="87"/>
        <v>56.435193890423385</v>
      </c>
    </row>
    <row r="230" spans="2:18" ht="15.75" customHeight="1" outlineLevel="1" x14ac:dyDescent="0.3">
      <c r="C230" s="282" t="s">
        <v>247</v>
      </c>
      <c r="D230" s="283" t="s">
        <v>175</v>
      </c>
      <c r="E230" s="284">
        <f>-E166</f>
        <v>0</v>
      </c>
      <c r="F230" s="284">
        <f t="shared" ref="F230:G230" si="88">-F166</f>
        <v>0</v>
      </c>
      <c r="G230" s="284">
        <f t="shared" si="88"/>
        <v>0</v>
      </c>
      <c r="H230" s="285"/>
      <c r="I230" s="286"/>
      <c r="J230" s="287"/>
      <c r="K230" s="410">
        <f>-K166</f>
        <v>7.7485714285714256</v>
      </c>
      <c r="L230" s="328">
        <f t="shared" ref="L230:O230" si="89">-L166</f>
        <v>7.7485714285714256</v>
      </c>
      <c r="M230" s="328">
        <f t="shared" si="89"/>
        <v>7.7485714285714256</v>
      </c>
      <c r="N230" s="328">
        <f t="shared" si="89"/>
        <v>7.7485714285714256</v>
      </c>
      <c r="O230" s="328">
        <f t="shared" si="89"/>
        <v>7.7485714285714256</v>
      </c>
    </row>
    <row r="231" spans="2:18" ht="15.75" customHeight="1" outlineLevel="1" x14ac:dyDescent="0.3">
      <c r="C231" s="288" t="s">
        <v>89</v>
      </c>
      <c r="D231" s="253" t="s">
        <v>175</v>
      </c>
      <c r="E231" s="289">
        <f t="shared" ref="E231:G231" si="90">-E167</f>
        <v>0</v>
      </c>
      <c r="F231" s="289">
        <f t="shared" si="90"/>
        <v>0</v>
      </c>
      <c r="G231" s="289">
        <f t="shared" si="90"/>
        <v>0</v>
      </c>
      <c r="H231" s="279"/>
      <c r="I231" s="280"/>
      <c r="J231" s="281"/>
      <c r="K231" s="329">
        <f>-K167</f>
        <v>0</v>
      </c>
      <c r="L231" s="329">
        <f t="shared" ref="L231:O231" si="91">-L167</f>
        <v>0</v>
      </c>
      <c r="M231" s="329">
        <f t="shared" si="91"/>
        <v>0</v>
      </c>
      <c r="N231" s="329">
        <f t="shared" si="91"/>
        <v>0</v>
      </c>
      <c r="O231" s="329">
        <f t="shared" si="91"/>
        <v>0</v>
      </c>
    </row>
    <row r="232" spans="2:18" ht="15.75" customHeight="1" outlineLevel="1" x14ac:dyDescent="0.3">
      <c r="C232" s="288" t="s">
        <v>248</v>
      </c>
      <c r="D232" s="253" t="s">
        <v>175</v>
      </c>
      <c r="E232" s="289">
        <f t="shared" ref="E232:G232" si="92">-E168</f>
        <v>0</v>
      </c>
      <c r="F232" s="289">
        <f t="shared" si="92"/>
        <v>0</v>
      </c>
      <c r="G232" s="289">
        <f t="shared" si="92"/>
        <v>0</v>
      </c>
      <c r="H232" s="279"/>
      <c r="I232" s="280"/>
      <c r="J232" s="281"/>
      <c r="K232" s="329">
        <f t="shared" ref="K232:O232" si="93">-K168</f>
        <v>10.589632875000003</v>
      </c>
      <c r="L232" s="329">
        <f t="shared" si="93"/>
        <v>10.589632875000003</v>
      </c>
      <c r="M232" s="329">
        <f t="shared" si="93"/>
        <v>10.589632875000003</v>
      </c>
      <c r="N232" s="329">
        <f t="shared" si="93"/>
        <v>10.589632875000003</v>
      </c>
      <c r="O232" s="329">
        <f t="shared" si="93"/>
        <v>10.589632875000003</v>
      </c>
    </row>
    <row r="233" spans="2:18" ht="15.75" customHeight="1" outlineLevel="1" x14ac:dyDescent="0.3">
      <c r="C233" s="288" t="s">
        <v>150</v>
      </c>
      <c r="D233" s="253" t="s">
        <v>175</v>
      </c>
      <c r="E233" s="289">
        <f t="shared" ref="E233:G233" si="94">-E169</f>
        <v>0</v>
      </c>
      <c r="F233" s="289">
        <f t="shared" si="94"/>
        <v>0</v>
      </c>
      <c r="G233" s="289">
        <f t="shared" si="94"/>
        <v>0</v>
      </c>
      <c r="H233" s="279"/>
      <c r="I233" s="280"/>
      <c r="J233" s="281"/>
      <c r="K233" s="329">
        <f t="shared" ref="K233:O233" si="95">-K169</f>
        <v>7.3275000000000006</v>
      </c>
      <c r="L233" s="329">
        <f t="shared" si="95"/>
        <v>7.3275000000000006</v>
      </c>
      <c r="M233" s="329">
        <f t="shared" si="95"/>
        <v>7.3275000000000006</v>
      </c>
      <c r="N233" s="329">
        <f t="shared" si="95"/>
        <v>7.3275000000000006</v>
      </c>
      <c r="O233" s="329">
        <f t="shared" si="95"/>
        <v>7.3275000000000006</v>
      </c>
    </row>
    <row r="234" spans="2:18" ht="15.75" customHeight="1" outlineLevel="1" x14ac:dyDescent="0.3">
      <c r="C234" s="288" t="s">
        <v>41</v>
      </c>
      <c r="D234" s="253" t="s">
        <v>175</v>
      </c>
      <c r="E234" s="254">
        <v>0</v>
      </c>
      <c r="F234" s="254">
        <v>0</v>
      </c>
      <c r="G234" s="254">
        <v>0</v>
      </c>
      <c r="H234" s="279"/>
      <c r="I234" s="280"/>
      <c r="J234" s="281"/>
      <c r="K234" s="329">
        <f>K313</f>
        <v>21.695999999999994</v>
      </c>
      <c r="L234" s="329">
        <f t="shared" ref="L234:O234" si="96">L313</f>
        <v>21.912959999999995</v>
      </c>
      <c r="M234" s="329">
        <f t="shared" si="96"/>
        <v>22.13208959999999</v>
      </c>
      <c r="N234" s="329">
        <f t="shared" si="96"/>
        <v>22.353410495999988</v>
      </c>
      <c r="O234" s="329">
        <f t="shared" si="96"/>
        <v>22.576944600959987</v>
      </c>
    </row>
    <row r="235" spans="2:18" ht="15.75" customHeight="1" outlineLevel="1" x14ac:dyDescent="0.3">
      <c r="C235" s="290" t="s">
        <v>90</v>
      </c>
      <c r="D235" s="291" t="s">
        <v>175</v>
      </c>
      <c r="E235" s="314">
        <v>20</v>
      </c>
      <c r="F235" s="314">
        <v>-35.899999999999991</v>
      </c>
      <c r="G235" s="314">
        <v>-45</v>
      </c>
      <c r="H235" s="292"/>
      <c r="I235" s="293"/>
      <c r="J235" s="294"/>
      <c r="K235" s="409">
        <f>K337</f>
        <v>-7.6059299457072198</v>
      </c>
      <c r="L235" s="330">
        <f t="shared" ref="L235:O235" si="97">L337</f>
        <v>-10.770972742602153</v>
      </c>
      <c r="M235" s="330">
        <f t="shared" si="97"/>
        <v>-19.481526750936226</v>
      </c>
      <c r="N235" s="330">
        <f t="shared" si="97"/>
        <v>-2.0317455294640716</v>
      </c>
      <c r="O235" s="330">
        <f t="shared" si="97"/>
        <v>11.456550267343943</v>
      </c>
    </row>
    <row r="236" spans="2:18" ht="15.75" customHeight="1" outlineLevel="1" x14ac:dyDescent="0.3">
      <c r="C236" s="317" t="s">
        <v>283</v>
      </c>
      <c r="D236" s="44" t="s">
        <v>175</v>
      </c>
      <c r="E236" s="20">
        <v>-1.5</v>
      </c>
      <c r="F236" s="20">
        <v>-14.499999999999998</v>
      </c>
      <c r="G236" s="20">
        <v>-5.0999999999999996</v>
      </c>
      <c r="H236" s="75"/>
      <c r="I236" s="56"/>
      <c r="J236" s="76"/>
      <c r="K236" s="20">
        <v>0</v>
      </c>
      <c r="L236" s="20">
        <v>0</v>
      </c>
      <c r="M236" s="20">
        <v>0</v>
      </c>
      <c r="N236" s="20">
        <v>0</v>
      </c>
      <c r="O236" s="20">
        <v>0</v>
      </c>
    </row>
    <row r="237" spans="2:18" ht="15.75" customHeight="1" outlineLevel="1" x14ac:dyDescent="0.3">
      <c r="C237" s="273" t="s">
        <v>249</v>
      </c>
      <c r="D237" s="44" t="s">
        <v>175</v>
      </c>
      <c r="E237" s="20">
        <v>3.9</v>
      </c>
      <c r="F237" s="20">
        <v>9.6999999999999993</v>
      </c>
      <c r="G237" s="20">
        <v>-32.6</v>
      </c>
      <c r="H237" s="75"/>
      <c r="I237" s="56"/>
      <c r="J237" s="76"/>
      <c r="K237" s="327">
        <f>SUM(J185:J186)-SUM(K185:K186)+SUM(K201:K202)-SUM(J201:J202)+K209-J209</f>
        <v>14.450856169833092</v>
      </c>
      <c r="L237" s="327">
        <f t="shared" ref="L237:O237" si="98">SUM(K185:K186)-SUM(L185:L186)+SUM(L201:L202)-SUM(K201:K202)+L209-K209</f>
        <v>34.450116596127856</v>
      </c>
      <c r="M237" s="327">
        <f t="shared" si="98"/>
        <v>43.626429750063636</v>
      </c>
      <c r="N237" s="327">
        <f t="shared" si="98"/>
        <v>32.930734242994674</v>
      </c>
      <c r="O237" s="327">
        <f t="shared" si="98"/>
        <v>13.612219732414047</v>
      </c>
    </row>
    <row r="238" spans="2:18" ht="15.75" customHeight="1" outlineLevel="1" x14ac:dyDescent="0.3">
      <c r="C238" s="30" t="s">
        <v>91</v>
      </c>
      <c r="D238" s="143" t="s">
        <v>175</v>
      </c>
      <c r="E238" s="31">
        <f>SUM(E223:E237)</f>
        <v>351.49999999999989</v>
      </c>
      <c r="F238" s="31">
        <f t="shared" ref="F238:G238" si="99">SUM(F223:F237)</f>
        <v>366.49999999999972</v>
      </c>
      <c r="G238" s="31">
        <f t="shared" si="99"/>
        <v>-14.10000000000008</v>
      </c>
      <c r="H238" s="71"/>
      <c r="I238" s="31"/>
      <c r="J238" s="72"/>
      <c r="K238" s="31">
        <f>SUM(K223:K237)</f>
        <v>187.00410367349954</v>
      </c>
      <c r="L238" s="31">
        <f t="shared" ref="L238:O238" si="100">SUM(L223:L237)</f>
        <v>207.71598906741502</v>
      </c>
      <c r="M238" s="31">
        <f t="shared" si="100"/>
        <v>198.33538550139011</v>
      </c>
      <c r="N238" s="31">
        <f t="shared" si="100"/>
        <v>309.7397701622088</v>
      </c>
      <c r="O238" s="31">
        <f t="shared" si="100"/>
        <v>424.39436217916546</v>
      </c>
      <c r="R238" s="377" t="s">
        <v>337</v>
      </c>
    </row>
    <row r="239" spans="2:18" ht="15.75" customHeight="1" outlineLevel="1" x14ac:dyDescent="0.3">
      <c r="C239" s="3"/>
      <c r="E239" s="21"/>
      <c r="F239" s="21"/>
      <c r="G239" s="21"/>
      <c r="H239" s="87"/>
      <c r="I239" s="21"/>
      <c r="J239" s="88"/>
      <c r="K239" s="21"/>
      <c r="L239" s="21"/>
      <c r="M239" s="21"/>
      <c r="N239" s="21"/>
      <c r="O239" s="21"/>
    </row>
    <row r="240" spans="2:18" ht="15.75" customHeight="1" outlineLevel="1" x14ac:dyDescent="0.3">
      <c r="B240" s="8" t="s">
        <v>252</v>
      </c>
      <c r="C240" s="8"/>
      <c r="D240" s="8"/>
      <c r="E240" s="8"/>
      <c r="F240" s="8"/>
      <c r="G240" s="8"/>
      <c r="H240" s="89"/>
      <c r="I240" s="8"/>
      <c r="J240" s="90"/>
      <c r="K240" s="8"/>
      <c r="L240" s="8"/>
      <c r="M240" s="8"/>
      <c r="N240" s="8"/>
      <c r="O240" s="8"/>
    </row>
    <row r="241" spans="3:15" ht="15.75" customHeight="1" outlineLevel="1" x14ac:dyDescent="0.3">
      <c r="C241" s="169" t="s">
        <v>28</v>
      </c>
      <c r="D241" s="44" t="s">
        <v>175</v>
      </c>
      <c r="E241" s="20">
        <v>-197.2</v>
      </c>
      <c r="F241" s="20">
        <v>-403</v>
      </c>
      <c r="G241" s="20">
        <v>-308.7</v>
      </c>
      <c r="H241" s="195"/>
      <c r="I241" s="174"/>
      <c r="J241" s="196"/>
      <c r="K241" s="174">
        <f>K129*K109/Units+K130*K90/Units</f>
        <v>-278.60361862478618</v>
      </c>
      <c r="L241" s="174">
        <f>L129*L109/Units+L130*L90/Units</f>
        <v>-236.06368574019871</v>
      </c>
      <c r="M241" s="174">
        <f>M129*M109/Units+M130*M90/Units</f>
        <v>-123.77579049346579</v>
      </c>
      <c r="N241" s="174">
        <f>N129*N109/Units+N130*N90/Units</f>
        <v>-213.02579049346582</v>
      </c>
      <c r="O241" s="174">
        <f>O129*O109/Units+O130*O90/Units</f>
        <v>-148.77579049346582</v>
      </c>
    </row>
    <row r="242" spans="3:15" ht="15.75" customHeight="1" outlineLevel="1" x14ac:dyDescent="0.3">
      <c r="C242" s="317" t="s">
        <v>284</v>
      </c>
      <c r="D242" s="44" t="s">
        <v>175</v>
      </c>
      <c r="E242" s="20">
        <v>-198.9</v>
      </c>
      <c r="F242" s="20">
        <v>18.5</v>
      </c>
      <c r="G242" s="20">
        <v>0.5</v>
      </c>
      <c r="H242" s="195"/>
      <c r="I242" s="174"/>
      <c r="J242" s="196"/>
      <c r="K242" s="20">
        <v>0</v>
      </c>
      <c r="L242" s="20">
        <v>0</v>
      </c>
      <c r="M242" s="20">
        <v>0</v>
      </c>
      <c r="N242" s="20">
        <v>0</v>
      </c>
      <c r="O242" s="20">
        <v>0</v>
      </c>
    </row>
    <row r="243" spans="3:15" ht="15.75" customHeight="1" outlineLevel="1" x14ac:dyDescent="0.3">
      <c r="C243" s="374" t="s">
        <v>328</v>
      </c>
      <c r="D243" s="44" t="s">
        <v>175</v>
      </c>
      <c r="E243" s="20">
        <v>0</v>
      </c>
      <c r="F243" s="20">
        <v>-44.8</v>
      </c>
      <c r="G243" s="20">
        <v>-30.2</v>
      </c>
      <c r="H243" s="195"/>
      <c r="I243" s="174"/>
      <c r="J243" s="196"/>
      <c r="K243" s="174">
        <f>K134*K110</f>
        <v>0</v>
      </c>
      <c r="L243" s="174">
        <f t="shared" ref="L243:O243" si="101">L134*L110</f>
        <v>0</v>
      </c>
      <c r="M243" s="174">
        <f t="shared" si="101"/>
        <v>0</v>
      </c>
      <c r="N243" s="174">
        <f t="shared" si="101"/>
        <v>0</v>
      </c>
      <c r="O243" s="174">
        <f t="shared" si="101"/>
        <v>0</v>
      </c>
    </row>
    <row r="244" spans="3:15" ht="15.75" customHeight="1" outlineLevel="1" x14ac:dyDescent="0.3">
      <c r="C244" s="374" t="s">
        <v>327</v>
      </c>
      <c r="D244" s="44" t="s">
        <v>175</v>
      </c>
      <c r="E244" s="20">
        <v>0</v>
      </c>
      <c r="F244" s="20">
        <v>44.8</v>
      </c>
      <c r="G244" s="20">
        <v>30.2</v>
      </c>
      <c r="H244" s="195"/>
      <c r="I244" s="174"/>
      <c r="J244" s="196"/>
      <c r="K244" s="174">
        <f>-K243</f>
        <v>0</v>
      </c>
      <c r="L244" s="174">
        <f t="shared" ref="L244:O244" si="102">-L243</f>
        <v>0</v>
      </c>
      <c r="M244" s="174">
        <f t="shared" si="102"/>
        <v>0</v>
      </c>
      <c r="N244" s="174">
        <f t="shared" si="102"/>
        <v>0</v>
      </c>
      <c r="O244" s="174">
        <f t="shared" si="102"/>
        <v>0</v>
      </c>
    </row>
    <row r="245" spans="3:15" ht="15.75" customHeight="1" outlineLevel="1" x14ac:dyDescent="0.3">
      <c r="C245" s="273" t="s">
        <v>251</v>
      </c>
      <c r="D245" s="45" t="s">
        <v>175</v>
      </c>
      <c r="E245" s="20">
        <v>0</v>
      </c>
      <c r="F245" s="20">
        <v>-82.8</v>
      </c>
      <c r="G245" s="20">
        <v>-87</v>
      </c>
      <c r="H245" s="195"/>
      <c r="I245" s="174"/>
      <c r="J245" s="196"/>
      <c r="K245" s="174">
        <f>-K136*K110/Units</f>
        <v>-91.792182833821172</v>
      </c>
      <c r="L245" s="174">
        <f>-L136*L110/Units</f>
        <v>-93.832009119017201</v>
      </c>
      <c r="M245" s="174">
        <f>-M136*M110/Units</f>
        <v>-96.551777499278572</v>
      </c>
      <c r="N245" s="174">
        <f>-N136*N110/Units</f>
        <v>-98.5916037844746</v>
      </c>
      <c r="O245" s="174">
        <f>-O136*O110/Units</f>
        <v>-100.63143006967061</v>
      </c>
    </row>
    <row r="246" spans="3:15" ht="15.75" customHeight="1" outlineLevel="1" x14ac:dyDescent="0.3">
      <c r="C246" s="30" t="s">
        <v>94</v>
      </c>
      <c r="D246" s="44" t="s">
        <v>175</v>
      </c>
      <c r="E246" s="31">
        <f>SUM(E241:E245)</f>
        <v>-396.1</v>
      </c>
      <c r="F246" s="31">
        <f t="shared" ref="F246:G246" si="103">SUM(F241:F245)</f>
        <v>-467.3</v>
      </c>
      <c r="G246" s="31">
        <f t="shared" si="103"/>
        <v>-395.2</v>
      </c>
      <c r="H246" s="71"/>
      <c r="I246" s="31"/>
      <c r="J246" s="72"/>
      <c r="K246" s="31">
        <f>SUM(K241:K245)</f>
        <v>-370.39580145860737</v>
      </c>
      <c r="L246" s="31">
        <f t="shared" ref="L246:O246" si="104">SUM(L241:L245)</f>
        <v>-329.89569485921589</v>
      </c>
      <c r="M246" s="31">
        <f t="shared" si="104"/>
        <v>-220.32756799274438</v>
      </c>
      <c r="N246" s="31">
        <f t="shared" si="104"/>
        <v>-311.61739427794043</v>
      </c>
      <c r="O246" s="31">
        <f t="shared" si="104"/>
        <v>-249.40722056313643</v>
      </c>
    </row>
    <row r="247" spans="3:15" ht="15.75" customHeight="1" outlineLevel="1" x14ac:dyDescent="0.3">
      <c r="C247" s="3"/>
      <c r="E247" s="21"/>
      <c r="F247" s="21"/>
      <c r="G247" s="21"/>
      <c r="H247" s="87"/>
      <c r="I247" s="21"/>
      <c r="J247" s="88"/>
      <c r="K247" s="21"/>
      <c r="L247" s="21"/>
      <c r="M247" s="21"/>
      <c r="N247" s="21"/>
      <c r="O247" s="21"/>
    </row>
    <row r="248" spans="3:15" ht="15.75" customHeight="1" outlineLevel="1" x14ac:dyDescent="0.3">
      <c r="C248" s="3" t="s">
        <v>133</v>
      </c>
      <c r="D248" s="44" t="s">
        <v>175</v>
      </c>
      <c r="E248" s="35">
        <f>E238+E246</f>
        <v>-44.600000000000136</v>
      </c>
      <c r="F248" s="35">
        <f t="shared" ref="F248:G248" si="105">F238+F246</f>
        <v>-100.8000000000003</v>
      </c>
      <c r="G248" s="35">
        <f t="shared" si="105"/>
        <v>-409.30000000000007</v>
      </c>
      <c r="H248" s="73"/>
      <c r="I248" s="35"/>
      <c r="J248" s="74"/>
      <c r="K248" s="35">
        <f>SUM(K246+K238)</f>
        <v>-183.39169778510782</v>
      </c>
      <c r="L248" s="35">
        <f t="shared" ref="L248:O248" si="106">SUM(L246+L238)</f>
        <v>-122.17970579180087</v>
      </c>
      <c r="M248" s="35">
        <f t="shared" si="106"/>
        <v>-21.992182491354271</v>
      </c>
      <c r="N248" s="35">
        <f t="shared" si="106"/>
        <v>-1.8776241157316349</v>
      </c>
      <c r="O248" s="35">
        <f t="shared" si="106"/>
        <v>174.98714161602902</v>
      </c>
    </row>
    <row r="249" spans="3:15" ht="15.75" customHeight="1" outlineLevel="1" x14ac:dyDescent="0.3">
      <c r="C249" s="3"/>
      <c r="E249" s="21"/>
      <c r="F249" s="21"/>
      <c r="G249" s="21"/>
      <c r="H249" s="87"/>
      <c r="I249" s="21"/>
      <c r="J249" s="88"/>
      <c r="K249" s="21"/>
      <c r="L249" s="21"/>
      <c r="M249" s="21"/>
      <c r="N249" s="21"/>
      <c r="O249" s="21"/>
    </row>
    <row r="250" spans="3:15" ht="15.75" customHeight="1" outlineLevel="1" x14ac:dyDescent="0.3">
      <c r="C250" s="3" t="s">
        <v>30</v>
      </c>
      <c r="D250" s="44" t="s">
        <v>175</v>
      </c>
      <c r="E250" s="35"/>
      <c r="F250" s="35"/>
      <c r="G250" s="35"/>
      <c r="H250" s="73"/>
      <c r="I250" s="35"/>
      <c r="J250" s="74"/>
      <c r="K250" s="35">
        <f>J184</f>
        <v>200</v>
      </c>
      <c r="L250" s="35">
        <f>K255</f>
        <v>200</v>
      </c>
      <c r="M250" s="35">
        <f t="shared" ref="M250:O250" si="107">L255</f>
        <v>200</v>
      </c>
      <c r="N250" s="35">
        <f t="shared" si="107"/>
        <v>200</v>
      </c>
      <c r="O250" s="35">
        <f t="shared" si="107"/>
        <v>200</v>
      </c>
    </row>
    <row r="251" spans="3:15" ht="15.75" customHeight="1" outlineLevel="1" x14ac:dyDescent="0.3">
      <c r="C251" s="169" t="s">
        <v>43</v>
      </c>
      <c r="D251" s="44" t="s">
        <v>175</v>
      </c>
      <c r="E251" s="174"/>
      <c r="F251" s="174"/>
      <c r="G251" s="174"/>
      <c r="H251" s="195"/>
      <c r="I251" s="174"/>
      <c r="J251" s="196"/>
      <c r="K251" s="174">
        <f>K248</f>
        <v>-183.39169778510782</v>
      </c>
      <c r="L251" s="174">
        <f>L248</f>
        <v>-122.17970579180087</v>
      </c>
      <c r="M251" s="174">
        <f t="shared" ref="M251:O251" si="108">M248</f>
        <v>-21.992182491354271</v>
      </c>
      <c r="N251" s="174">
        <f t="shared" si="108"/>
        <v>-1.8776241157316349</v>
      </c>
      <c r="O251" s="174">
        <f t="shared" si="108"/>
        <v>174.98714161602902</v>
      </c>
    </row>
    <row r="252" spans="3:15" ht="15.75" customHeight="1" outlineLevel="1" x14ac:dyDescent="0.3">
      <c r="C252" s="169" t="s">
        <v>137</v>
      </c>
      <c r="D252" s="44" t="s">
        <v>175</v>
      </c>
      <c r="E252" s="174"/>
      <c r="F252" s="20"/>
      <c r="G252" s="91"/>
      <c r="H252" s="174"/>
      <c r="I252" s="174"/>
      <c r="J252" s="196"/>
      <c r="K252" s="174">
        <f>K280</f>
        <v>-18.983999999999995</v>
      </c>
      <c r="L252" s="174">
        <f>L280</f>
        <v>-19.011119999999998</v>
      </c>
      <c r="M252" s="174">
        <f t="shared" ref="M252:O252" si="109">M280</f>
        <v>-19.040138399999993</v>
      </c>
      <c r="N252" s="174">
        <f t="shared" si="109"/>
        <v>-19.071057911999993</v>
      </c>
      <c r="O252" s="174">
        <f t="shared" si="109"/>
        <v>-19.103881437839991</v>
      </c>
    </row>
    <row r="253" spans="3:15" ht="15.75" customHeight="1" outlineLevel="1" x14ac:dyDescent="0.3">
      <c r="C253" s="331" t="s">
        <v>289</v>
      </c>
      <c r="D253" s="44" t="s">
        <v>175</v>
      </c>
      <c r="E253" s="174"/>
      <c r="F253" s="20"/>
      <c r="G253" s="91"/>
      <c r="H253" s="20"/>
      <c r="I253" s="20"/>
      <c r="J253" s="91"/>
      <c r="K253" s="174">
        <f>K283+K285+K287+K289+K294</f>
        <v>202.37569778510783</v>
      </c>
      <c r="L253" s="174">
        <f t="shared" ref="L253:O253" si="110">L283+L285+L287+L289+L294</f>
        <v>141.19082579180088</v>
      </c>
      <c r="M253" s="174">
        <f t="shared" si="110"/>
        <v>41.03232089135426</v>
      </c>
      <c r="N253" s="174">
        <f t="shared" si="110"/>
        <v>20.948682027731621</v>
      </c>
      <c r="O253" s="174">
        <f t="shared" si="110"/>
        <v>-155.883260178189</v>
      </c>
    </row>
    <row r="254" spans="3:15" ht="15.75" customHeight="1" outlineLevel="1" x14ac:dyDescent="0.3">
      <c r="C254" s="175" t="s">
        <v>143</v>
      </c>
      <c r="D254" s="45" t="s">
        <v>175</v>
      </c>
      <c r="E254" s="174"/>
      <c r="F254" s="66"/>
      <c r="G254" s="151"/>
      <c r="H254" s="20"/>
      <c r="I254" s="20"/>
      <c r="J254" s="91"/>
      <c r="K254" s="174">
        <f>K290</f>
        <v>0</v>
      </c>
      <c r="L254" s="174">
        <f>L290</f>
        <v>0</v>
      </c>
      <c r="M254" s="174">
        <f t="shared" ref="M254:O254" si="111">M290</f>
        <v>0</v>
      </c>
      <c r="N254" s="174">
        <f t="shared" si="111"/>
        <v>0</v>
      </c>
      <c r="O254" s="174">
        <f t="shared" si="111"/>
        <v>0</v>
      </c>
    </row>
    <row r="255" spans="3:15" ht="15.75" customHeight="1" outlineLevel="1" x14ac:dyDescent="0.3">
      <c r="C255" s="30" t="s">
        <v>31</v>
      </c>
      <c r="D255" s="44" t="s">
        <v>175</v>
      </c>
      <c r="E255" s="59"/>
      <c r="F255" s="56"/>
      <c r="G255" s="56"/>
      <c r="H255" s="92"/>
      <c r="I255" s="59"/>
      <c r="J255" s="93"/>
      <c r="K255" s="59">
        <f>SUM(K250:K254)</f>
        <v>200</v>
      </c>
      <c r="L255" s="59">
        <f>SUM(L250:L254)</f>
        <v>200</v>
      </c>
      <c r="M255" s="59">
        <f t="shared" ref="M255:O255" si="112">SUM(M250:M254)</f>
        <v>200</v>
      </c>
      <c r="N255" s="59">
        <f t="shared" si="112"/>
        <v>200</v>
      </c>
      <c r="O255" s="59">
        <f t="shared" si="112"/>
        <v>200</v>
      </c>
    </row>
    <row r="256" spans="3:15" ht="15.75" customHeight="1" x14ac:dyDescent="0.3">
      <c r="C256" s="3"/>
      <c r="K256" s="174"/>
      <c r="L256" s="174"/>
      <c r="M256" s="174"/>
      <c r="N256" s="174"/>
      <c r="O256" s="174"/>
    </row>
    <row r="257" spans="2:26" ht="15.75" customHeight="1" x14ac:dyDescent="0.3">
      <c r="B257" s="22"/>
      <c r="C257" s="23"/>
      <c r="D257" s="13"/>
      <c r="E257" s="14" t="str">
        <f>$E$86</f>
        <v>Historical</v>
      </c>
      <c r="F257" s="15"/>
      <c r="G257" s="15"/>
      <c r="H257" s="16" t="str">
        <f>+$H$86</f>
        <v>Transaction Adjustments:</v>
      </c>
      <c r="I257" s="15"/>
      <c r="J257" s="15"/>
      <c r="K257" s="16" t="str">
        <f>$K$86</f>
        <v>Projected</v>
      </c>
      <c r="L257" s="17"/>
      <c r="M257" s="15"/>
      <c r="N257" s="15"/>
      <c r="O257" s="15"/>
    </row>
    <row r="258" spans="2:26" ht="15.75" customHeight="1" x14ac:dyDescent="0.3">
      <c r="B258" s="4" t="s">
        <v>4</v>
      </c>
      <c r="C258" s="5"/>
      <c r="D258" s="34" t="str">
        <f>$D$5</f>
        <v>Units:</v>
      </c>
      <c r="E258" s="1">
        <f>$E$87</f>
        <v>43465</v>
      </c>
      <c r="F258" s="1">
        <f>$F$87</f>
        <v>43830</v>
      </c>
      <c r="G258" s="2">
        <f>$G$87</f>
        <v>44196</v>
      </c>
      <c r="H258" s="1" t="str">
        <f>+$H$87</f>
        <v>Debit</v>
      </c>
      <c r="I258" s="1" t="str">
        <f>+$I$87</f>
        <v>Credit</v>
      </c>
      <c r="J258" s="1">
        <f>+$J$87</f>
        <v>44196</v>
      </c>
      <c r="K258" s="54">
        <f>$K$87</f>
        <v>44561</v>
      </c>
      <c r="L258" s="1">
        <f>$L$87</f>
        <v>44926</v>
      </c>
      <c r="M258" s="1">
        <f>$M$87</f>
        <v>45291</v>
      </c>
      <c r="N258" s="1">
        <f>$N$87</f>
        <v>45657</v>
      </c>
      <c r="O258" s="1">
        <f>$O$87</f>
        <v>46022</v>
      </c>
    </row>
    <row r="259" spans="2:26" ht="15.75" customHeight="1" outlineLevel="1" x14ac:dyDescent="0.3">
      <c r="B259" s="36"/>
      <c r="C259" s="37"/>
      <c r="D259" s="38"/>
      <c r="E259" s="39"/>
      <c r="F259" s="39"/>
      <c r="G259" s="39"/>
      <c r="H259" s="120"/>
      <c r="I259" s="121"/>
      <c r="J259" s="122"/>
      <c r="K259" s="39"/>
      <c r="L259" s="39"/>
      <c r="M259" s="39"/>
      <c r="N259" s="39"/>
      <c r="O259" s="39"/>
    </row>
    <row r="260" spans="2:26" ht="15.75" customHeight="1" outlineLevel="1" x14ac:dyDescent="0.3">
      <c r="B260" s="36"/>
      <c r="C260" s="41" t="s">
        <v>286</v>
      </c>
      <c r="D260" s="46" t="s">
        <v>33</v>
      </c>
      <c r="E260" s="39"/>
      <c r="F260" s="39"/>
      <c r="G260" s="39"/>
      <c r="H260" s="123"/>
      <c r="I260" s="39"/>
      <c r="J260" s="124"/>
      <c r="K260" s="42">
        <v>0.01</v>
      </c>
      <c r="L260" s="42">
        <v>1.4999999999999999E-2</v>
      </c>
      <c r="M260" s="42">
        <v>0.02</v>
      </c>
      <c r="N260" s="42">
        <v>2.5000000000000001E-2</v>
      </c>
      <c r="O260" s="42">
        <v>0.03</v>
      </c>
      <c r="Y260" s="372"/>
      <c r="Z260" s="372"/>
    </row>
    <row r="261" spans="2:26" ht="15.75" customHeight="1" outlineLevel="1" x14ac:dyDescent="0.3">
      <c r="B261" s="36"/>
      <c r="C261" s="37"/>
      <c r="D261" s="38"/>
      <c r="E261" s="39"/>
      <c r="F261" s="39"/>
      <c r="G261" s="39"/>
      <c r="H261" s="123"/>
      <c r="I261" s="39"/>
      <c r="J261" s="124"/>
      <c r="K261" s="39"/>
      <c r="L261" s="39"/>
      <c r="M261" s="39"/>
      <c r="N261" s="39"/>
      <c r="O261" s="39"/>
      <c r="Y261" s="372"/>
      <c r="Z261" s="372"/>
    </row>
    <row r="262" spans="2:26" ht="15.75" customHeight="1" outlineLevel="1" x14ac:dyDescent="0.3">
      <c r="B262" s="36"/>
      <c r="C262" s="26"/>
      <c r="D262" s="26" t="s">
        <v>285</v>
      </c>
      <c r="E262" s="26" t="s">
        <v>285</v>
      </c>
      <c r="F262" s="26" t="s">
        <v>36</v>
      </c>
      <c r="G262" s="26" t="s">
        <v>10</v>
      </c>
      <c r="H262" s="125"/>
      <c r="I262" s="26"/>
      <c r="J262" s="126"/>
      <c r="K262" s="26"/>
      <c r="L262" s="26"/>
      <c r="M262" s="26"/>
      <c r="N262" s="26"/>
      <c r="O262" s="26"/>
      <c r="Y262" s="372"/>
      <c r="Z262" s="372"/>
    </row>
    <row r="263" spans="2:26" ht="15.75" customHeight="1" outlineLevel="1" x14ac:dyDescent="0.3">
      <c r="B263" s="36"/>
      <c r="C263" s="8" t="s">
        <v>321</v>
      </c>
      <c r="D263" s="27" t="s">
        <v>35</v>
      </c>
      <c r="E263" s="27" t="s">
        <v>15</v>
      </c>
      <c r="F263" s="27" t="s">
        <v>14</v>
      </c>
      <c r="G263" s="27" t="s">
        <v>16</v>
      </c>
      <c r="H263" s="127"/>
      <c r="I263" s="27"/>
      <c r="J263" s="128"/>
      <c r="K263" s="27"/>
      <c r="L263" s="27"/>
      <c r="M263" s="27"/>
      <c r="N263" s="27"/>
      <c r="O263" s="27"/>
      <c r="Y263" s="372"/>
      <c r="Z263" s="372"/>
    </row>
    <row r="264" spans="2:26" ht="15.75" customHeight="1" outlineLevel="1" x14ac:dyDescent="0.3">
      <c r="B264" s="36"/>
      <c r="C264" s="119" t="str">
        <f>+$C$41</f>
        <v>Revolver:</v>
      </c>
      <c r="D264" s="138">
        <f>D59</f>
        <v>0.01</v>
      </c>
      <c r="E264" s="138">
        <f t="shared" ref="E264" si="113">E59</f>
        <v>1.4999999999999999E-2</v>
      </c>
      <c r="F264" s="138"/>
      <c r="G264" s="138"/>
      <c r="H264" s="123"/>
      <c r="I264" s="39"/>
      <c r="J264" s="124"/>
      <c r="K264" s="136">
        <f>MAX($D264,K$260)+$E264</f>
        <v>2.5000000000000001E-2</v>
      </c>
      <c r="L264" s="136">
        <f t="shared" ref="L264:O266" si="114">MAX($D264,L$260)+$E264</f>
        <v>0.03</v>
      </c>
      <c r="M264" s="136">
        <f t="shared" si="114"/>
        <v>3.5000000000000003E-2</v>
      </c>
      <c r="N264" s="136">
        <f t="shared" si="114"/>
        <v>0.04</v>
      </c>
      <c r="O264" s="136">
        <f t="shared" si="114"/>
        <v>4.4999999999999998E-2</v>
      </c>
      <c r="Y264" s="372"/>
      <c r="Z264" s="372"/>
    </row>
    <row r="265" spans="2:26" ht="15.75" customHeight="1" outlineLevel="1" x14ac:dyDescent="0.3">
      <c r="B265" s="36"/>
      <c r="C265" s="119" t="str">
        <f>+$C$42</f>
        <v>Term Loan A:</v>
      </c>
      <c r="D265" s="138">
        <f t="shared" ref="D265:E265" si="115">D60</f>
        <v>1.4999999999999999E-2</v>
      </c>
      <c r="E265" s="138">
        <f t="shared" si="115"/>
        <v>0.03</v>
      </c>
      <c r="F265" s="138"/>
      <c r="G265" s="138"/>
      <c r="H265" s="123"/>
      <c r="I265" s="39"/>
      <c r="J265" s="124"/>
      <c r="K265" s="136">
        <f t="shared" ref="K265:K266" si="116">MAX($D265,K$260)+$E265</f>
        <v>4.4999999999999998E-2</v>
      </c>
      <c r="L265" s="136">
        <f t="shared" si="114"/>
        <v>4.4999999999999998E-2</v>
      </c>
      <c r="M265" s="136">
        <f t="shared" si="114"/>
        <v>0.05</v>
      </c>
      <c r="N265" s="136">
        <f t="shared" si="114"/>
        <v>5.5E-2</v>
      </c>
      <c r="O265" s="136">
        <f t="shared" si="114"/>
        <v>0.06</v>
      </c>
      <c r="Y265" s="372"/>
      <c r="Z265" s="372"/>
    </row>
    <row r="266" spans="2:26" ht="15.75" customHeight="1" outlineLevel="1" x14ac:dyDescent="0.3">
      <c r="B266" s="36"/>
      <c r="C266" s="119" t="str">
        <f>+$C$43</f>
        <v>Term Loan B:</v>
      </c>
      <c r="D266" s="138">
        <f t="shared" ref="D266:E266" si="117">D61</f>
        <v>0.02</v>
      </c>
      <c r="E266" s="138">
        <f t="shared" si="117"/>
        <v>3.5000000000000003E-2</v>
      </c>
      <c r="F266" s="138"/>
      <c r="G266" s="138"/>
      <c r="H266" s="123"/>
      <c r="I266" s="39"/>
      <c r="J266" s="124"/>
      <c r="K266" s="136">
        <f t="shared" si="116"/>
        <v>5.5000000000000007E-2</v>
      </c>
      <c r="L266" s="136">
        <f t="shared" si="114"/>
        <v>5.5000000000000007E-2</v>
      </c>
      <c r="M266" s="136">
        <f t="shared" si="114"/>
        <v>5.5000000000000007E-2</v>
      </c>
      <c r="N266" s="136">
        <f t="shared" si="114"/>
        <v>6.0000000000000005E-2</v>
      </c>
      <c r="O266" s="136">
        <f t="shared" si="114"/>
        <v>6.5000000000000002E-2</v>
      </c>
      <c r="Y266" s="372"/>
      <c r="Z266" s="372"/>
    </row>
    <row r="267" spans="2:26" ht="15.75" customHeight="1" outlineLevel="1" x14ac:dyDescent="0.3">
      <c r="B267" s="36"/>
      <c r="C267" s="119" t="str">
        <f>+$C$44</f>
        <v>Subordinated Notes:</v>
      </c>
      <c r="D267" s="138"/>
      <c r="E267" s="138"/>
      <c r="F267" s="138">
        <f t="shared" ref="F267:G267" si="118">F62</f>
        <v>0.06</v>
      </c>
      <c r="G267" s="138">
        <f t="shared" si="118"/>
        <v>0.02</v>
      </c>
      <c r="H267" s="123"/>
      <c r="I267" s="39"/>
      <c r="J267" s="124"/>
      <c r="K267" s="136">
        <f>$F$267+$G$267</f>
        <v>0.08</v>
      </c>
      <c r="L267" s="136">
        <f t="shared" ref="L267:O267" si="119">$F$267+$G$267</f>
        <v>0.08</v>
      </c>
      <c r="M267" s="136">
        <f t="shared" si="119"/>
        <v>0.08</v>
      </c>
      <c r="N267" s="136">
        <f t="shared" si="119"/>
        <v>0.08</v>
      </c>
      <c r="O267" s="136">
        <f t="shared" si="119"/>
        <v>0.08</v>
      </c>
      <c r="Y267" s="372"/>
      <c r="Z267" s="372"/>
    </row>
    <row r="268" spans="2:26" ht="15.75" customHeight="1" outlineLevel="1" x14ac:dyDescent="0.3">
      <c r="B268" s="36"/>
      <c r="C268" s="119" t="s">
        <v>320</v>
      </c>
      <c r="D268" s="138"/>
      <c r="E268" s="138"/>
      <c r="F268" s="138">
        <f t="shared" ref="F268" si="120">F63</f>
        <v>5.0000000000000001E-3</v>
      </c>
      <c r="G268" s="138"/>
      <c r="H268" s="123"/>
      <c r="I268" s="39"/>
      <c r="J268" s="124"/>
      <c r="K268" s="136"/>
      <c r="L268" s="136"/>
      <c r="M268" s="136"/>
      <c r="N268" s="136"/>
      <c r="O268" s="136"/>
      <c r="P268" s="372"/>
      <c r="Q268" s="372"/>
      <c r="R268" s="372"/>
      <c r="S268" s="372"/>
      <c r="T268" s="372"/>
      <c r="U268" s="372"/>
      <c r="V268" s="372"/>
      <c r="W268" s="372"/>
      <c r="X268" s="372"/>
      <c r="Y268" s="372"/>
      <c r="Z268" s="372"/>
    </row>
    <row r="269" spans="2:26" ht="15.75" customHeight="1" outlineLevel="1" x14ac:dyDescent="0.3">
      <c r="B269" s="36"/>
      <c r="C269" s="41"/>
      <c r="D269" s="38"/>
      <c r="E269" s="39"/>
      <c r="F269" s="39"/>
      <c r="G269" s="39"/>
      <c r="H269" s="123"/>
      <c r="I269" s="39"/>
      <c r="J269" s="124"/>
      <c r="K269" s="39"/>
      <c r="L269" s="39"/>
      <c r="M269" s="39"/>
      <c r="N269" s="39"/>
      <c r="O269" s="39"/>
      <c r="P269" s="372"/>
      <c r="Q269" s="372"/>
      <c r="R269" s="372"/>
      <c r="S269" s="372"/>
      <c r="T269" s="372"/>
      <c r="U269" s="372"/>
      <c r="V269" s="372"/>
      <c r="W269" s="372"/>
      <c r="X269" s="372"/>
      <c r="Y269" s="372"/>
      <c r="Z269" s="372"/>
    </row>
    <row r="270" spans="2:26" ht="15.75" customHeight="1" outlineLevel="1" x14ac:dyDescent="0.3">
      <c r="B270" s="36"/>
      <c r="C270" s="8" t="s">
        <v>145</v>
      </c>
      <c r="D270" s="8"/>
      <c r="E270" s="8"/>
      <c r="F270" s="8"/>
      <c r="G270" s="8"/>
      <c r="H270" s="89"/>
      <c r="I270" s="8"/>
      <c r="J270" s="90"/>
      <c r="K270" s="8"/>
      <c r="L270" s="8"/>
      <c r="M270" s="8"/>
      <c r="N270" s="8"/>
      <c r="O270" s="8"/>
      <c r="P270" s="372"/>
      <c r="Q270" s="372"/>
      <c r="R270" s="372"/>
      <c r="S270" s="372"/>
      <c r="T270" s="372"/>
      <c r="U270" s="372"/>
      <c r="V270" s="372"/>
      <c r="W270" s="372"/>
      <c r="X270" s="372"/>
      <c r="Y270" s="372"/>
      <c r="Z270" s="372"/>
    </row>
    <row r="271" spans="2:26" ht="15.75" customHeight="1" outlineLevel="1" x14ac:dyDescent="0.3">
      <c r="B271" s="36"/>
      <c r="C271" s="119" t="str">
        <f>+$C$41</f>
        <v>Revolver:</v>
      </c>
      <c r="D271" s="44"/>
      <c r="E271" s="39"/>
      <c r="F271" s="39"/>
      <c r="G271" s="39"/>
      <c r="H271" s="123"/>
      <c r="I271" s="39"/>
      <c r="J271" s="124"/>
      <c r="K271" s="174">
        <f>K293*K264</f>
        <v>0</v>
      </c>
      <c r="L271" s="174">
        <f t="shared" ref="L271:O271" si="121">L293*L264</f>
        <v>6.0712709335532349</v>
      </c>
      <c r="M271" s="174">
        <f t="shared" si="121"/>
        <v>12.024828325191805</v>
      </c>
      <c r="N271" s="174">
        <f t="shared" si="121"/>
        <v>15.38395377873052</v>
      </c>
      <c r="O271" s="174">
        <f t="shared" si="121"/>
        <v>18.249638692319756</v>
      </c>
      <c r="P271" s="372"/>
      <c r="Q271" s="372"/>
      <c r="R271" s="372"/>
      <c r="S271" s="372"/>
      <c r="T271" s="372"/>
      <c r="U271" s="372"/>
      <c r="V271" s="372"/>
      <c r="W271" s="372"/>
      <c r="X271" s="372"/>
      <c r="Y271" s="372"/>
      <c r="Z271" s="372"/>
    </row>
    <row r="272" spans="2:26" ht="15.75" customHeight="1" outlineLevel="1" x14ac:dyDescent="0.3">
      <c r="B272" s="36"/>
      <c r="C272" s="119" t="str">
        <f>+$C$42</f>
        <v>Term Loan A:</v>
      </c>
      <c r="D272" s="44"/>
      <c r="E272" s="39"/>
      <c r="F272" s="39"/>
      <c r="G272" s="39"/>
      <c r="H272" s="123"/>
      <c r="I272" s="39"/>
      <c r="J272" s="124"/>
      <c r="K272" s="174">
        <f>K265*K299</f>
        <v>36.611999999999988</v>
      </c>
      <c r="L272" s="174">
        <f t="shared" ref="L272:O272" si="122">L265*L299</f>
        <v>36.611999999999988</v>
      </c>
      <c r="M272" s="174">
        <f t="shared" si="122"/>
        <v>40.679999999999993</v>
      </c>
      <c r="N272" s="174">
        <f t="shared" si="122"/>
        <v>44.74799999999999</v>
      </c>
      <c r="O272" s="174">
        <f t="shared" si="122"/>
        <v>48.815999999999988</v>
      </c>
      <c r="P272" s="372"/>
      <c r="Q272" s="372"/>
      <c r="R272" s="372"/>
      <c r="S272" s="372"/>
      <c r="T272" s="372"/>
      <c r="U272" s="372"/>
      <c r="V272" s="372"/>
      <c r="W272" s="372"/>
      <c r="X272" s="372"/>
      <c r="Y272" s="372"/>
      <c r="Z272" s="372"/>
    </row>
    <row r="273" spans="2:26" ht="15.75" customHeight="1" outlineLevel="1" x14ac:dyDescent="0.3">
      <c r="B273" s="36"/>
      <c r="C273" s="119" t="str">
        <f>+$C$43</f>
        <v>Term Loan B:</v>
      </c>
      <c r="D273" s="44"/>
      <c r="E273" s="39"/>
      <c r="F273" s="39"/>
      <c r="G273" s="39"/>
      <c r="H273" s="123"/>
      <c r="I273" s="39"/>
      <c r="J273" s="124"/>
      <c r="K273" s="174">
        <f>K305*K266</f>
        <v>44.747999999999998</v>
      </c>
      <c r="L273" s="174">
        <f t="shared" ref="L273:O273" si="123">L305*L266</f>
        <v>44.300519999999999</v>
      </c>
      <c r="M273" s="174">
        <f t="shared" si="123"/>
        <v>43.857514799999997</v>
      </c>
      <c r="N273" s="174">
        <f t="shared" si="123"/>
        <v>47.366115983999997</v>
      </c>
      <c r="O273" s="174">
        <f t="shared" si="123"/>
        <v>50.800159392839994</v>
      </c>
      <c r="P273" s="373"/>
      <c r="Q273" s="372"/>
      <c r="R273" s="372"/>
      <c r="S273" s="372"/>
      <c r="T273" s="372"/>
      <c r="U273" s="372"/>
      <c r="V273" s="372"/>
      <c r="W273" s="372"/>
      <c r="X273" s="372"/>
      <c r="Y273" s="372"/>
      <c r="Z273" s="372"/>
    </row>
    <row r="274" spans="2:26" ht="15.75" customHeight="1" outlineLevel="1" x14ac:dyDescent="0.3">
      <c r="B274" s="36"/>
      <c r="C274" s="119" t="str">
        <f>+$C$44</f>
        <v>Subordinated Notes:</v>
      </c>
      <c r="D274" s="45"/>
      <c r="E274" s="39"/>
      <c r="F274" s="39"/>
      <c r="G274" s="39"/>
      <c r="H274" s="123"/>
      <c r="I274" s="39"/>
      <c r="J274" s="124"/>
      <c r="K274" s="188">
        <f>K267*K311</f>
        <v>86.783999999999978</v>
      </c>
      <c r="L274" s="188">
        <f t="shared" ref="L274:O274" si="124">L267*L311</f>
        <v>87.651839999999979</v>
      </c>
      <c r="M274" s="188">
        <f t="shared" si="124"/>
        <v>88.528358399999959</v>
      </c>
      <c r="N274" s="188">
        <f t="shared" si="124"/>
        <v>89.413641983999952</v>
      </c>
      <c r="O274" s="188">
        <f t="shared" si="124"/>
        <v>90.307778403839947</v>
      </c>
      <c r="P274" s="372"/>
      <c r="Q274" s="372"/>
      <c r="R274" s="372"/>
      <c r="S274" s="372"/>
      <c r="T274" s="372"/>
      <c r="U274" s="372"/>
      <c r="V274" s="372"/>
      <c r="W274" s="372"/>
      <c r="X274" s="372"/>
      <c r="Y274" s="372"/>
      <c r="Z274" s="372"/>
    </row>
    <row r="275" spans="2:26" ht="15.75" customHeight="1" outlineLevel="1" x14ac:dyDescent="0.3">
      <c r="B275" s="36"/>
      <c r="C275" s="132" t="s">
        <v>148</v>
      </c>
      <c r="D275" s="44"/>
      <c r="E275" s="121"/>
      <c r="F275" s="121"/>
      <c r="G275" s="121"/>
      <c r="H275" s="120"/>
      <c r="I275" s="121"/>
      <c r="J275" s="122"/>
      <c r="K275" s="35">
        <f>SUM(K271:K274)</f>
        <v>168.14399999999995</v>
      </c>
      <c r="L275" s="35">
        <f t="shared" ref="L275:O275" si="125">SUM(L271:L274)</f>
        <v>174.63563093355322</v>
      </c>
      <c r="M275" s="35">
        <f t="shared" si="125"/>
        <v>185.09070152519178</v>
      </c>
      <c r="N275" s="35">
        <f t="shared" si="125"/>
        <v>196.91171174673048</v>
      </c>
      <c r="O275" s="35">
        <f t="shared" si="125"/>
        <v>208.17357648899969</v>
      </c>
      <c r="P275" s="372"/>
      <c r="Q275" s="372"/>
      <c r="R275" s="372"/>
      <c r="S275" s="372"/>
      <c r="T275" s="372"/>
      <c r="U275" s="372"/>
      <c r="V275" s="372"/>
      <c r="W275" s="372"/>
      <c r="X275" s="372"/>
      <c r="Y275" s="372"/>
      <c r="Z275" s="372"/>
    </row>
    <row r="276" spans="2:26" ht="15.75" customHeight="1" outlineLevel="1" x14ac:dyDescent="0.3">
      <c r="B276" s="36"/>
      <c r="C276" s="37"/>
      <c r="D276" s="38"/>
      <c r="E276" s="39"/>
      <c r="F276" s="39"/>
      <c r="G276" s="39"/>
      <c r="H276" s="123"/>
      <c r="I276" s="39"/>
      <c r="J276" s="124"/>
      <c r="K276" s="39"/>
      <c r="L276" s="39"/>
      <c r="M276" s="39"/>
      <c r="N276" s="39"/>
      <c r="O276" s="39"/>
      <c r="P276" s="373"/>
      <c r="Q276" s="372"/>
      <c r="R276" s="372"/>
      <c r="S276" s="372"/>
      <c r="T276" s="372"/>
      <c r="U276" s="372"/>
      <c r="V276" s="372"/>
      <c r="W276" s="372"/>
      <c r="X276" s="372"/>
      <c r="Y276" s="372"/>
      <c r="Z276" s="372"/>
    </row>
    <row r="277" spans="2:26" ht="15.75" customHeight="1" outlineLevel="1" x14ac:dyDescent="0.3">
      <c r="C277" s="8" t="s">
        <v>138</v>
      </c>
      <c r="D277" s="8"/>
      <c r="E277" s="8"/>
      <c r="F277" s="8"/>
      <c r="G277" s="8"/>
      <c r="H277" s="89"/>
      <c r="I277" s="8"/>
      <c r="J277" s="90"/>
      <c r="K277" s="8"/>
      <c r="L277" s="8"/>
      <c r="M277" s="8"/>
      <c r="N277" s="8"/>
      <c r="O277" s="8"/>
      <c r="P277" s="372"/>
      <c r="Q277" s="372"/>
      <c r="R277" s="372"/>
      <c r="S277" s="372"/>
      <c r="T277" s="372"/>
      <c r="U277" s="372"/>
      <c r="V277" s="372"/>
      <c r="W277" s="372"/>
      <c r="X277" s="372"/>
      <c r="Y277" s="372"/>
      <c r="Z277" s="372"/>
    </row>
    <row r="278" spans="2:26" ht="15.75" customHeight="1" outlineLevel="1" x14ac:dyDescent="0.3">
      <c r="C278" s="169" t="s">
        <v>30</v>
      </c>
      <c r="D278" s="44"/>
      <c r="H278" s="192"/>
      <c r="J278" s="193"/>
      <c r="K278" s="174">
        <f>J184</f>
        <v>200</v>
      </c>
      <c r="L278" s="174">
        <f t="shared" ref="L278:O278" si="126">K184</f>
        <v>200</v>
      </c>
      <c r="M278" s="174">
        <f t="shared" si="126"/>
        <v>200</v>
      </c>
      <c r="N278" s="174">
        <f t="shared" si="126"/>
        <v>200</v>
      </c>
      <c r="O278" s="174">
        <f t="shared" si="126"/>
        <v>200</v>
      </c>
      <c r="P278" s="372"/>
      <c r="Q278" s="372"/>
      <c r="R278" s="372"/>
      <c r="S278" s="372"/>
      <c r="T278" s="372"/>
      <c r="U278" s="372"/>
      <c r="V278" s="372"/>
      <c r="W278" s="372"/>
      <c r="X278" s="372"/>
      <c r="Y278" s="372"/>
      <c r="Z278" s="372"/>
    </row>
    <row r="279" spans="2:26" ht="15.75" customHeight="1" outlineLevel="1" x14ac:dyDescent="0.3">
      <c r="C279" s="232" t="s">
        <v>43</v>
      </c>
      <c r="D279" s="44"/>
      <c r="H279" s="192"/>
      <c r="J279" s="193"/>
      <c r="K279" s="174">
        <f>K248</f>
        <v>-183.39169778510782</v>
      </c>
      <c r="L279" s="174">
        <f t="shared" ref="L279:O279" si="127">L248</f>
        <v>-122.17970579180087</v>
      </c>
      <c r="M279" s="174">
        <f t="shared" si="127"/>
        <v>-21.992182491354271</v>
      </c>
      <c r="N279" s="174">
        <f t="shared" si="127"/>
        <v>-1.8776241157316349</v>
      </c>
      <c r="O279" s="174">
        <f t="shared" si="127"/>
        <v>174.98714161602902</v>
      </c>
      <c r="P279" s="372"/>
      <c r="Q279" s="372"/>
      <c r="R279" s="372"/>
      <c r="S279" s="372"/>
      <c r="T279" s="372"/>
      <c r="U279" s="372"/>
      <c r="V279" s="372"/>
      <c r="W279" s="372"/>
      <c r="X279" s="372"/>
      <c r="Y279" s="372"/>
      <c r="Z279" s="372"/>
    </row>
    <row r="280" spans="2:26" ht="15.75" customHeight="1" outlineLevel="1" x14ac:dyDescent="0.3">
      <c r="C280" s="232" t="s">
        <v>137</v>
      </c>
      <c r="D280" s="44"/>
      <c r="H280" s="192"/>
      <c r="J280" s="193"/>
      <c r="K280" s="174">
        <f>K300+K306+K312</f>
        <v>-18.983999999999995</v>
      </c>
      <c r="L280" s="174">
        <f t="shared" ref="L280:O280" si="128">L300+L306+L312</f>
        <v>-19.011119999999998</v>
      </c>
      <c r="M280" s="174">
        <f t="shared" si="128"/>
        <v>-19.040138399999993</v>
      </c>
      <c r="N280" s="174">
        <f t="shared" si="128"/>
        <v>-19.071057911999993</v>
      </c>
      <c r="O280" s="174">
        <f t="shared" si="128"/>
        <v>-19.103881437839991</v>
      </c>
      <c r="P280" s="372"/>
      <c r="Q280" s="372"/>
      <c r="R280" s="372"/>
      <c r="S280" s="372"/>
      <c r="T280" s="372"/>
      <c r="U280" s="372"/>
      <c r="V280" s="372"/>
      <c r="W280" s="372"/>
      <c r="X280" s="372"/>
      <c r="Y280" s="372"/>
      <c r="Z280" s="372"/>
    </row>
    <row r="281" spans="2:26" ht="15.75" customHeight="1" outlineLevel="1" x14ac:dyDescent="0.3">
      <c r="C281" s="232" t="s">
        <v>46</v>
      </c>
      <c r="D281" s="45"/>
      <c r="H281" s="211"/>
      <c r="I281" s="176"/>
      <c r="J281" s="212"/>
      <c r="K281" s="188">
        <f>-Min_Cash</f>
        <v>-200</v>
      </c>
      <c r="L281" s="188">
        <f>-Min_Cash</f>
        <v>-200</v>
      </c>
      <c r="M281" s="188">
        <f>-Min_Cash</f>
        <v>-200</v>
      </c>
      <c r="N281" s="188">
        <f>-Min_Cash</f>
        <v>-200</v>
      </c>
      <c r="O281" s="188">
        <f>-Min_Cash</f>
        <v>-200</v>
      </c>
      <c r="P281" s="372"/>
      <c r="Q281" s="372"/>
      <c r="R281" s="372"/>
      <c r="S281" s="372"/>
      <c r="T281" s="372"/>
      <c r="U281" s="372"/>
      <c r="V281" s="372"/>
      <c r="W281" s="372"/>
      <c r="X281" s="372"/>
      <c r="Y281" s="372"/>
      <c r="Z281" s="372"/>
    </row>
    <row r="282" spans="2:26" ht="15.75" customHeight="1" outlineLevel="1" x14ac:dyDescent="0.3">
      <c r="C282" s="40" t="s">
        <v>138</v>
      </c>
      <c r="D282" s="44"/>
      <c r="E282" s="172"/>
      <c r="F282" s="172"/>
      <c r="G282" s="172"/>
      <c r="H282" s="192"/>
      <c r="J282" s="193"/>
      <c r="K282" s="35">
        <f>SUM(K278:K281)</f>
        <v>-202.37569778510783</v>
      </c>
      <c r="L282" s="35">
        <f t="shared" ref="L282:O282" si="129">SUM(L278:L281)</f>
        <v>-141.19082579180088</v>
      </c>
      <c r="M282" s="35">
        <f t="shared" si="129"/>
        <v>-41.03232089135426</v>
      </c>
      <c r="N282" s="35">
        <f t="shared" si="129"/>
        <v>-20.948682027731621</v>
      </c>
      <c r="O282" s="35">
        <f t="shared" si="129"/>
        <v>155.883260178189</v>
      </c>
      <c r="P282" s="372"/>
      <c r="Q282" s="372"/>
      <c r="R282" s="372"/>
      <c r="S282" s="372"/>
      <c r="T282" s="372"/>
      <c r="U282" s="372"/>
      <c r="V282" s="372"/>
      <c r="W282" s="372"/>
      <c r="X282" s="372"/>
      <c r="Y282" s="372"/>
      <c r="Z282" s="372"/>
    </row>
    <row r="283" spans="2:26" ht="15.75" customHeight="1" outlineLevel="1" x14ac:dyDescent="0.3">
      <c r="C283" s="232" t="s">
        <v>176</v>
      </c>
      <c r="D283" s="45"/>
      <c r="H283" s="192"/>
      <c r="J283" s="193"/>
      <c r="K283" s="47">
        <f>K295</f>
        <v>0</v>
      </c>
      <c r="L283" s="47">
        <f t="shared" ref="L283:O283" si="130">L295</f>
        <v>0</v>
      </c>
      <c r="M283" s="47">
        <f t="shared" si="130"/>
        <v>0</v>
      </c>
      <c r="N283" s="47">
        <f t="shared" si="130"/>
        <v>0</v>
      </c>
      <c r="O283" s="47">
        <f t="shared" si="130"/>
        <v>-155.883260178189</v>
      </c>
      <c r="P283" s="373"/>
      <c r="Q283" s="372"/>
      <c r="R283" s="372"/>
      <c r="S283" s="372"/>
      <c r="T283" s="372"/>
      <c r="U283" s="372"/>
      <c r="V283" s="372"/>
      <c r="W283" s="372"/>
      <c r="X283" s="372"/>
      <c r="Y283" s="372"/>
      <c r="Z283" s="372"/>
    </row>
    <row r="284" spans="2:26" ht="15.75" customHeight="1" outlineLevel="1" x14ac:dyDescent="0.3">
      <c r="C284" s="40" t="s">
        <v>139</v>
      </c>
      <c r="D284" s="44"/>
      <c r="E284" s="172"/>
      <c r="F284" s="172"/>
      <c r="G284" s="172"/>
      <c r="H284" s="213"/>
      <c r="I284" s="172"/>
      <c r="J284" s="214"/>
      <c r="K284" s="31">
        <f>K283+K282</f>
        <v>-202.37569778510783</v>
      </c>
      <c r="L284" s="31">
        <f t="shared" ref="L284:O284" si="131">L283+L282</f>
        <v>-141.19082579180088</v>
      </c>
      <c r="M284" s="31">
        <f t="shared" si="131"/>
        <v>-41.03232089135426</v>
      </c>
      <c r="N284" s="31">
        <f t="shared" si="131"/>
        <v>-20.948682027731621</v>
      </c>
      <c r="O284" s="31">
        <f t="shared" si="131"/>
        <v>0</v>
      </c>
      <c r="P284" s="372"/>
      <c r="Q284" s="372"/>
      <c r="R284" s="372"/>
      <c r="S284" s="372"/>
      <c r="T284" s="372"/>
      <c r="U284" s="372"/>
      <c r="V284" s="372"/>
      <c r="W284" s="372"/>
      <c r="X284" s="372"/>
      <c r="Y284" s="372"/>
      <c r="Z284" s="372"/>
    </row>
    <row r="285" spans="2:26" ht="15.75" customHeight="1" outlineLevel="1" x14ac:dyDescent="0.3">
      <c r="C285" s="210" t="s">
        <v>177</v>
      </c>
      <c r="D285" s="45"/>
      <c r="E285" s="176"/>
      <c r="F285" s="176"/>
      <c r="G285" s="176"/>
      <c r="H285" s="211"/>
      <c r="I285" s="176"/>
      <c r="J285" s="212"/>
      <c r="K285" s="188">
        <f>K301</f>
        <v>0</v>
      </c>
      <c r="L285" s="188">
        <f t="shared" ref="L285:O285" si="132">L301</f>
        <v>0</v>
      </c>
      <c r="M285" s="188">
        <f t="shared" si="132"/>
        <v>0</v>
      </c>
      <c r="N285" s="188">
        <f t="shared" si="132"/>
        <v>0</v>
      </c>
      <c r="O285" s="188">
        <f t="shared" si="132"/>
        <v>0</v>
      </c>
      <c r="P285" s="372"/>
      <c r="Q285" s="372"/>
      <c r="R285" s="372"/>
      <c r="S285" s="372"/>
      <c r="T285" s="372"/>
      <c r="U285" s="372"/>
      <c r="V285" s="372"/>
      <c r="W285" s="372"/>
      <c r="X285" s="372"/>
      <c r="Y285" s="372"/>
      <c r="Z285" s="372"/>
    </row>
    <row r="286" spans="2:26" ht="15.75" customHeight="1" outlineLevel="1" x14ac:dyDescent="0.3">
      <c r="C286" s="25" t="s">
        <v>140</v>
      </c>
      <c r="D286" s="44"/>
      <c r="H286" s="192"/>
      <c r="J286" s="193"/>
      <c r="K286" s="35">
        <f>K285+K284</f>
        <v>-202.37569778510783</v>
      </c>
      <c r="L286" s="35">
        <f t="shared" ref="L286:O286" si="133">L285+L284</f>
        <v>-141.19082579180088</v>
      </c>
      <c r="M286" s="35">
        <f t="shared" si="133"/>
        <v>-41.03232089135426</v>
      </c>
      <c r="N286" s="35">
        <f t="shared" si="133"/>
        <v>-20.948682027731621</v>
      </c>
      <c r="O286" s="35">
        <f t="shared" si="133"/>
        <v>0</v>
      </c>
      <c r="P286" s="373"/>
      <c r="Q286" s="372"/>
      <c r="R286" s="372"/>
      <c r="S286" s="372"/>
      <c r="T286" s="372"/>
      <c r="U286" s="372"/>
      <c r="V286" s="372"/>
      <c r="W286" s="372"/>
      <c r="X286" s="372"/>
      <c r="Y286" s="372"/>
      <c r="Z286" s="372"/>
    </row>
    <row r="287" spans="2:26" ht="15.75" customHeight="1" outlineLevel="1" x14ac:dyDescent="0.3">
      <c r="C287" s="210" t="s">
        <v>178</v>
      </c>
      <c r="D287" s="45"/>
      <c r="E287" s="176"/>
      <c r="F287" s="176"/>
      <c r="G287" s="176"/>
      <c r="H287" s="211"/>
      <c r="I287" s="176"/>
      <c r="J287" s="212"/>
      <c r="K287" s="188">
        <f>K307</f>
        <v>0</v>
      </c>
      <c r="L287" s="188">
        <f t="shared" ref="L287:O287" si="134">L307</f>
        <v>0</v>
      </c>
      <c r="M287" s="188">
        <f t="shared" si="134"/>
        <v>0</v>
      </c>
      <c r="N287" s="188">
        <f t="shared" si="134"/>
        <v>0</v>
      </c>
      <c r="O287" s="188">
        <f t="shared" si="134"/>
        <v>0</v>
      </c>
      <c r="P287" s="372"/>
      <c r="Q287" s="372"/>
      <c r="R287" s="372"/>
      <c r="S287" s="372"/>
      <c r="T287" s="372"/>
      <c r="U287" s="372"/>
      <c r="V287" s="372"/>
      <c r="W287" s="372"/>
      <c r="X287" s="372"/>
      <c r="Y287" s="372"/>
      <c r="Z287" s="372"/>
    </row>
    <row r="288" spans="2:26" ht="15.75" customHeight="1" outlineLevel="1" x14ac:dyDescent="0.3">
      <c r="C288" s="25" t="s">
        <v>141</v>
      </c>
      <c r="D288" s="44"/>
      <c r="H288" s="192"/>
      <c r="J288" s="193"/>
      <c r="K288" s="35">
        <f>K287+K286</f>
        <v>-202.37569778510783</v>
      </c>
      <c r="L288" s="35">
        <f t="shared" ref="L288:O288" si="135">L287+L286</f>
        <v>-141.19082579180088</v>
      </c>
      <c r="M288" s="35">
        <f t="shared" si="135"/>
        <v>-41.03232089135426</v>
      </c>
      <c r="N288" s="35">
        <f t="shared" si="135"/>
        <v>-20.948682027731621</v>
      </c>
      <c r="O288" s="35">
        <f t="shared" si="135"/>
        <v>0</v>
      </c>
      <c r="P288" s="372"/>
      <c r="Q288" s="372"/>
      <c r="R288" s="372"/>
      <c r="S288" s="372"/>
      <c r="T288" s="372"/>
      <c r="U288" s="372"/>
      <c r="V288" s="372"/>
      <c r="W288" s="372"/>
      <c r="X288" s="372"/>
      <c r="Y288" s="372"/>
      <c r="Z288" s="372"/>
    </row>
    <row r="289" spans="3:26" ht="15.75" customHeight="1" outlineLevel="1" x14ac:dyDescent="0.3">
      <c r="C289" s="232" t="s">
        <v>179</v>
      </c>
      <c r="D289" s="44"/>
      <c r="H289" s="192"/>
      <c r="J289" s="193"/>
      <c r="K289" s="174">
        <f>K314</f>
        <v>0</v>
      </c>
      <c r="L289" s="174">
        <f t="shared" ref="L289:O289" si="136">L314</f>
        <v>0</v>
      </c>
      <c r="M289" s="174">
        <f t="shared" si="136"/>
        <v>0</v>
      </c>
      <c r="N289" s="174">
        <f t="shared" si="136"/>
        <v>0</v>
      </c>
      <c r="O289" s="174">
        <f t="shared" si="136"/>
        <v>0</v>
      </c>
      <c r="P289" s="372"/>
      <c r="Q289" s="372"/>
      <c r="R289" s="372"/>
      <c r="S289" s="372"/>
      <c r="T289" s="372"/>
      <c r="U289" s="372"/>
      <c r="V289" s="372"/>
      <c r="W289" s="372"/>
      <c r="X289" s="372"/>
      <c r="Y289" s="372"/>
      <c r="Z289" s="372"/>
    </row>
    <row r="290" spans="3:26" ht="15.75" customHeight="1" outlineLevel="1" x14ac:dyDescent="0.3">
      <c r="C290" s="210" t="s">
        <v>143</v>
      </c>
      <c r="D290" s="45"/>
      <c r="E290" s="176"/>
      <c r="F290" s="176"/>
      <c r="G290" s="176"/>
      <c r="H290" s="211"/>
      <c r="I290" s="176"/>
      <c r="J290" s="212"/>
      <c r="K290" s="188">
        <f>K289*(D66-100)/100</f>
        <v>0</v>
      </c>
      <c r="L290" s="188">
        <f t="shared" ref="L290:O290" si="137">L289*(E66-100)/100</f>
        <v>0</v>
      </c>
      <c r="M290" s="188">
        <f t="shared" si="137"/>
        <v>0</v>
      </c>
      <c r="N290" s="188">
        <f t="shared" si="137"/>
        <v>0</v>
      </c>
      <c r="O290" s="188">
        <f t="shared" si="137"/>
        <v>0</v>
      </c>
      <c r="P290" s="373"/>
      <c r="Q290" s="372"/>
      <c r="R290" s="372"/>
      <c r="S290" s="372"/>
      <c r="T290" s="372"/>
      <c r="U290" s="372"/>
      <c r="V290" s="372"/>
      <c r="W290" s="372"/>
      <c r="X290" s="372"/>
      <c r="Y290" s="372"/>
      <c r="Z290" s="372"/>
    </row>
    <row r="291" spans="3:26" ht="15.75" customHeight="1" outlineLevel="1" x14ac:dyDescent="0.3">
      <c r="C291" s="25" t="s">
        <v>180</v>
      </c>
      <c r="D291" s="44"/>
      <c r="H291" s="192"/>
      <c r="J291" s="193"/>
      <c r="K291" s="35">
        <f>K290+K289+K288</f>
        <v>-202.37569778510783</v>
      </c>
      <c r="L291" s="35">
        <f t="shared" ref="L291:O291" si="138">L290+L289+L288</f>
        <v>-141.19082579180088</v>
      </c>
      <c r="M291" s="35">
        <f t="shared" si="138"/>
        <v>-41.03232089135426</v>
      </c>
      <c r="N291" s="35">
        <f t="shared" si="138"/>
        <v>-20.948682027731621</v>
      </c>
      <c r="O291" s="35">
        <f t="shared" si="138"/>
        <v>0</v>
      </c>
      <c r="P291" s="372"/>
      <c r="Q291" s="372"/>
      <c r="R291" s="372"/>
      <c r="S291" s="372"/>
      <c r="T291" s="372"/>
      <c r="U291" s="372"/>
      <c r="V291" s="372"/>
      <c r="W291" s="372"/>
      <c r="X291" s="372"/>
      <c r="Y291" s="372"/>
      <c r="Z291" s="372"/>
    </row>
    <row r="292" spans="3:26" ht="15.75" customHeight="1" outlineLevel="1" x14ac:dyDescent="0.3">
      <c r="C292" s="169"/>
      <c r="H292" s="192"/>
      <c r="J292" s="193"/>
      <c r="P292" s="372"/>
      <c r="Q292" s="372"/>
      <c r="R292" s="372"/>
      <c r="S292" s="372"/>
      <c r="T292" s="372"/>
      <c r="U292" s="372"/>
      <c r="V292" s="372"/>
      <c r="W292" s="372"/>
      <c r="X292" s="372"/>
      <c r="Y292" s="372"/>
      <c r="Z292" s="372"/>
    </row>
    <row r="293" spans="3:26" ht="15.75" customHeight="1" outlineLevel="1" x14ac:dyDescent="0.3">
      <c r="C293" s="169" t="s">
        <v>44</v>
      </c>
      <c r="D293" s="44"/>
      <c r="H293" s="192"/>
      <c r="J293" s="193"/>
      <c r="K293" s="174">
        <f>J296</f>
        <v>0</v>
      </c>
      <c r="L293" s="174">
        <f t="shared" ref="L293:O293" si="139">K296</f>
        <v>202.37569778510783</v>
      </c>
      <c r="M293" s="174">
        <f t="shared" si="139"/>
        <v>343.56652357690871</v>
      </c>
      <c r="N293" s="174">
        <f t="shared" si="139"/>
        <v>384.598844468263</v>
      </c>
      <c r="O293" s="174">
        <f t="shared" si="139"/>
        <v>405.54752649599459</v>
      </c>
      <c r="P293" s="372"/>
      <c r="Q293" s="372"/>
      <c r="R293" s="372"/>
      <c r="S293" s="372"/>
      <c r="T293" s="372"/>
      <c r="U293" s="372"/>
      <c r="V293" s="372"/>
      <c r="W293" s="372"/>
      <c r="X293" s="372"/>
      <c r="Y293" s="372"/>
      <c r="Z293" s="372"/>
    </row>
    <row r="294" spans="3:26" ht="15.75" customHeight="1" outlineLevel="1" x14ac:dyDescent="0.3">
      <c r="C294" s="232" t="s">
        <v>132</v>
      </c>
      <c r="D294" s="44"/>
      <c r="H294" s="192"/>
      <c r="J294" s="193"/>
      <c r="K294" s="174">
        <f>-MIN(K282,0)</f>
        <v>202.37569778510783</v>
      </c>
      <c r="L294" s="174">
        <f t="shared" ref="L294:O294" si="140">-MIN(L282,0)</f>
        <v>141.19082579180088</v>
      </c>
      <c r="M294" s="174">
        <f t="shared" si="140"/>
        <v>41.03232089135426</v>
      </c>
      <c r="N294" s="174">
        <f t="shared" si="140"/>
        <v>20.948682027731621</v>
      </c>
      <c r="O294" s="174">
        <f t="shared" si="140"/>
        <v>0</v>
      </c>
      <c r="P294" s="372"/>
      <c r="Q294" s="372"/>
      <c r="R294" s="372"/>
      <c r="S294" s="372"/>
      <c r="T294" s="372"/>
      <c r="U294" s="372"/>
      <c r="V294" s="372"/>
      <c r="W294" s="372"/>
      <c r="X294" s="372"/>
      <c r="Y294" s="372"/>
      <c r="Z294" s="372"/>
    </row>
    <row r="295" spans="3:26" ht="15.75" customHeight="1" outlineLevel="1" x14ac:dyDescent="0.3">
      <c r="C295" s="210" t="s">
        <v>146</v>
      </c>
      <c r="D295" s="233"/>
      <c r="E295" s="176"/>
      <c r="F295" s="176"/>
      <c r="G295" s="176"/>
      <c r="H295" s="211"/>
      <c r="I295" s="176"/>
      <c r="J295" s="405">
        <f>I59</f>
        <v>1</v>
      </c>
      <c r="K295" s="188">
        <f>IF((K282)&gt;0,-MIN(K282*$J$295,K293+K294),0)</f>
        <v>0</v>
      </c>
      <c r="L295" s="188">
        <f t="shared" ref="L295:O295" si="141">IF((L282)&gt;0,-MIN(L282*$J$295,L293+L294),0)</f>
        <v>0</v>
      </c>
      <c r="M295" s="188">
        <f t="shared" si="141"/>
        <v>0</v>
      </c>
      <c r="N295" s="188">
        <f t="shared" si="141"/>
        <v>0</v>
      </c>
      <c r="O295" s="188">
        <f t="shared" si="141"/>
        <v>-155.883260178189</v>
      </c>
      <c r="P295" s="372"/>
      <c r="Q295" s="372"/>
      <c r="R295" s="372"/>
      <c r="S295" s="372"/>
      <c r="T295" s="372"/>
      <c r="U295" s="372"/>
      <c r="V295" s="372"/>
      <c r="W295" s="372"/>
      <c r="X295" s="372"/>
      <c r="Y295" s="372"/>
      <c r="Z295" s="372"/>
    </row>
    <row r="296" spans="3:26" ht="15.75" customHeight="1" outlineLevel="1" x14ac:dyDescent="0.3">
      <c r="C296" s="25" t="s">
        <v>45</v>
      </c>
      <c r="D296" s="44"/>
      <c r="H296" s="129"/>
      <c r="I296" s="117"/>
      <c r="J296" s="340">
        <f>D41</f>
        <v>0</v>
      </c>
      <c r="K296" s="35">
        <f>SUM(K293:K295)</f>
        <v>202.37569778510783</v>
      </c>
      <c r="L296" s="35">
        <f t="shared" ref="L296:O296" si="142">SUM(L293:L295)</f>
        <v>343.56652357690871</v>
      </c>
      <c r="M296" s="35">
        <f t="shared" si="142"/>
        <v>384.598844468263</v>
      </c>
      <c r="N296" s="35">
        <f t="shared" si="142"/>
        <v>405.54752649599459</v>
      </c>
      <c r="O296" s="35">
        <f t="shared" si="142"/>
        <v>249.66426631780558</v>
      </c>
      <c r="P296" s="373"/>
      <c r="Q296" s="372"/>
      <c r="R296" s="372"/>
      <c r="S296" s="372"/>
      <c r="T296" s="372"/>
      <c r="U296" s="372"/>
      <c r="V296" s="372"/>
      <c r="W296" s="372"/>
      <c r="X296" s="372"/>
      <c r="Y296" s="372"/>
      <c r="Z296" s="372"/>
    </row>
    <row r="297" spans="3:26" ht="15.75" customHeight="1" outlineLevel="1" x14ac:dyDescent="0.3">
      <c r="C297" s="169"/>
      <c r="H297" s="192"/>
      <c r="J297" s="193"/>
      <c r="P297" s="372"/>
      <c r="Q297" s="372"/>
      <c r="R297" s="372"/>
      <c r="S297" s="372"/>
      <c r="T297" s="372"/>
      <c r="U297" s="372"/>
      <c r="V297" s="372"/>
      <c r="W297" s="372"/>
      <c r="X297" s="372"/>
      <c r="Y297" s="372"/>
      <c r="Z297" s="372"/>
    </row>
    <row r="298" spans="3:26" ht="15.75" customHeight="1" outlineLevel="1" x14ac:dyDescent="0.3">
      <c r="C298" s="8" t="s">
        <v>5</v>
      </c>
      <c r="D298" s="8"/>
      <c r="E298" s="8"/>
      <c r="F298" s="8"/>
      <c r="G298" s="8"/>
      <c r="H298" s="89"/>
      <c r="I298" s="8"/>
      <c r="J298" s="90"/>
      <c r="K298" s="8"/>
      <c r="L298" s="8"/>
      <c r="M298" s="8"/>
      <c r="N298" s="8"/>
      <c r="O298" s="8"/>
      <c r="P298" s="372"/>
      <c r="Q298" s="372"/>
      <c r="R298" s="372"/>
      <c r="S298" s="372"/>
      <c r="T298" s="372"/>
      <c r="U298" s="372"/>
      <c r="V298" s="372"/>
      <c r="W298" s="372"/>
      <c r="X298" s="372"/>
      <c r="Y298" s="372"/>
      <c r="Z298" s="372"/>
    </row>
    <row r="299" spans="3:26" ht="15.75" customHeight="1" outlineLevel="1" x14ac:dyDescent="0.3">
      <c r="C299" s="169" t="s">
        <v>38</v>
      </c>
      <c r="D299" s="44"/>
      <c r="H299" s="192"/>
      <c r="J299" s="193"/>
      <c r="K299" s="174">
        <f>J302</f>
        <v>813.5999999999998</v>
      </c>
      <c r="L299" s="174">
        <f t="shared" ref="L299:O299" si="143">K302</f>
        <v>813.5999999999998</v>
      </c>
      <c r="M299" s="174">
        <f t="shared" si="143"/>
        <v>813.5999999999998</v>
      </c>
      <c r="N299" s="174">
        <f t="shared" si="143"/>
        <v>813.5999999999998</v>
      </c>
      <c r="O299" s="174">
        <f t="shared" si="143"/>
        <v>813.5999999999998</v>
      </c>
      <c r="P299" s="372"/>
      <c r="Q299" s="372"/>
      <c r="R299" s="372"/>
      <c r="S299" s="372"/>
      <c r="T299" s="372"/>
      <c r="U299" s="372"/>
      <c r="V299" s="372"/>
      <c r="W299" s="372"/>
      <c r="X299" s="372"/>
      <c r="Y299" s="372"/>
      <c r="Z299" s="372"/>
    </row>
    <row r="300" spans="3:26" ht="15.75" customHeight="1" outlineLevel="1" x14ac:dyDescent="0.3">
      <c r="C300" s="232" t="s">
        <v>134</v>
      </c>
      <c r="D300" s="234"/>
      <c r="H300" s="192"/>
      <c r="J300" s="193"/>
      <c r="K300" s="404">
        <f>-K299*$H$59</f>
        <v>0</v>
      </c>
      <c r="L300" s="404">
        <f t="shared" ref="L300:O300" si="144">-L299*$H$59</f>
        <v>0</v>
      </c>
      <c r="M300" s="404">
        <f t="shared" si="144"/>
        <v>0</v>
      </c>
      <c r="N300" s="404">
        <f t="shared" si="144"/>
        <v>0</v>
      </c>
      <c r="O300" s="404">
        <f t="shared" si="144"/>
        <v>0</v>
      </c>
      <c r="P300" s="372"/>
      <c r="Q300" s="372"/>
      <c r="R300" s="372"/>
      <c r="S300" s="372"/>
      <c r="T300" s="372"/>
      <c r="U300" s="372"/>
      <c r="V300" s="372"/>
      <c r="W300" s="372"/>
      <c r="X300" s="372"/>
      <c r="Y300" s="372"/>
      <c r="Z300" s="372"/>
    </row>
    <row r="301" spans="3:26" ht="15.75" customHeight="1" outlineLevel="1" x14ac:dyDescent="0.3">
      <c r="C301" s="232" t="s">
        <v>136</v>
      </c>
      <c r="D301" s="233"/>
      <c r="E301" s="176"/>
      <c r="F301" s="176"/>
      <c r="G301" s="176"/>
      <c r="H301" s="211"/>
      <c r="I301" s="176"/>
      <c r="J301" s="405">
        <f>I60</f>
        <v>0.5</v>
      </c>
      <c r="K301" s="188">
        <f>IF(K284&gt;0,-MIN(K284*$J$301,K299+K300),0)</f>
        <v>0</v>
      </c>
      <c r="L301" s="188">
        <f t="shared" ref="L301:O301" si="145">IF(L284&gt;0,-MIN(L284*$J$301,L299+L300),0)</f>
        <v>0</v>
      </c>
      <c r="M301" s="188">
        <f t="shared" si="145"/>
        <v>0</v>
      </c>
      <c r="N301" s="188">
        <f t="shared" si="145"/>
        <v>0</v>
      </c>
      <c r="O301" s="188">
        <f t="shared" si="145"/>
        <v>0</v>
      </c>
      <c r="P301" s="372"/>
      <c r="Q301" s="372"/>
      <c r="R301" s="372"/>
      <c r="S301" s="372"/>
      <c r="T301" s="372"/>
      <c r="U301" s="372"/>
      <c r="V301" s="372"/>
      <c r="W301" s="372"/>
      <c r="X301" s="372"/>
      <c r="Y301" s="372"/>
      <c r="Z301" s="372"/>
    </row>
    <row r="302" spans="3:26" ht="15.75" customHeight="1" outlineLevel="1" x14ac:dyDescent="0.3">
      <c r="C302" s="40" t="s">
        <v>37</v>
      </c>
      <c r="D302" s="44"/>
      <c r="H302" s="130"/>
      <c r="I302" s="118"/>
      <c r="J302" s="340">
        <f>D43</f>
        <v>813.5999999999998</v>
      </c>
      <c r="K302" s="35">
        <f>SUM(K299:K301)</f>
        <v>813.5999999999998</v>
      </c>
      <c r="L302" s="35">
        <f t="shared" ref="L302:O302" si="146">SUM(L299:L301)</f>
        <v>813.5999999999998</v>
      </c>
      <c r="M302" s="35">
        <f t="shared" si="146"/>
        <v>813.5999999999998</v>
      </c>
      <c r="N302" s="35">
        <f t="shared" si="146"/>
        <v>813.5999999999998</v>
      </c>
      <c r="O302" s="35">
        <f t="shared" si="146"/>
        <v>813.5999999999998</v>
      </c>
      <c r="P302" s="372"/>
      <c r="Q302" s="372"/>
      <c r="R302" s="372"/>
      <c r="S302" s="372"/>
      <c r="T302" s="372"/>
      <c r="U302" s="372"/>
      <c r="V302" s="372"/>
      <c r="W302" s="372"/>
      <c r="X302" s="372"/>
      <c r="Y302" s="372"/>
      <c r="Z302" s="372"/>
    </row>
    <row r="303" spans="3:26" ht="15.75" customHeight="1" outlineLevel="1" x14ac:dyDescent="0.3">
      <c r="C303" s="169"/>
      <c r="H303" s="192"/>
      <c r="J303" s="193"/>
      <c r="K303" s="43"/>
      <c r="L303" s="43"/>
      <c r="M303" s="43"/>
      <c r="N303" s="43"/>
      <c r="O303" s="43"/>
    </row>
    <row r="304" spans="3:26" ht="15.75" customHeight="1" outlineLevel="1" x14ac:dyDescent="0.3">
      <c r="C304" s="8" t="s">
        <v>6</v>
      </c>
      <c r="D304" s="8"/>
      <c r="E304" s="8"/>
      <c r="F304" s="8"/>
      <c r="G304" s="8"/>
      <c r="H304" s="89"/>
      <c r="I304" s="8"/>
      <c r="J304" s="90"/>
      <c r="K304" s="8"/>
      <c r="L304" s="8"/>
      <c r="M304" s="8"/>
      <c r="N304" s="8"/>
      <c r="O304" s="8"/>
    </row>
    <row r="305" spans="2:26" ht="15.75" customHeight="1" outlineLevel="1" x14ac:dyDescent="0.3">
      <c r="C305" s="169" t="s">
        <v>40</v>
      </c>
      <c r="D305" s="44"/>
      <c r="H305" s="192"/>
      <c r="J305" s="193"/>
      <c r="K305" s="174">
        <f>J308</f>
        <v>813.5999999999998</v>
      </c>
      <c r="L305" s="174">
        <f t="shared" ref="L305:O305" si="147">K308</f>
        <v>805.46399999999983</v>
      </c>
      <c r="M305" s="174">
        <f t="shared" si="147"/>
        <v>797.40935999999988</v>
      </c>
      <c r="N305" s="174">
        <f t="shared" si="147"/>
        <v>789.43526639999993</v>
      </c>
      <c r="O305" s="174">
        <f t="shared" si="147"/>
        <v>781.54091373599988</v>
      </c>
    </row>
    <row r="306" spans="2:26" ht="15.75" customHeight="1" outlineLevel="1" x14ac:dyDescent="0.3">
      <c r="C306" s="232" t="s">
        <v>134</v>
      </c>
      <c r="D306" s="234"/>
      <c r="H306" s="192"/>
      <c r="J306" s="193"/>
      <c r="K306" s="174">
        <f>-K305*$H$61</f>
        <v>-8.1359999999999975</v>
      </c>
      <c r="L306" s="174">
        <f t="shared" ref="L306:O306" si="148">-L305*$H$61</f>
        <v>-8.0546399999999991</v>
      </c>
      <c r="M306" s="174">
        <f t="shared" si="148"/>
        <v>-7.9740935999999989</v>
      </c>
      <c r="N306" s="174">
        <f t="shared" si="148"/>
        <v>-7.8943526639999995</v>
      </c>
      <c r="O306" s="174">
        <f t="shared" si="148"/>
        <v>-7.8154091373599988</v>
      </c>
    </row>
    <row r="307" spans="2:26" ht="15.75" customHeight="1" outlineLevel="1" x14ac:dyDescent="0.3">
      <c r="C307" s="210" t="s">
        <v>136</v>
      </c>
      <c r="D307" s="233"/>
      <c r="E307" s="176"/>
      <c r="F307" s="176"/>
      <c r="G307" s="176"/>
      <c r="H307" s="211"/>
      <c r="I307" s="176"/>
      <c r="J307" s="405">
        <f>I61</f>
        <v>0.5</v>
      </c>
      <c r="K307" s="188">
        <f>IF(K286&gt;0,-MIN(K286*$J$307,K305+K306),0)</f>
        <v>0</v>
      </c>
      <c r="L307" s="188">
        <f t="shared" ref="L307:O307" si="149">IF(L286&gt;0,-MIN(L286*$J$307,L305+L306),0)</f>
        <v>0</v>
      </c>
      <c r="M307" s="188">
        <f t="shared" si="149"/>
        <v>0</v>
      </c>
      <c r="N307" s="188">
        <f t="shared" si="149"/>
        <v>0</v>
      </c>
      <c r="O307" s="188">
        <f t="shared" si="149"/>
        <v>0</v>
      </c>
    </row>
    <row r="308" spans="2:26" ht="15.75" customHeight="1" outlineLevel="1" x14ac:dyDescent="0.3">
      <c r="C308" s="25" t="s">
        <v>39</v>
      </c>
      <c r="D308" s="44"/>
      <c r="H308" s="130"/>
      <c r="I308" s="118"/>
      <c r="J308" s="340">
        <f>D43</f>
        <v>813.5999999999998</v>
      </c>
      <c r="K308" s="35">
        <f>SUM(K305:K307)</f>
        <v>805.46399999999983</v>
      </c>
      <c r="L308" s="35">
        <f t="shared" ref="L308:O308" si="150">SUM(L305:L307)</f>
        <v>797.40935999999988</v>
      </c>
      <c r="M308" s="35">
        <f t="shared" si="150"/>
        <v>789.43526639999993</v>
      </c>
      <c r="N308" s="35">
        <f t="shared" si="150"/>
        <v>781.54091373599988</v>
      </c>
      <c r="O308" s="35">
        <f t="shared" si="150"/>
        <v>773.72550459863987</v>
      </c>
    </row>
    <row r="309" spans="2:26" ht="15.75" customHeight="1" outlineLevel="1" x14ac:dyDescent="0.3">
      <c r="C309" s="169"/>
      <c r="H309" s="192"/>
      <c r="J309" s="193"/>
      <c r="K309" s="174"/>
      <c r="L309" s="174"/>
      <c r="M309" s="174"/>
      <c r="N309" s="174"/>
      <c r="O309" s="174"/>
    </row>
    <row r="310" spans="2:26" ht="15.75" customHeight="1" outlineLevel="1" x14ac:dyDescent="0.3">
      <c r="C310" s="8" t="s">
        <v>58</v>
      </c>
      <c r="D310" s="8"/>
      <c r="E310" s="8"/>
      <c r="F310" s="8"/>
      <c r="G310" s="8"/>
      <c r="H310" s="89"/>
      <c r="I310" s="8"/>
      <c r="J310" s="90"/>
      <c r="K310" s="8"/>
      <c r="L310" s="8"/>
      <c r="M310" s="8"/>
      <c r="N310" s="8"/>
      <c r="O310" s="8"/>
    </row>
    <row r="311" spans="2:26" ht="15.75" customHeight="1" outlineLevel="1" x14ac:dyDescent="0.3">
      <c r="C311" s="169" t="s">
        <v>142</v>
      </c>
      <c r="D311" s="44"/>
      <c r="H311" s="192"/>
      <c r="J311" s="193"/>
      <c r="K311" s="174">
        <f>J315</f>
        <v>1084.7999999999997</v>
      </c>
      <c r="L311" s="174">
        <f t="shared" ref="L311:O311" si="151">K315</f>
        <v>1095.6479999999997</v>
      </c>
      <c r="M311" s="174">
        <f t="shared" si="151"/>
        <v>1106.6044799999995</v>
      </c>
      <c r="N311" s="174">
        <f t="shared" si="151"/>
        <v>1117.6705247999994</v>
      </c>
      <c r="O311" s="174">
        <f t="shared" si="151"/>
        <v>1128.8472300479993</v>
      </c>
    </row>
    <row r="312" spans="2:26" ht="15.75" customHeight="1" outlineLevel="1" x14ac:dyDescent="0.3">
      <c r="C312" s="232" t="s">
        <v>134</v>
      </c>
      <c r="D312" s="234"/>
      <c r="H312" s="192"/>
      <c r="J312" s="193"/>
      <c r="K312" s="174">
        <f>-K311*$H$61</f>
        <v>-10.847999999999997</v>
      </c>
      <c r="L312" s="174">
        <f t="shared" ref="L312:O312" si="152">-L311*$H$61</f>
        <v>-10.956479999999997</v>
      </c>
      <c r="M312" s="174">
        <f t="shared" si="152"/>
        <v>-11.066044799999995</v>
      </c>
      <c r="N312" s="174">
        <f t="shared" si="152"/>
        <v>-11.176705247999994</v>
      </c>
      <c r="O312" s="174">
        <f t="shared" si="152"/>
        <v>-11.288472300479993</v>
      </c>
    </row>
    <row r="313" spans="2:26" ht="15.75" customHeight="1" outlineLevel="1" x14ac:dyDescent="0.3">
      <c r="C313" s="232" t="s">
        <v>41</v>
      </c>
      <c r="D313" s="234"/>
      <c r="H313" s="192"/>
      <c r="J313" s="193"/>
      <c r="K313" s="174">
        <f>K311*$G$62</f>
        <v>21.695999999999994</v>
      </c>
      <c r="L313" s="174">
        <f t="shared" ref="L313:O313" si="153">L311*$G$62</f>
        <v>21.912959999999995</v>
      </c>
      <c r="M313" s="174">
        <f t="shared" si="153"/>
        <v>22.13208959999999</v>
      </c>
      <c r="N313" s="174">
        <f t="shared" si="153"/>
        <v>22.353410495999988</v>
      </c>
      <c r="O313" s="174">
        <f t="shared" si="153"/>
        <v>22.576944600959987</v>
      </c>
    </row>
    <row r="314" spans="2:26" ht="15.75" customHeight="1" outlineLevel="1" x14ac:dyDescent="0.3">
      <c r="C314" s="232" t="s">
        <v>136</v>
      </c>
      <c r="D314" s="234"/>
      <c r="H314" s="192"/>
      <c r="J314" s="193"/>
      <c r="K314" s="174">
        <f>IF(K288&gt;SUM(K311:K313)*D66/100,-SUM(K311:K313),0)</f>
        <v>0</v>
      </c>
      <c r="L314" s="174">
        <f t="shared" ref="L314:O314" si="154">IF(L288&gt;SUM(L311:L313)*E66/100,-SUM(L311:L313),0)</f>
        <v>0</v>
      </c>
      <c r="M314" s="174">
        <f t="shared" si="154"/>
        <v>0</v>
      </c>
      <c r="N314" s="174">
        <f t="shared" si="154"/>
        <v>0</v>
      </c>
      <c r="O314" s="174">
        <f t="shared" si="154"/>
        <v>0</v>
      </c>
    </row>
    <row r="315" spans="2:26" ht="15.75" customHeight="1" outlineLevel="1" x14ac:dyDescent="0.3">
      <c r="C315" s="40" t="s">
        <v>144</v>
      </c>
      <c r="D315" s="143"/>
      <c r="E315" s="172"/>
      <c r="F315" s="172"/>
      <c r="G315" s="172"/>
      <c r="H315" s="144"/>
      <c r="I315" s="145"/>
      <c r="J315" s="339">
        <f>D44</f>
        <v>1084.7999999999997</v>
      </c>
      <c r="K315" s="31">
        <f>SUM(K311:K314)</f>
        <v>1095.6479999999997</v>
      </c>
      <c r="L315" s="31">
        <f t="shared" ref="L315:O315" si="155">SUM(L311:L314)</f>
        <v>1106.6044799999995</v>
      </c>
      <c r="M315" s="31">
        <f t="shared" si="155"/>
        <v>1117.6705247999994</v>
      </c>
      <c r="N315" s="31">
        <f t="shared" si="155"/>
        <v>1128.8472300479993</v>
      </c>
      <c r="O315" s="31">
        <f t="shared" si="155"/>
        <v>1140.1357023484793</v>
      </c>
    </row>
    <row r="316" spans="2:26" ht="15.75" customHeight="1" x14ac:dyDescent="0.3">
      <c r="C316" s="169"/>
      <c r="K316" s="174"/>
      <c r="L316" s="178"/>
      <c r="M316" s="174"/>
      <c r="N316" s="174"/>
      <c r="O316" s="174"/>
    </row>
    <row r="317" spans="2:26" ht="15.75" customHeight="1" x14ac:dyDescent="0.3">
      <c r="B317" s="22"/>
      <c r="C317" s="23"/>
      <c r="D317" s="13"/>
      <c r="E317" s="14" t="str">
        <f>$E$86</f>
        <v>Historical</v>
      </c>
      <c r="F317" s="15"/>
      <c r="G317" s="15"/>
      <c r="H317" s="16" t="str">
        <f>+$H$86</f>
        <v>Transaction Adjustments:</v>
      </c>
      <c r="I317" s="15"/>
      <c r="J317" s="15"/>
      <c r="K317" s="16" t="str">
        <f>$K$86</f>
        <v>Projected</v>
      </c>
      <c r="L317" s="17"/>
      <c r="M317" s="15"/>
      <c r="N317" s="15"/>
      <c r="O317" s="15"/>
    </row>
    <row r="318" spans="2:26" ht="15.75" customHeight="1" x14ac:dyDescent="0.3">
      <c r="B318" s="4" t="s">
        <v>298</v>
      </c>
      <c r="C318" s="5"/>
      <c r="D318" s="34" t="str">
        <f>$D$5</f>
        <v>Units:</v>
      </c>
      <c r="E318" s="1">
        <f>$E$87</f>
        <v>43465</v>
      </c>
      <c r="F318" s="1">
        <f>$F$87</f>
        <v>43830</v>
      </c>
      <c r="G318" s="2">
        <f>$G$87</f>
        <v>44196</v>
      </c>
      <c r="H318" s="1" t="str">
        <f>+$H$87</f>
        <v>Debit</v>
      </c>
      <c r="I318" s="1" t="str">
        <f>+$I$87</f>
        <v>Credit</v>
      </c>
      <c r="J318" s="1">
        <f>+$J$87</f>
        <v>44196</v>
      </c>
      <c r="K318" s="54">
        <f>$K$87</f>
        <v>44561</v>
      </c>
      <c r="L318" s="1">
        <f>$L$87</f>
        <v>44926</v>
      </c>
      <c r="M318" s="1">
        <f>$M$87</f>
        <v>45291</v>
      </c>
      <c r="N318" s="1">
        <f>$N$87</f>
        <v>45657</v>
      </c>
      <c r="O318" s="1">
        <f>$O$87</f>
        <v>46022</v>
      </c>
      <c r="Y318" s="372"/>
      <c r="Z318" s="372"/>
    </row>
    <row r="319" spans="2:26" ht="15.75" customHeight="1" outlineLevel="1" x14ac:dyDescent="0.3">
      <c r="C319" s="169"/>
      <c r="H319" s="213"/>
      <c r="I319" s="172"/>
      <c r="J319" s="214"/>
      <c r="K319" s="174"/>
      <c r="L319" s="178"/>
      <c r="M319" s="174"/>
      <c r="N319" s="174"/>
      <c r="O319" s="174"/>
      <c r="Y319" s="372"/>
      <c r="Z319" s="372"/>
    </row>
    <row r="320" spans="2:26" ht="15.75" customHeight="1" outlineLevel="1" x14ac:dyDescent="0.3">
      <c r="C320" s="64" t="s">
        <v>299</v>
      </c>
      <c r="D320" s="44" t="s">
        <v>175</v>
      </c>
      <c r="H320" s="192"/>
      <c r="J320" s="193"/>
      <c r="K320" s="35">
        <f>K175</f>
        <v>-7.6262095156987861</v>
      </c>
      <c r="L320" s="35">
        <f t="shared" ref="L320:O320" si="156">L175</f>
        <v>-30.584079786006967</v>
      </c>
      <c r="M320" s="35">
        <f t="shared" si="156"/>
        <v>-52.309913453478821</v>
      </c>
      <c r="N320" s="35">
        <f t="shared" si="156"/>
        <v>53.144663296266771</v>
      </c>
      <c r="O320" s="35">
        <f t="shared" si="156"/>
        <v>200.19676044780721</v>
      </c>
      <c r="Y320" s="372"/>
      <c r="Z320" s="372"/>
    </row>
    <row r="321" spans="3:26" ht="15.75" customHeight="1" outlineLevel="1" x14ac:dyDescent="0.3">
      <c r="C321" s="343" t="s">
        <v>245</v>
      </c>
      <c r="D321" s="44" t="s">
        <v>175</v>
      </c>
      <c r="H321" s="192"/>
      <c r="J321" s="193"/>
      <c r="K321" s="174">
        <f>-K161</f>
        <v>8.6000000000000014</v>
      </c>
      <c r="L321" s="174">
        <f t="shared" ref="L321:O321" si="157">-L161</f>
        <v>8.6000000000000014</v>
      </c>
      <c r="M321" s="174">
        <f t="shared" si="157"/>
        <v>8.6000000000000014</v>
      </c>
      <c r="N321" s="174">
        <f t="shared" si="157"/>
        <v>8.6000000000000014</v>
      </c>
      <c r="O321" s="174">
        <f t="shared" si="157"/>
        <v>8.6000000000000014</v>
      </c>
      <c r="Y321" s="372"/>
      <c r="Z321" s="372"/>
    </row>
    <row r="322" spans="3:26" ht="15.75" customHeight="1" outlineLevel="1" x14ac:dyDescent="0.3">
      <c r="C322" s="350" t="s">
        <v>89</v>
      </c>
      <c r="D322" s="283" t="s">
        <v>175</v>
      </c>
      <c r="E322" s="351"/>
      <c r="F322" s="351"/>
      <c r="G322" s="351"/>
      <c r="H322" s="352"/>
      <c r="I322" s="351"/>
      <c r="J322" s="353"/>
      <c r="K322" s="354">
        <f>-K167</f>
        <v>0</v>
      </c>
      <c r="L322" s="354">
        <f t="shared" ref="L322:O322" si="158">-L167</f>
        <v>0</v>
      </c>
      <c r="M322" s="354">
        <f t="shared" si="158"/>
        <v>0</v>
      </c>
      <c r="N322" s="354">
        <f t="shared" si="158"/>
        <v>0</v>
      </c>
      <c r="O322" s="354">
        <f t="shared" si="158"/>
        <v>0</v>
      </c>
      <c r="Y322" s="372"/>
      <c r="Z322" s="372"/>
    </row>
    <row r="323" spans="3:26" ht="15.75" customHeight="1" outlineLevel="1" x14ac:dyDescent="0.3">
      <c r="C323" s="355" t="s">
        <v>248</v>
      </c>
      <c r="D323" s="253" t="s">
        <v>175</v>
      </c>
      <c r="E323" s="347"/>
      <c r="F323" s="347"/>
      <c r="G323" s="347"/>
      <c r="H323" s="348"/>
      <c r="I323" s="347"/>
      <c r="J323" s="349"/>
      <c r="K323" s="256">
        <f>-K168</f>
        <v>10.589632875000003</v>
      </c>
      <c r="L323" s="256">
        <f t="shared" ref="L323:O323" si="159">-L168</f>
        <v>10.589632875000003</v>
      </c>
      <c r="M323" s="256">
        <f t="shared" si="159"/>
        <v>10.589632875000003</v>
      </c>
      <c r="N323" s="256">
        <f t="shared" si="159"/>
        <v>10.589632875000003</v>
      </c>
      <c r="O323" s="256">
        <f t="shared" si="159"/>
        <v>10.589632875000003</v>
      </c>
      <c r="Y323" s="372"/>
      <c r="Z323" s="372"/>
    </row>
    <row r="324" spans="3:26" ht="15.75" customHeight="1" outlineLevel="1" x14ac:dyDescent="0.3">
      <c r="C324" s="356" t="s">
        <v>150</v>
      </c>
      <c r="D324" s="291" t="s">
        <v>175</v>
      </c>
      <c r="E324" s="357"/>
      <c r="F324" s="357"/>
      <c r="G324" s="357"/>
      <c r="H324" s="358"/>
      <c r="I324" s="357"/>
      <c r="J324" s="359"/>
      <c r="K324" s="360">
        <f>-K169</f>
        <v>7.3275000000000006</v>
      </c>
      <c r="L324" s="360">
        <f t="shared" ref="L324:O324" si="160">-L169</f>
        <v>7.3275000000000006</v>
      </c>
      <c r="M324" s="360">
        <f t="shared" si="160"/>
        <v>7.3275000000000006</v>
      </c>
      <c r="N324" s="360">
        <f t="shared" si="160"/>
        <v>7.3275000000000006</v>
      </c>
      <c r="O324" s="360">
        <f t="shared" si="160"/>
        <v>7.3275000000000006</v>
      </c>
      <c r="Y324" s="372"/>
      <c r="Z324" s="372"/>
    </row>
    <row r="325" spans="3:26" ht="15.75" customHeight="1" outlineLevel="1" x14ac:dyDescent="0.3">
      <c r="C325" s="169" t="s">
        <v>250</v>
      </c>
      <c r="D325" s="44" t="s">
        <v>175</v>
      </c>
      <c r="H325" s="192"/>
      <c r="J325" s="193"/>
      <c r="K325" s="174">
        <v>0</v>
      </c>
      <c r="L325" s="174">
        <v>0</v>
      </c>
      <c r="M325" s="174">
        <v>0</v>
      </c>
      <c r="N325" s="174">
        <v>0</v>
      </c>
      <c r="O325" s="174">
        <v>0</v>
      </c>
      <c r="Y325" s="372"/>
      <c r="Z325" s="372"/>
    </row>
    <row r="326" spans="3:26" ht="15.75" customHeight="1" outlineLevel="1" x14ac:dyDescent="0.3">
      <c r="C326" s="28" t="s">
        <v>303</v>
      </c>
      <c r="D326" s="143" t="s">
        <v>175</v>
      </c>
      <c r="E326" s="172"/>
      <c r="F326" s="172"/>
      <c r="G326" s="172"/>
      <c r="H326" s="213"/>
      <c r="I326" s="172"/>
      <c r="J326" s="214"/>
      <c r="K326" s="31">
        <f>SUM(K320:K325)</f>
        <v>18.890923359301219</v>
      </c>
      <c r="L326" s="31">
        <f t="shared" ref="L326:O326" si="161">SUM(L320:L325)</f>
        <v>-4.066946911006962</v>
      </c>
      <c r="M326" s="31">
        <f t="shared" si="161"/>
        <v>-25.792780578478812</v>
      </c>
      <c r="N326" s="31">
        <f t="shared" si="161"/>
        <v>79.661796171266772</v>
      </c>
      <c r="O326" s="31">
        <f t="shared" si="161"/>
        <v>226.71389332280722</v>
      </c>
      <c r="Y326" s="372"/>
      <c r="Z326" s="372"/>
    </row>
    <row r="327" spans="3:26" ht="15.75" customHeight="1" outlineLevel="1" x14ac:dyDescent="0.3">
      <c r="C327" s="169"/>
      <c r="H327" s="192"/>
      <c r="J327" s="193"/>
      <c r="K327" s="174"/>
      <c r="L327" s="174"/>
      <c r="M327" s="174"/>
      <c r="N327" s="174"/>
      <c r="O327" s="174"/>
      <c r="Y327" s="372"/>
      <c r="Z327" s="372"/>
    </row>
    <row r="328" spans="3:26" ht="15.75" customHeight="1" outlineLevel="1" x14ac:dyDescent="0.3">
      <c r="C328" s="345" t="s">
        <v>304</v>
      </c>
      <c r="D328" s="44" t="s">
        <v>175</v>
      </c>
      <c r="H328" s="192"/>
      <c r="J328" s="193"/>
      <c r="K328" s="346">
        <v>0</v>
      </c>
      <c r="L328" s="406">
        <f>K331</f>
        <v>0</v>
      </c>
      <c r="M328" s="406">
        <f t="shared" ref="M328:O328" si="162">L331</f>
        <v>4.066946911006962</v>
      </c>
      <c r="N328" s="406">
        <f t="shared" si="162"/>
        <v>29.859727489485774</v>
      </c>
      <c r="O328" s="406">
        <f t="shared" si="162"/>
        <v>0</v>
      </c>
      <c r="Y328" s="372"/>
      <c r="Z328" s="372"/>
    </row>
    <row r="329" spans="3:26" ht="15.75" customHeight="1" outlineLevel="1" x14ac:dyDescent="0.3">
      <c r="C329" s="343" t="s">
        <v>305</v>
      </c>
      <c r="D329" s="44" t="s">
        <v>175</v>
      </c>
      <c r="H329" s="192"/>
      <c r="J329" s="193"/>
      <c r="K329" s="174">
        <f>MAX(0,-K326)</f>
        <v>0</v>
      </c>
      <c r="L329" s="174">
        <f t="shared" ref="L329:O329" si="163">MAX(0,-L326)</f>
        <v>4.066946911006962</v>
      </c>
      <c r="M329" s="174">
        <f t="shared" si="163"/>
        <v>25.792780578478812</v>
      </c>
      <c r="N329" s="174">
        <f t="shared" si="163"/>
        <v>0</v>
      </c>
      <c r="O329" s="406">
        <f t="shared" si="163"/>
        <v>0</v>
      </c>
      <c r="Y329" s="372"/>
      <c r="Z329" s="372"/>
    </row>
    <row r="330" spans="3:26" ht="15.75" customHeight="1" outlineLevel="1" x14ac:dyDescent="0.3">
      <c r="C330" s="343" t="s">
        <v>306</v>
      </c>
      <c r="D330" s="45" t="s">
        <v>175</v>
      </c>
      <c r="E330" s="176"/>
      <c r="F330" s="176"/>
      <c r="G330" s="176"/>
      <c r="H330" s="211"/>
      <c r="I330" s="176"/>
      <c r="J330" s="212"/>
      <c r="K330" s="188">
        <f>-MIN(K329+K328,MAX(K326,0))</f>
        <v>0</v>
      </c>
      <c r="L330" s="188">
        <f t="shared" ref="L330:O330" si="164">-MIN(L329+L328,MAX(L326,0))</f>
        <v>0</v>
      </c>
      <c r="M330" s="188">
        <f t="shared" si="164"/>
        <v>0</v>
      </c>
      <c r="N330" s="188">
        <f t="shared" si="164"/>
        <v>-29.859727489485774</v>
      </c>
      <c r="O330" s="407">
        <f t="shared" si="164"/>
        <v>0</v>
      </c>
      <c r="Y330" s="372"/>
      <c r="Z330" s="372"/>
    </row>
    <row r="331" spans="3:26" ht="15.75" customHeight="1" outlineLevel="1" x14ac:dyDescent="0.3">
      <c r="C331" s="30" t="s">
        <v>307</v>
      </c>
      <c r="D331" s="44" t="s">
        <v>175</v>
      </c>
      <c r="H331" s="192"/>
      <c r="J331" s="193"/>
      <c r="K331" s="35">
        <f>SUM(K328:K330)</f>
        <v>0</v>
      </c>
      <c r="L331" s="35">
        <f t="shared" ref="L331:O331" si="165">SUM(L328:L330)</f>
        <v>4.066946911006962</v>
      </c>
      <c r="M331" s="35">
        <f t="shared" si="165"/>
        <v>29.859727489485774</v>
      </c>
      <c r="N331" s="35">
        <f t="shared" si="165"/>
        <v>0</v>
      </c>
      <c r="O331" s="35">
        <f t="shared" si="165"/>
        <v>0</v>
      </c>
      <c r="Y331" s="372"/>
      <c r="Z331" s="372"/>
    </row>
    <row r="332" spans="3:26" ht="15.75" customHeight="1" outlineLevel="1" x14ac:dyDescent="0.3">
      <c r="C332" s="169"/>
      <c r="H332" s="192"/>
      <c r="J332" s="193"/>
      <c r="K332" s="174"/>
      <c r="L332" s="178"/>
      <c r="M332" s="174"/>
      <c r="N332" s="174"/>
      <c r="O332" s="174"/>
      <c r="Y332" s="372"/>
      <c r="Z332" s="372"/>
    </row>
    <row r="333" spans="3:26" ht="15.75" customHeight="1" outlineLevel="1" x14ac:dyDescent="0.3">
      <c r="C333" s="345" t="s">
        <v>308</v>
      </c>
      <c r="D333" s="44" t="s">
        <v>175</v>
      </c>
      <c r="H333" s="192"/>
      <c r="J333" s="193"/>
      <c r="K333" s="174">
        <f>K331+K326</f>
        <v>18.890923359301219</v>
      </c>
      <c r="L333" s="174">
        <f t="shared" ref="L333:O333" si="166">L331+L326</f>
        <v>0</v>
      </c>
      <c r="M333" s="174">
        <f t="shared" si="166"/>
        <v>4.066946911006962</v>
      </c>
      <c r="N333" s="174">
        <f t="shared" si="166"/>
        <v>79.661796171266772</v>
      </c>
      <c r="O333" s="174">
        <f t="shared" si="166"/>
        <v>226.71389332280722</v>
      </c>
      <c r="Y333" s="372"/>
      <c r="Z333" s="372"/>
    </row>
    <row r="334" spans="3:26" ht="15.75" customHeight="1" outlineLevel="1" x14ac:dyDescent="0.3">
      <c r="C334" s="345"/>
      <c r="D334" s="345"/>
      <c r="H334" s="192"/>
      <c r="J334" s="193"/>
      <c r="K334" s="174"/>
      <c r="L334" s="174"/>
      <c r="M334" s="174"/>
      <c r="N334" s="174"/>
      <c r="O334" s="174"/>
      <c r="Y334" s="372"/>
      <c r="Z334" s="372"/>
    </row>
    <row r="335" spans="3:26" ht="15.75" customHeight="1" outlineLevel="1" x14ac:dyDescent="0.3">
      <c r="C335" s="345" t="s">
        <v>309</v>
      </c>
      <c r="D335" s="44" t="s">
        <v>175</v>
      </c>
      <c r="H335" s="192"/>
      <c r="J335" s="193"/>
      <c r="K335" s="174">
        <f>-MAX(0,K333)*Tax_Rate</f>
        <v>-4.9201635143579656</v>
      </c>
      <c r="L335" s="174">
        <f>-MAX(0,L333)*Tax_Rate</f>
        <v>0</v>
      </c>
      <c r="M335" s="174">
        <f>-MAX(0,M333)*Tax_Rate</f>
        <v>-1.0592411723757831</v>
      </c>
      <c r="N335" s="174">
        <f>-MAX(0,N333)*Tax_Rate</f>
        <v>-20.748009801072328</v>
      </c>
      <c r="O335" s="174">
        <f>-MAX(0,O333)*Tax_Rate</f>
        <v>-59.047903848262806</v>
      </c>
      <c r="Y335" s="372"/>
      <c r="Z335" s="372"/>
    </row>
    <row r="336" spans="3:26" ht="15.75" customHeight="1" outlineLevel="1" x14ac:dyDescent="0.3">
      <c r="C336" s="345"/>
      <c r="D336" s="345"/>
      <c r="H336" s="192"/>
      <c r="J336" s="193"/>
      <c r="K336" s="174"/>
      <c r="L336" s="174"/>
      <c r="M336" s="174"/>
      <c r="N336" s="174"/>
      <c r="O336" s="174"/>
      <c r="Y336" s="372"/>
      <c r="Z336" s="372"/>
    </row>
    <row r="337" spans="2:29" ht="15.75" customHeight="1" outlineLevel="1" x14ac:dyDescent="0.3">
      <c r="C337" s="3" t="s">
        <v>310</v>
      </c>
      <c r="D337" s="44" t="s">
        <v>175</v>
      </c>
      <c r="H337" s="192"/>
      <c r="J337" s="193"/>
      <c r="K337" s="35">
        <f>K335-K174</f>
        <v>-7.6059299457072198</v>
      </c>
      <c r="L337" s="35">
        <f t="shared" ref="L337:O337" si="167">L335-L174</f>
        <v>-10.770972742602153</v>
      </c>
      <c r="M337" s="35">
        <f t="shared" si="167"/>
        <v>-19.481526750936226</v>
      </c>
      <c r="N337" s="35">
        <f t="shared" si="167"/>
        <v>-2.0317455294640716</v>
      </c>
      <c r="O337" s="35">
        <f t="shared" si="167"/>
        <v>11.456550267343943</v>
      </c>
      <c r="Y337" s="372"/>
      <c r="Z337" s="372"/>
    </row>
    <row r="338" spans="2:29" ht="15.75" customHeight="1" x14ac:dyDescent="0.3">
      <c r="C338" s="169"/>
      <c r="K338" s="174"/>
      <c r="L338" s="178"/>
      <c r="M338" s="174"/>
      <c r="N338" s="174"/>
      <c r="O338" s="174"/>
      <c r="Y338" s="372"/>
      <c r="Z338" s="372"/>
    </row>
    <row r="339" spans="2:29" ht="15.75" customHeight="1" x14ac:dyDescent="0.3">
      <c r="B339" s="22"/>
      <c r="C339" s="23"/>
      <c r="D339" s="13"/>
      <c r="E339" s="14" t="str">
        <f>$E$86</f>
        <v>Historical</v>
      </c>
      <c r="F339" s="15"/>
      <c r="G339" s="15"/>
      <c r="H339" s="16" t="str">
        <f>+$H$86</f>
        <v>Transaction Adjustments:</v>
      </c>
      <c r="I339" s="15"/>
      <c r="J339" s="15"/>
      <c r="K339" s="16" t="str">
        <f>$K$86</f>
        <v>Projected</v>
      </c>
      <c r="L339" s="17"/>
      <c r="M339" s="15"/>
      <c r="N339" s="15"/>
      <c r="O339" s="15"/>
      <c r="P339" s="372"/>
      <c r="Q339" s="372"/>
      <c r="R339" s="372"/>
      <c r="S339" s="372"/>
      <c r="T339" s="372"/>
      <c r="U339" s="372"/>
      <c r="V339" s="372"/>
      <c r="W339" s="372"/>
      <c r="X339" s="372"/>
      <c r="Y339" s="372"/>
      <c r="Z339" s="372"/>
    </row>
    <row r="340" spans="2:29" ht="15.75" customHeight="1" x14ac:dyDescent="0.3">
      <c r="B340" s="4" t="s">
        <v>160</v>
      </c>
      <c r="C340" s="5"/>
      <c r="D340" s="34" t="str">
        <f>$D$5</f>
        <v>Units:</v>
      </c>
      <c r="E340" s="1">
        <f>$E$87</f>
        <v>43465</v>
      </c>
      <c r="F340" s="1">
        <f>$F$87</f>
        <v>43830</v>
      </c>
      <c r="G340" s="2">
        <f>$G$87</f>
        <v>44196</v>
      </c>
      <c r="H340" s="1" t="str">
        <f>+$H$87</f>
        <v>Debit</v>
      </c>
      <c r="I340" s="1" t="str">
        <f>+$I$87</f>
        <v>Credit</v>
      </c>
      <c r="J340" s="1">
        <f>+$J$87</f>
        <v>44196</v>
      </c>
      <c r="K340" s="54">
        <f>$K$87</f>
        <v>44561</v>
      </c>
      <c r="L340" s="1">
        <f>$L$87</f>
        <v>44926</v>
      </c>
      <c r="M340" s="1">
        <f>$M$87</f>
        <v>45291</v>
      </c>
      <c r="N340" s="1">
        <f>$N$87</f>
        <v>45657</v>
      </c>
      <c r="O340" s="1">
        <f>$O$87</f>
        <v>46022</v>
      </c>
      <c r="P340" s="372"/>
      <c r="Q340" s="372"/>
      <c r="R340" s="372"/>
      <c r="S340" s="372"/>
      <c r="T340" s="372"/>
      <c r="U340" s="372"/>
      <c r="V340" s="372"/>
      <c r="W340" s="372"/>
      <c r="X340" s="372"/>
      <c r="Y340" s="372"/>
      <c r="Z340" s="372"/>
    </row>
    <row r="341" spans="2:29" ht="15.75" customHeight="1" outlineLevel="1" x14ac:dyDescent="0.3">
      <c r="C341" s="169"/>
      <c r="H341" s="213"/>
      <c r="I341" s="172"/>
      <c r="J341" s="214"/>
      <c r="K341" s="174"/>
      <c r="L341" s="178"/>
      <c r="M341" s="174"/>
      <c r="N341" s="174"/>
      <c r="O341" s="174"/>
      <c r="P341" s="372"/>
      <c r="Q341" s="372"/>
      <c r="R341" s="372"/>
      <c r="S341" s="372"/>
      <c r="T341" s="372"/>
      <c r="U341" s="372"/>
      <c r="V341" s="372"/>
      <c r="W341" s="372"/>
      <c r="X341" s="372"/>
      <c r="Y341" s="372"/>
      <c r="Z341" s="372"/>
    </row>
    <row r="342" spans="2:29" s="3" customFormat="1" ht="15.75" customHeight="1" outlineLevel="1" x14ac:dyDescent="0.3">
      <c r="C342" s="25" t="s">
        <v>23</v>
      </c>
      <c r="D342" s="411" t="s">
        <v>175</v>
      </c>
      <c r="E342" s="56">
        <f>E155+E158+E159</f>
        <v>450.29999999999995</v>
      </c>
      <c r="F342" s="56">
        <f>F155+F158+F159</f>
        <v>542.39999999999986</v>
      </c>
      <c r="G342" s="76">
        <f>G155+G158+G159</f>
        <v>149.19999999999993</v>
      </c>
      <c r="H342" s="56"/>
      <c r="I342" s="56"/>
      <c r="J342" s="76"/>
      <c r="K342" s="56">
        <f>K155+K158+K159</f>
        <v>382.83829938894024</v>
      </c>
      <c r="L342" s="56">
        <f t="shared" ref="L342:O342" si="168">L155+L158+L159</f>
        <v>377.11575907547501</v>
      </c>
      <c r="M342" s="56">
        <f t="shared" si="168"/>
        <v>363.7025305932915</v>
      </c>
      <c r="N342" s="56">
        <f t="shared" si="168"/>
        <v>544.19557274928684</v>
      </c>
      <c r="O342" s="56">
        <f t="shared" si="168"/>
        <v>759.69668772657235</v>
      </c>
    </row>
    <row r="343" spans="2:29" ht="15.75" customHeight="1" outlineLevel="1" x14ac:dyDescent="0.3">
      <c r="C343" s="169" t="s">
        <v>166</v>
      </c>
      <c r="D343" s="44" t="s">
        <v>175</v>
      </c>
      <c r="H343" s="192"/>
      <c r="J343" s="193"/>
      <c r="K343" s="174">
        <f>K296+K302+K308</f>
        <v>1821.4396977851075</v>
      </c>
      <c r="L343" s="174">
        <f t="shared" ref="L343:O343" si="169">L296+L302+L308</f>
        <v>1954.5758835769084</v>
      </c>
      <c r="M343" s="174">
        <f t="shared" si="169"/>
        <v>1987.6341108682627</v>
      </c>
      <c r="N343" s="174">
        <f t="shared" si="169"/>
        <v>2000.6884402319943</v>
      </c>
      <c r="O343" s="174">
        <f t="shared" si="169"/>
        <v>1836.9897709164452</v>
      </c>
      <c r="P343" s="372"/>
      <c r="Q343" s="372"/>
      <c r="R343" s="372"/>
      <c r="S343" s="372"/>
      <c r="T343" s="372"/>
      <c r="U343" s="372"/>
      <c r="V343" s="372"/>
      <c r="W343" s="372"/>
      <c r="X343" s="372"/>
      <c r="Y343" s="372"/>
      <c r="Z343" s="372"/>
      <c r="AA343" s="372"/>
      <c r="AB343" s="372"/>
      <c r="AC343" s="372"/>
    </row>
    <row r="344" spans="2:29" ht="15.75" customHeight="1" outlineLevel="1" x14ac:dyDescent="0.3">
      <c r="C344" s="169" t="s">
        <v>165</v>
      </c>
      <c r="D344" s="44" t="s">
        <v>175</v>
      </c>
      <c r="H344" s="192"/>
      <c r="J344" s="193"/>
      <c r="K344" s="174">
        <f>K206</f>
        <v>2870.5962692136786</v>
      </c>
      <c r="L344" s="174">
        <f t="shared" ref="L344:O344" si="170">L206</f>
        <v>3022.4375064340506</v>
      </c>
      <c r="M344" s="174">
        <f t="shared" si="170"/>
        <v>3074.3103499539761</v>
      </c>
      <c r="N344" s="174">
        <f t="shared" si="170"/>
        <v>3106.2899559942789</v>
      </c>
      <c r="O344" s="174">
        <f t="shared" si="170"/>
        <v>2961.628330407781</v>
      </c>
      <c r="P344" s="372"/>
      <c r="Q344" s="372"/>
      <c r="R344" s="372"/>
      <c r="S344" s="372"/>
      <c r="T344" s="372"/>
      <c r="U344" s="372"/>
      <c r="V344" s="372"/>
      <c r="W344" s="372"/>
      <c r="X344" s="372"/>
      <c r="Y344" s="372"/>
      <c r="Z344" s="372"/>
      <c r="AA344" s="372"/>
      <c r="AB344" s="372"/>
      <c r="AC344" s="372"/>
    </row>
    <row r="345" spans="2:29" ht="15.75" customHeight="1" outlineLevel="1" x14ac:dyDescent="0.3">
      <c r="C345" s="343" t="s">
        <v>314</v>
      </c>
      <c r="D345" s="44" t="s">
        <v>175</v>
      </c>
      <c r="H345" s="192"/>
      <c r="J345" s="193"/>
      <c r="K345" s="174">
        <f>K344+K208</f>
        <v>3733.1040863798576</v>
      </c>
      <c r="L345" s="174">
        <f t="shared" ref="L345:O345" si="171">L344+L208</f>
        <v>3791.113314481212</v>
      </c>
      <c r="M345" s="174">
        <f t="shared" si="171"/>
        <v>3746.4343805018589</v>
      </c>
      <c r="N345" s="174">
        <f t="shared" si="171"/>
        <v>3679.8223827576871</v>
      </c>
      <c r="O345" s="174">
        <f t="shared" si="171"/>
        <v>3434.5293271015189</v>
      </c>
      <c r="P345" s="372"/>
      <c r="Q345" s="372"/>
      <c r="R345" s="372"/>
      <c r="S345" s="372"/>
      <c r="T345" s="372"/>
      <c r="U345" s="372"/>
      <c r="V345" s="372"/>
      <c r="W345" s="372"/>
      <c r="X345" s="372"/>
      <c r="Y345" s="372"/>
      <c r="Z345" s="372"/>
      <c r="AA345" s="372"/>
      <c r="AB345" s="372"/>
      <c r="AC345" s="372"/>
    </row>
    <row r="346" spans="2:29" ht="15.75" customHeight="1" outlineLevel="1" x14ac:dyDescent="0.3">
      <c r="C346" s="343" t="s">
        <v>315</v>
      </c>
      <c r="D346" s="44" t="s">
        <v>175</v>
      </c>
      <c r="H346" s="192"/>
      <c r="J346" s="193"/>
      <c r="K346" s="174">
        <f>K345-K184</f>
        <v>3533.1040863798576</v>
      </c>
      <c r="L346" s="174">
        <f t="shared" ref="L346:O346" si="172">L345-L184</f>
        <v>3591.113314481212</v>
      </c>
      <c r="M346" s="174">
        <f t="shared" si="172"/>
        <v>3546.4343805018589</v>
      </c>
      <c r="N346" s="174">
        <f t="shared" si="172"/>
        <v>3479.8223827576871</v>
      </c>
      <c r="O346" s="174">
        <f t="shared" si="172"/>
        <v>3234.5293271015189</v>
      </c>
      <c r="P346" s="372"/>
      <c r="Q346" s="372"/>
      <c r="R346" s="372"/>
      <c r="S346" s="372"/>
      <c r="T346" s="372"/>
      <c r="U346" s="372"/>
      <c r="V346" s="372"/>
      <c r="W346" s="372"/>
      <c r="X346" s="372"/>
      <c r="Y346" s="372"/>
      <c r="Z346" s="372"/>
      <c r="AA346" s="372"/>
      <c r="AB346" s="372"/>
      <c r="AC346" s="372"/>
    </row>
    <row r="347" spans="2:29" ht="15.75" customHeight="1" outlineLevel="1" x14ac:dyDescent="0.3">
      <c r="C347" s="169"/>
      <c r="H347" s="192"/>
      <c r="J347" s="193"/>
      <c r="K347" s="174"/>
      <c r="L347" s="178"/>
      <c r="M347" s="174"/>
      <c r="N347" s="174"/>
      <c r="O347" s="174"/>
      <c r="P347" s="372"/>
      <c r="Q347" s="372"/>
      <c r="R347" s="372"/>
      <c r="S347" s="372"/>
      <c r="T347" s="372"/>
      <c r="U347" s="372"/>
      <c r="V347" s="372"/>
      <c r="W347" s="372"/>
      <c r="X347" s="372"/>
      <c r="Y347" s="372"/>
      <c r="Z347" s="372"/>
      <c r="AA347" s="372"/>
      <c r="AB347" s="372"/>
      <c r="AC347" s="372"/>
    </row>
    <row r="348" spans="2:29" ht="15.75" customHeight="1" outlineLevel="1" x14ac:dyDescent="0.3">
      <c r="C348" s="342" t="s">
        <v>294</v>
      </c>
      <c r="D348" s="44" t="s">
        <v>175</v>
      </c>
      <c r="E348" s="174">
        <f t="shared" ref="E348:G349" si="173">-E163</f>
        <v>0</v>
      </c>
      <c r="F348" s="174">
        <f t="shared" si="173"/>
        <v>50.9</v>
      </c>
      <c r="G348" s="174">
        <f t="shared" si="173"/>
        <v>50.9</v>
      </c>
      <c r="H348" s="192"/>
      <c r="J348" s="193"/>
      <c r="K348" s="174">
        <f>-K163</f>
        <v>50.99565712990065</v>
      </c>
      <c r="L348" s="174">
        <f t="shared" ref="L348:O348" si="174">-L163</f>
        <v>49.635772939769971</v>
      </c>
      <c r="M348" s="174">
        <f t="shared" si="174"/>
        <v>48.955830844704629</v>
      </c>
      <c r="N348" s="174">
        <f t="shared" si="174"/>
        <v>47.595946654573943</v>
      </c>
      <c r="O348" s="174">
        <f t="shared" si="174"/>
        <v>45.556120369377922</v>
      </c>
      <c r="P348" s="373"/>
      <c r="Q348" s="372"/>
      <c r="R348" s="372"/>
      <c r="S348" s="372"/>
      <c r="T348" s="372"/>
      <c r="U348" s="372"/>
      <c r="V348" s="372"/>
      <c r="W348" s="372"/>
      <c r="X348" s="372"/>
      <c r="Y348" s="372"/>
      <c r="Z348" s="372"/>
      <c r="AA348" s="372"/>
      <c r="AB348" s="372"/>
      <c r="AC348" s="372"/>
    </row>
    <row r="349" spans="2:29" ht="15.75" customHeight="1" outlineLevel="1" x14ac:dyDescent="0.3">
      <c r="C349" s="376" t="s">
        <v>331</v>
      </c>
      <c r="D349" s="44" t="s">
        <v>175</v>
      </c>
      <c r="E349" s="174">
        <f t="shared" si="173"/>
        <v>67.3</v>
      </c>
      <c r="F349" s="174">
        <f t="shared" si="173"/>
        <v>41.5</v>
      </c>
      <c r="G349" s="174">
        <f t="shared" si="173"/>
        <v>57.7</v>
      </c>
      <c r="H349" s="192"/>
      <c r="J349" s="193"/>
      <c r="K349" s="174">
        <f>-K164</f>
        <v>168.14399999999995</v>
      </c>
      <c r="L349" s="174">
        <f t="shared" ref="L349:O349" si="175">-L164</f>
        <v>174.63563093355322</v>
      </c>
      <c r="M349" s="174">
        <f t="shared" si="175"/>
        <v>185.09070152519178</v>
      </c>
      <c r="N349" s="174">
        <f t="shared" si="175"/>
        <v>196.91171174673048</v>
      </c>
      <c r="O349" s="174">
        <f t="shared" si="175"/>
        <v>208.17357648899969</v>
      </c>
      <c r="P349" s="372"/>
      <c r="Q349" s="372"/>
      <c r="R349" s="372"/>
      <c r="S349" s="372"/>
      <c r="T349" s="372"/>
      <c r="U349" s="372"/>
      <c r="V349" s="372"/>
      <c r="W349" s="372"/>
      <c r="X349" s="372"/>
      <c r="Y349" s="372"/>
      <c r="Z349" s="372"/>
      <c r="AA349" s="372"/>
      <c r="AB349" s="372"/>
      <c r="AC349" s="372"/>
    </row>
    <row r="350" spans="2:29" ht="15.75" customHeight="1" outlineLevel="1" x14ac:dyDescent="0.3">
      <c r="C350" s="342" t="s">
        <v>295</v>
      </c>
      <c r="D350" s="44" t="s">
        <v>175</v>
      </c>
      <c r="E350" s="174">
        <f>-E166</f>
        <v>0</v>
      </c>
      <c r="F350" s="174">
        <f>-F166</f>
        <v>0</v>
      </c>
      <c r="G350" s="174">
        <f>-G166</f>
        <v>0</v>
      </c>
      <c r="H350" s="192"/>
      <c r="J350" s="193"/>
      <c r="K350" s="174">
        <f>-K166</f>
        <v>7.7485714285714256</v>
      </c>
      <c r="L350" s="174">
        <f t="shared" ref="L350:O350" si="176">-L166</f>
        <v>7.7485714285714256</v>
      </c>
      <c r="M350" s="174">
        <f t="shared" si="176"/>
        <v>7.7485714285714256</v>
      </c>
      <c r="N350" s="174">
        <f t="shared" si="176"/>
        <v>7.7485714285714256</v>
      </c>
      <c r="O350" s="174">
        <f t="shared" si="176"/>
        <v>7.7485714285714256</v>
      </c>
      <c r="P350" s="372"/>
      <c r="Q350" s="372"/>
      <c r="R350" s="372"/>
      <c r="S350" s="372"/>
      <c r="T350" s="372"/>
      <c r="U350" s="372"/>
      <c r="V350" s="372"/>
      <c r="W350" s="372"/>
      <c r="X350" s="372"/>
      <c r="Y350" s="372"/>
      <c r="Z350" s="372"/>
      <c r="AA350" s="372"/>
      <c r="AB350" s="372"/>
      <c r="AC350" s="372"/>
    </row>
    <row r="351" spans="2:29" ht="15.75" customHeight="1" outlineLevel="1" x14ac:dyDescent="0.3">
      <c r="C351" s="40" t="s">
        <v>296</v>
      </c>
      <c r="D351" s="143" t="s">
        <v>175</v>
      </c>
      <c r="E351" s="31">
        <f>SUM(E348:E350)</f>
        <v>67.3</v>
      </c>
      <c r="F351" s="31">
        <f t="shared" ref="F351:G351" si="177">SUM(F348:F350)</f>
        <v>92.4</v>
      </c>
      <c r="G351" s="31">
        <f t="shared" si="177"/>
        <v>108.6</v>
      </c>
      <c r="H351" s="213"/>
      <c r="I351" s="172"/>
      <c r="J351" s="214"/>
      <c r="K351" s="31">
        <f>SUM(K348:K350)</f>
        <v>226.88822855847204</v>
      </c>
      <c r="L351" s="31">
        <f t="shared" ref="L351:O351" si="178">SUM(L348:L350)</f>
        <v>232.01997530189462</v>
      </c>
      <c r="M351" s="31">
        <f t="shared" si="178"/>
        <v>241.79510379846784</v>
      </c>
      <c r="N351" s="31">
        <f t="shared" si="178"/>
        <v>252.25622982987585</v>
      </c>
      <c r="O351" s="31">
        <f t="shared" si="178"/>
        <v>261.47826828694906</v>
      </c>
      <c r="P351" s="372"/>
      <c r="Q351" s="372"/>
      <c r="R351" s="372"/>
      <c r="S351" s="372"/>
      <c r="T351" s="372"/>
      <c r="U351" s="372"/>
      <c r="V351" s="372"/>
      <c r="W351" s="372"/>
      <c r="X351" s="372"/>
      <c r="Y351" s="372"/>
      <c r="Z351" s="372"/>
      <c r="AA351" s="372"/>
      <c r="AB351" s="372"/>
      <c r="AC351" s="372"/>
    </row>
    <row r="352" spans="2:29" ht="15.75" customHeight="1" outlineLevel="1" x14ac:dyDescent="0.3">
      <c r="C352" s="169"/>
      <c r="H352" s="192"/>
      <c r="J352" s="193"/>
      <c r="K352" s="174"/>
      <c r="L352" s="178"/>
      <c r="M352" s="174"/>
      <c r="N352" s="174"/>
      <c r="O352" s="174"/>
      <c r="P352" s="373"/>
      <c r="Q352" s="372"/>
      <c r="R352" s="372"/>
      <c r="S352" s="372"/>
      <c r="T352" s="372"/>
      <c r="U352" s="372"/>
      <c r="V352" s="372"/>
      <c r="W352" s="372"/>
      <c r="X352" s="372"/>
      <c r="Y352" s="372"/>
      <c r="Z352" s="372"/>
      <c r="AA352" s="372"/>
      <c r="AB352" s="372"/>
      <c r="AC352" s="372"/>
    </row>
    <row r="353" spans="2:29" ht="15.75" customHeight="1" outlineLevel="1" x14ac:dyDescent="0.3">
      <c r="C353" s="169" t="s">
        <v>172</v>
      </c>
      <c r="D353" s="44" t="s">
        <v>54</v>
      </c>
      <c r="H353" s="192"/>
      <c r="J353" s="193"/>
      <c r="K353" s="235">
        <f>K343/K$342</f>
        <v>4.7577259137666275</v>
      </c>
      <c r="L353" s="235">
        <f t="shared" ref="L353:O353" si="179">L343/L$342</f>
        <v>5.1829599706166736</v>
      </c>
      <c r="M353" s="235">
        <f t="shared" si="179"/>
        <v>5.4649993983432701</v>
      </c>
      <c r="N353" s="235">
        <f t="shared" si="179"/>
        <v>3.6764144002945054</v>
      </c>
      <c r="O353" s="235">
        <f t="shared" si="179"/>
        <v>2.4180568384649965</v>
      </c>
      <c r="P353" s="372"/>
      <c r="Q353" s="372"/>
      <c r="R353" s="372"/>
      <c r="S353" s="372"/>
      <c r="T353" s="372"/>
      <c r="U353" s="372"/>
      <c r="V353" s="372"/>
      <c r="W353" s="372"/>
      <c r="X353" s="372"/>
      <c r="Y353" s="372"/>
      <c r="Z353" s="372"/>
      <c r="AA353" s="372"/>
      <c r="AB353" s="372"/>
      <c r="AC353" s="372"/>
    </row>
    <row r="354" spans="2:29" ht="15.75" customHeight="1" outlineLevel="1" x14ac:dyDescent="0.3">
      <c r="C354" s="169" t="s">
        <v>169</v>
      </c>
      <c r="D354" s="44" t="s">
        <v>54</v>
      </c>
      <c r="H354" s="192"/>
      <c r="J354" s="193"/>
      <c r="K354" s="235">
        <f t="shared" ref="K354:O354" si="180">K344/K$342</f>
        <v>7.4981951225766172</v>
      </c>
      <c r="L354" s="235">
        <f t="shared" si="180"/>
        <v>8.0146147003873889</v>
      </c>
      <c r="M354" s="235">
        <f t="shared" si="180"/>
        <v>8.452815395424917</v>
      </c>
      <c r="N354" s="235">
        <f t="shared" si="180"/>
        <v>5.7080397407520982</v>
      </c>
      <c r="O354" s="235">
        <f t="shared" si="180"/>
        <v>3.8984352284996682</v>
      </c>
      <c r="P354" s="372"/>
      <c r="Q354" s="372"/>
      <c r="R354" s="372"/>
      <c r="S354" s="372"/>
      <c r="T354" s="372"/>
      <c r="U354" s="372"/>
      <c r="V354" s="372"/>
      <c r="W354" s="372"/>
      <c r="X354" s="372"/>
      <c r="Y354" s="372"/>
      <c r="Z354" s="372"/>
      <c r="AA354" s="372"/>
      <c r="AB354" s="372"/>
      <c r="AC354" s="372"/>
    </row>
    <row r="355" spans="2:29" ht="15.75" customHeight="1" outlineLevel="1" x14ac:dyDescent="0.3">
      <c r="C355" s="343" t="s">
        <v>316</v>
      </c>
      <c r="D355" s="44" t="s">
        <v>54</v>
      </c>
      <c r="H355" s="192"/>
      <c r="J355" s="193"/>
      <c r="K355" s="235">
        <f t="shared" ref="K355:O355" si="181">K345/K$342</f>
        <v>9.7511249327415186</v>
      </c>
      <c r="L355" s="235">
        <f t="shared" si="181"/>
        <v>10.052916705935028</v>
      </c>
      <c r="M355" s="235">
        <f t="shared" si="181"/>
        <v>10.300820218078961</v>
      </c>
      <c r="N355" s="235">
        <f t="shared" si="181"/>
        <v>6.7619484005853838</v>
      </c>
      <c r="O355" s="235">
        <f t="shared" si="181"/>
        <v>4.5209218133877975</v>
      </c>
      <c r="P355" s="372"/>
      <c r="Q355" s="372"/>
      <c r="R355" s="372"/>
      <c r="S355" s="372"/>
      <c r="T355" s="372"/>
      <c r="U355" s="372"/>
      <c r="V355" s="372"/>
      <c r="W355" s="372"/>
      <c r="X355" s="372"/>
      <c r="Y355" s="372"/>
      <c r="Z355" s="372"/>
      <c r="AA355" s="372"/>
      <c r="AB355" s="372"/>
      <c r="AC355" s="372"/>
    </row>
    <row r="356" spans="2:29" ht="15.75" customHeight="1" outlineLevel="1" x14ac:dyDescent="0.3">
      <c r="C356" s="343" t="s">
        <v>317</v>
      </c>
      <c r="D356" s="44" t="s">
        <v>54</v>
      </c>
      <c r="H356" s="192"/>
      <c r="J356" s="193"/>
      <c r="K356" s="235">
        <f t="shared" ref="K356:O356" si="182">K346/K$342</f>
        <v>9.2287111608717094</v>
      </c>
      <c r="L356" s="235">
        <f t="shared" si="182"/>
        <v>9.5225755701248627</v>
      </c>
      <c r="M356" s="235">
        <f t="shared" si="182"/>
        <v>9.7509202773946075</v>
      </c>
      <c r="N356" s="235">
        <f t="shared" si="182"/>
        <v>6.3944334665891445</v>
      </c>
      <c r="O356" s="235">
        <f t="shared" si="182"/>
        <v>4.2576588516938232</v>
      </c>
      <c r="P356" s="373"/>
      <c r="Q356" s="372"/>
      <c r="R356" s="372"/>
      <c r="S356" s="372"/>
      <c r="T356" s="372"/>
      <c r="U356" s="372"/>
      <c r="V356" s="372"/>
      <c r="W356" s="372"/>
      <c r="X356" s="372"/>
      <c r="Y356" s="372"/>
      <c r="Z356" s="372"/>
      <c r="AA356" s="372"/>
      <c r="AB356" s="372"/>
      <c r="AC356" s="372"/>
    </row>
    <row r="357" spans="2:29" ht="15.75" customHeight="1" outlineLevel="1" x14ac:dyDescent="0.3">
      <c r="C357" s="169"/>
      <c r="H357" s="192"/>
      <c r="J357" s="193"/>
      <c r="K357" s="174"/>
      <c r="L357" s="178"/>
      <c r="M357" s="174"/>
      <c r="N357" s="174"/>
      <c r="O357" s="174"/>
      <c r="P357" s="372"/>
      <c r="Q357" s="372"/>
      <c r="R357" s="372"/>
      <c r="S357" s="372"/>
      <c r="T357" s="372"/>
      <c r="U357" s="372"/>
      <c r="V357" s="372"/>
      <c r="W357" s="372"/>
      <c r="X357" s="372"/>
      <c r="Y357" s="372"/>
      <c r="Z357" s="372"/>
      <c r="AA357" s="372"/>
      <c r="AB357" s="372"/>
      <c r="AC357" s="372"/>
    </row>
    <row r="358" spans="2:29" ht="15.75" customHeight="1" outlineLevel="1" x14ac:dyDescent="0.3">
      <c r="C358" s="341" t="s">
        <v>297</v>
      </c>
      <c r="D358" s="44" t="s">
        <v>54</v>
      </c>
      <c r="H358" s="192"/>
      <c r="J358" s="193"/>
      <c r="K358" s="235">
        <f>K342/K351</f>
        <v>1.6873431549150548</v>
      </c>
      <c r="L358" s="235">
        <f t="shared" ref="L358:O358" si="183">L342/L351</f>
        <v>1.6253590174069619</v>
      </c>
      <c r="M358" s="235">
        <f t="shared" si="183"/>
        <v>1.5041765729732537</v>
      </c>
      <c r="N358" s="235">
        <f t="shared" si="183"/>
        <v>2.1573127177723137</v>
      </c>
      <c r="O358" s="235">
        <f t="shared" si="183"/>
        <v>2.9053913072916373</v>
      </c>
      <c r="P358" s="372"/>
      <c r="Q358" s="372"/>
      <c r="R358" s="372"/>
      <c r="S358" s="372"/>
      <c r="T358" s="372"/>
      <c r="U358" s="372"/>
      <c r="V358" s="372"/>
      <c r="W358" s="372"/>
      <c r="X358" s="372"/>
      <c r="Y358" s="372"/>
      <c r="Z358" s="372"/>
      <c r="AA358" s="372"/>
      <c r="AB358" s="372"/>
      <c r="AC358" s="372"/>
    </row>
    <row r="359" spans="2:29" ht="15.75" customHeight="1" outlineLevel="1" x14ac:dyDescent="0.3">
      <c r="C359" s="374" t="s">
        <v>332</v>
      </c>
      <c r="D359" s="44" t="s">
        <v>54</v>
      </c>
      <c r="H359" s="192"/>
      <c r="J359" s="193"/>
      <c r="K359" s="235">
        <f>K342/K349</f>
        <v>2.276847817281261</v>
      </c>
      <c r="L359" s="235">
        <f t="shared" ref="L359:O359" si="184">L342/L349</f>
        <v>2.1594433911311208</v>
      </c>
      <c r="M359" s="235">
        <f t="shared" si="184"/>
        <v>1.9649962293961578</v>
      </c>
      <c r="N359" s="235">
        <f t="shared" si="184"/>
        <v>2.7636526437251017</v>
      </c>
      <c r="O359" s="235">
        <f t="shared" si="184"/>
        <v>3.6493425368359191</v>
      </c>
      <c r="P359" s="372"/>
      <c r="Q359" s="372"/>
      <c r="R359" s="372"/>
      <c r="S359" s="372"/>
      <c r="T359" s="372"/>
      <c r="U359" s="372"/>
      <c r="V359" s="372"/>
      <c r="W359" s="372"/>
      <c r="X359" s="372"/>
      <c r="Y359" s="372"/>
      <c r="Z359" s="372"/>
      <c r="AA359" s="372"/>
      <c r="AB359" s="372"/>
      <c r="AC359" s="372"/>
    </row>
    <row r="360" spans="2:29" ht="15.75" customHeight="1" outlineLevel="1" x14ac:dyDescent="0.3">
      <c r="C360" s="169"/>
      <c r="H360" s="192"/>
      <c r="J360" s="193"/>
      <c r="K360" s="174"/>
      <c r="L360" s="178"/>
      <c r="M360" s="174"/>
      <c r="N360" s="174"/>
      <c r="O360" s="174"/>
      <c r="P360" s="372"/>
      <c r="Q360" s="372"/>
      <c r="R360" s="372"/>
      <c r="S360" s="372"/>
      <c r="T360" s="372"/>
      <c r="U360" s="372"/>
      <c r="V360" s="372"/>
      <c r="W360" s="372"/>
      <c r="X360" s="372"/>
      <c r="Y360" s="372"/>
      <c r="Z360" s="372"/>
      <c r="AA360" s="372"/>
      <c r="AB360" s="372"/>
      <c r="AC360" s="372"/>
    </row>
    <row r="361" spans="2:29" ht="15.75" customHeight="1" outlineLevel="1" x14ac:dyDescent="0.3">
      <c r="C361" s="169" t="s">
        <v>167</v>
      </c>
      <c r="D361" s="44" t="s">
        <v>175</v>
      </c>
      <c r="H361" s="192"/>
      <c r="J361" s="193"/>
      <c r="K361" s="174">
        <f>-SUM($J251:J252)</f>
        <v>0</v>
      </c>
      <c r="L361" s="174">
        <f>-SUM($J251:K252)</f>
        <v>202.37569778510783</v>
      </c>
      <c r="M361" s="174">
        <f>-SUM($J251:L252)</f>
        <v>343.56652357690865</v>
      </c>
      <c r="N361" s="174">
        <f>-SUM($J251:M252)</f>
        <v>384.59884446826288</v>
      </c>
      <c r="O361" s="174">
        <f>-SUM($J251:N252)</f>
        <v>405.54752649599453</v>
      </c>
    </row>
    <row r="362" spans="2:29" ht="15.75" customHeight="1" outlineLevel="1" x14ac:dyDescent="0.3">
      <c r="C362" s="169" t="s">
        <v>168</v>
      </c>
      <c r="D362" s="44" t="s">
        <v>33</v>
      </c>
      <c r="H362" s="192"/>
      <c r="J362" s="193"/>
      <c r="K362" s="137">
        <f>K361/$J$206</f>
        <v>0</v>
      </c>
      <c r="L362" s="137">
        <f t="shared" ref="L362:O362" si="185">L361/$J$206</f>
        <v>7.6145211676414679E-2</v>
      </c>
      <c r="M362" s="137">
        <f t="shared" si="185"/>
        <v>0.1292692054876696</v>
      </c>
      <c r="N362" s="137">
        <f t="shared" si="185"/>
        <v>0.1447078910316443</v>
      </c>
      <c r="O362" s="137">
        <f t="shared" si="185"/>
        <v>0.15258997294563642</v>
      </c>
    </row>
    <row r="363" spans="2:29" ht="15.75" customHeight="1" outlineLevel="1" x14ac:dyDescent="0.3">
      <c r="C363" s="169"/>
      <c r="H363" s="192"/>
      <c r="J363" s="193"/>
      <c r="K363" s="174"/>
      <c r="L363" s="178"/>
      <c r="M363" s="174"/>
      <c r="N363" s="174"/>
      <c r="O363" s="174"/>
    </row>
    <row r="364" spans="2:29" ht="15.75" customHeight="1" outlineLevel="1" x14ac:dyDescent="0.3">
      <c r="C364" s="169" t="s">
        <v>170</v>
      </c>
      <c r="D364" s="44" t="s">
        <v>33</v>
      </c>
      <c r="E364" s="137">
        <f>E155/614.3-1</f>
        <v>0.92055998697704711</v>
      </c>
      <c r="F364" s="137">
        <f>F155/E155-1</f>
        <v>0.14900830649262575</v>
      </c>
      <c r="G364" s="137">
        <f>G155/F155-1</f>
        <v>-0.6737238123340219</v>
      </c>
      <c r="H364" s="192"/>
      <c r="J364" s="193"/>
      <c r="K364" s="137">
        <f>K155/G155-1</f>
        <v>0.99495657924594449</v>
      </c>
      <c r="L364" s="137">
        <f>L155/K155-1</f>
        <v>0.18649401563940127</v>
      </c>
      <c r="M364" s="137">
        <f t="shared" ref="M364:O364" si="186">M155/L155-1</f>
        <v>6.2247019300023076E-2</v>
      </c>
      <c r="N364" s="137">
        <f t="shared" si="186"/>
        <v>0.3273563873325378</v>
      </c>
      <c r="O364" s="137">
        <f t="shared" si="186"/>
        <v>0.22745082281642182</v>
      </c>
    </row>
    <row r="365" spans="2:29" ht="15.75" customHeight="1" outlineLevel="1" x14ac:dyDescent="0.3">
      <c r="C365" s="169" t="s">
        <v>171</v>
      </c>
      <c r="D365" s="44" t="s">
        <v>33</v>
      </c>
      <c r="E365" s="237">
        <f>E342/E155</f>
        <v>0.38167486014578739</v>
      </c>
      <c r="F365" s="237">
        <f>F342/F155</f>
        <v>0.40011802891708459</v>
      </c>
      <c r="G365" s="237">
        <f>G342/G155</f>
        <v>0.33732760569749026</v>
      </c>
      <c r="H365" s="192"/>
      <c r="J365" s="193"/>
      <c r="K365" s="237">
        <f>K342/K155</f>
        <v>0.43387536438326707</v>
      </c>
      <c r="L365" s="237">
        <f t="shared" ref="L365:O365" si="187">L342/L155</f>
        <v>0.36021246905943649</v>
      </c>
      <c r="M365" s="237">
        <f t="shared" si="187"/>
        <v>0.32704300353059657</v>
      </c>
      <c r="N365" s="237">
        <f t="shared" si="187"/>
        <v>0.36865998417154944</v>
      </c>
      <c r="O365" s="237">
        <f t="shared" si="187"/>
        <v>0.41928287760371341</v>
      </c>
    </row>
    <row r="366" spans="2:29" ht="15.75" customHeight="1" x14ac:dyDescent="0.3">
      <c r="C366" s="169"/>
      <c r="K366" s="174"/>
      <c r="L366" s="178"/>
      <c r="M366" s="174"/>
      <c r="N366" s="174"/>
      <c r="O366" s="174"/>
    </row>
    <row r="367" spans="2:29" ht="15.75" customHeight="1" x14ac:dyDescent="0.3">
      <c r="B367" s="22"/>
      <c r="C367" s="23"/>
      <c r="D367" s="13"/>
      <c r="E367" s="14" t="str">
        <f>$E$86</f>
        <v>Historical</v>
      </c>
      <c r="F367" s="15"/>
      <c r="G367" s="15"/>
      <c r="H367" s="16" t="str">
        <f>+$H$86</f>
        <v>Transaction Adjustments:</v>
      </c>
      <c r="I367" s="15"/>
      <c r="J367" s="15"/>
      <c r="K367" s="16" t="str">
        <f>$K$86</f>
        <v>Projected</v>
      </c>
      <c r="L367" s="17"/>
      <c r="M367" s="15"/>
      <c r="N367" s="15"/>
      <c r="O367" s="15"/>
    </row>
    <row r="368" spans="2:29" ht="15.75" customHeight="1" x14ac:dyDescent="0.3">
      <c r="B368" s="4" t="s">
        <v>130</v>
      </c>
      <c r="C368" s="5"/>
      <c r="D368" s="34" t="str">
        <f>$D$5</f>
        <v>Units:</v>
      </c>
      <c r="E368" s="1">
        <f>$E$87</f>
        <v>43465</v>
      </c>
      <c r="F368" s="1">
        <f>$F$87</f>
        <v>43830</v>
      </c>
      <c r="G368" s="2">
        <f>$G$87</f>
        <v>44196</v>
      </c>
      <c r="H368" s="1" t="str">
        <f>+$H$87</f>
        <v>Debit</v>
      </c>
      <c r="I368" s="1" t="str">
        <f>+$I$87</f>
        <v>Credit</v>
      </c>
      <c r="J368" s="1">
        <f>+$J$87</f>
        <v>44196</v>
      </c>
      <c r="K368" s="54">
        <f>$K$87</f>
        <v>44561</v>
      </c>
      <c r="L368" s="1">
        <f>$L$87</f>
        <v>44926</v>
      </c>
      <c r="M368" s="1">
        <f>$M$87</f>
        <v>45291</v>
      </c>
      <c r="N368" s="1">
        <f>$N$87</f>
        <v>45657</v>
      </c>
      <c r="O368" s="1">
        <f>$O$87</f>
        <v>46022</v>
      </c>
    </row>
    <row r="369" spans="3:15" ht="15.75" customHeight="1" outlineLevel="1" x14ac:dyDescent="0.3">
      <c r="G369" s="172"/>
      <c r="H369" s="213"/>
      <c r="I369" s="172"/>
      <c r="J369" s="214"/>
    </row>
    <row r="370" spans="3:15" ht="15.75" customHeight="1" outlineLevel="1" x14ac:dyDescent="0.3">
      <c r="C370" s="166" t="s">
        <v>7</v>
      </c>
      <c r="D370" s="44" t="s">
        <v>53</v>
      </c>
      <c r="H370" s="192"/>
      <c r="J370" s="193"/>
      <c r="K370" s="24">
        <v>1</v>
      </c>
      <c r="L370" s="47">
        <v>2</v>
      </c>
      <c r="M370" s="47">
        <v>3</v>
      </c>
      <c r="N370" s="47">
        <v>4</v>
      </c>
      <c r="O370" s="47">
        <v>5</v>
      </c>
    </row>
    <row r="371" spans="3:15" ht="15.75" customHeight="1" outlineLevel="1" x14ac:dyDescent="0.3">
      <c r="H371" s="192"/>
      <c r="J371" s="193"/>
    </row>
    <row r="372" spans="3:15" ht="15.75" customHeight="1" outlineLevel="1" x14ac:dyDescent="0.3">
      <c r="C372" s="345" t="s">
        <v>318</v>
      </c>
      <c r="D372" s="44" t="s">
        <v>175</v>
      </c>
      <c r="H372" s="192"/>
      <c r="J372" s="193"/>
      <c r="M372" s="62">
        <f>IF(AND(M342&gt;$M$373,M342&lt;$N$373),15,IF(AND(M342&gt;$N$373,M342&lt;$O$373),20+15,IF(M342&gt;$O$373,25+20+15,0)))</f>
        <v>0</v>
      </c>
      <c r="N372" s="62">
        <f t="shared" ref="N372:O372" si="188">IF(AND(N342&gt;$M$373,N342&lt;$N$373),15,IF(AND(N342&gt;$N$373,N342&lt;$O$373),20+15,IF(N342&gt;$O$373,25+20+15,0)))</f>
        <v>0</v>
      </c>
      <c r="O372" s="62">
        <f t="shared" si="188"/>
        <v>35</v>
      </c>
    </row>
    <row r="373" spans="3:15" ht="15.75" customHeight="1" outlineLevel="1" x14ac:dyDescent="0.3">
      <c r="C373" s="345" t="s">
        <v>319</v>
      </c>
      <c r="D373" s="44" t="s">
        <v>175</v>
      </c>
      <c r="H373" s="192"/>
      <c r="J373" s="193"/>
      <c r="M373" s="63">
        <v>600</v>
      </c>
      <c r="N373" s="63">
        <v>700</v>
      </c>
      <c r="O373" s="63">
        <v>800</v>
      </c>
    </row>
    <row r="374" spans="3:15" ht="15.75" customHeight="1" outlineLevel="1" x14ac:dyDescent="0.3">
      <c r="H374" s="192"/>
      <c r="J374" s="193"/>
    </row>
    <row r="375" spans="3:15" ht="15.75" customHeight="1" outlineLevel="1" x14ac:dyDescent="0.3">
      <c r="C375" s="3" t="s">
        <v>23</v>
      </c>
      <c r="D375" s="44" t="s">
        <v>175</v>
      </c>
      <c r="H375" s="192"/>
      <c r="J375" s="193"/>
      <c r="K375" s="35"/>
      <c r="L375" s="35"/>
      <c r="M375" s="35"/>
      <c r="N375" s="35"/>
      <c r="O375" s="35"/>
    </row>
    <row r="376" spans="3:15" ht="15.75" customHeight="1" outlineLevel="1" x14ac:dyDescent="0.3">
      <c r="C376" s="169" t="s">
        <v>47</v>
      </c>
      <c r="D376" s="45" t="s">
        <v>54</v>
      </c>
      <c r="H376" s="192"/>
      <c r="J376" s="193"/>
      <c r="K376" s="332"/>
      <c r="L376" s="333"/>
      <c r="M376" s="334">
        <f>INDEX($K$33:$K$35,MATCH(Exit_Multiple,$G$33:$G$35,0))</f>
        <v>8.5</v>
      </c>
      <c r="N376" s="334">
        <f>INDEX($K$33:$K$35,MATCH(Exit_Multiple,$G$33:$G$35,0))</f>
        <v>8.5</v>
      </c>
      <c r="O376" s="334">
        <f>INDEX($K$33:$K$35,MATCH(Exit_Multiple,$G$33:$G$35,0))</f>
        <v>8.5</v>
      </c>
    </row>
    <row r="377" spans="3:15" ht="15.75" customHeight="1" outlineLevel="1" x14ac:dyDescent="0.3">
      <c r="C377" s="30" t="s">
        <v>49</v>
      </c>
      <c r="D377" s="44" t="s">
        <v>175</v>
      </c>
      <c r="E377" s="172"/>
      <c r="F377" s="172"/>
      <c r="G377" s="172"/>
      <c r="H377" s="213"/>
      <c r="I377" s="172"/>
      <c r="J377" s="214"/>
      <c r="K377" s="31"/>
      <c r="L377" s="31"/>
      <c r="M377" s="31">
        <f>M376*M342</f>
        <v>3091.4715100429776</v>
      </c>
      <c r="N377" s="31">
        <f t="shared" ref="N377:O377" si="189">N376*N342</f>
        <v>4625.6623683689377</v>
      </c>
      <c r="O377" s="31">
        <f t="shared" si="189"/>
        <v>6457.4218456758654</v>
      </c>
    </row>
    <row r="378" spans="3:15" ht="15.75" customHeight="1" outlineLevel="1" x14ac:dyDescent="0.3">
      <c r="C378" s="343" t="s">
        <v>313</v>
      </c>
      <c r="D378" s="44" t="s">
        <v>175</v>
      </c>
      <c r="H378" s="192"/>
      <c r="J378" s="193"/>
      <c r="K378" s="174"/>
      <c r="L378" s="174"/>
      <c r="M378" s="174">
        <f>M184</f>
        <v>200</v>
      </c>
      <c r="N378" s="174">
        <f t="shared" ref="N378:O378" si="190">N184</f>
        <v>200</v>
      </c>
      <c r="O378" s="174">
        <f t="shared" si="190"/>
        <v>200</v>
      </c>
    </row>
    <row r="379" spans="3:15" ht="15.75" customHeight="1" outlineLevel="1" x14ac:dyDescent="0.3">
      <c r="C379" s="343" t="s">
        <v>302</v>
      </c>
      <c r="D379" s="44" t="s">
        <v>175</v>
      </c>
      <c r="H379" s="192"/>
      <c r="J379" s="193"/>
      <c r="K379" s="174"/>
      <c r="L379" s="174"/>
      <c r="M379" s="174">
        <f>M331</f>
        <v>29.859727489485774</v>
      </c>
      <c r="N379" s="174">
        <f t="shared" ref="N379:O379" si="191">N331</f>
        <v>0</v>
      </c>
      <c r="O379" s="174">
        <f t="shared" si="191"/>
        <v>0</v>
      </c>
    </row>
    <row r="380" spans="3:15" ht="15.75" customHeight="1" outlineLevel="1" x14ac:dyDescent="0.3">
      <c r="C380" s="343" t="s">
        <v>312</v>
      </c>
      <c r="D380" s="44" t="s">
        <v>175</v>
      </c>
      <c r="H380" s="192"/>
      <c r="J380" s="193"/>
      <c r="K380" s="174"/>
      <c r="L380" s="174"/>
      <c r="M380" s="174">
        <f>-M344</f>
        <v>-3074.3103499539761</v>
      </c>
      <c r="N380" s="174">
        <f t="shared" ref="N380:O380" si="192">-N344</f>
        <v>-3106.2899559942789</v>
      </c>
      <c r="O380" s="174">
        <f t="shared" si="192"/>
        <v>-2961.628330407781</v>
      </c>
    </row>
    <row r="381" spans="3:15" ht="15.75" customHeight="1" outlineLevel="1" x14ac:dyDescent="0.3">
      <c r="C381" s="343" t="s">
        <v>300</v>
      </c>
      <c r="D381" s="44" t="s">
        <v>175</v>
      </c>
      <c r="H381" s="192"/>
      <c r="J381" s="193"/>
      <c r="K381" s="174"/>
      <c r="L381" s="174"/>
      <c r="M381" s="174">
        <f>-M208</f>
        <v>-672.12403054788297</v>
      </c>
      <c r="N381" s="174">
        <f t="shared" ref="N381:O381" si="193">-N208</f>
        <v>-573.53242676340835</v>
      </c>
      <c r="O381" s="174">
        <f t="shared" si="193"/>
        <v>-472.90099669373774</v>
      </c>
    </row>
    <row r="382" spans="3:15" ht="15.75" customHeight="1" outlineLevel="1" x14ac:dyDescent="0.3">
      <c r="C382" s="344" t="s">
        <v>301</v>
      </c>
      <c r="D382" s="45" t="s">
        <v>175</v>
      </c>
      <c r="E382" s="176"/>
      <c r="F382" s="176"/>
      <c r="G382" s="176"/>
      <c r="H382" s="211"/>
      <c r="I382" s="176"/>
      <c r="J382" s="212"/>
      <c r="K382" s="188"/>
      <c r="L382" s="188"/>
      <c r="M382" s="188">
        <f>-M213</f>
        <v>-120.68371756421385</v>
      </c>
      <c r="N382" s="188">
        <f t="shared" ref="N382:O382" si="194">-N213</f>
        <v>-113.77491133569917</v>
      </c>
      <c r="O382" s="188">
        <f t="shared" si="194"/>
        <v>-89.751300081962313</v>
      </c>
    </row>
    <row r="383" spans="3:15" ht="15.75" customHeight="1" outlineLevel="1" x14ac:dyDescent="0.3">
      <c r="C383" s="3" t="s">
        <v>48</v>
      </c>
      <c r="D383" s="44" t="s">
        <v>175</v>
      </c>
      <c r="H383" s="192"/>
      <c r="J383" s="193"/>
      <c r="K383" s="35"/>
      <c r="L383" s="35"/>
      <c r="M383" s="35">
        <f>SUM(M377:M382)</f>
        <v>-545.78686053360934</v>
      </c>
      <c r="N383" s="35">
        <f t="shared" ref="N383:O383" si="195">SUM(N377:N382)</f>
        <v>1032.0650742755513</v>
      </c>
      <c r="O383" s="35">
        <f t="shared" si="195"/>
        <v>3133.1412184923843</v>
      </c>
    </row>
    <row r="384" spans="3:15" ht="15.75" customHeight="1" outlineLevel="1" x14ac:dyDescent="0.3">
      <c r="H384" s="192"/>
      <c r="J384" s="193"/>
    </row>
    <row r="385" spans="3:16" ht="15.75" customHeight="1" outlineLevel="1" x14ac:dyDescent="0.3">
      <c r="C385" s="8" t="s">
        <v>50</v>
      </c>
      <c r="D385" s="168"/>
      <c r="E385" s="168"/>
      <c r="F385" s="168"/>
      <c r="G385" s="168"/>
      <c r="H385" s="201"/>
      <c r="I385" s="168"/>
      <c r="J385" s="202"/>
      <c r="K385" s="168"/>
      <c r="L385" s="168"/>
      <c r="M385" s="168"/>
      <c r="N385" s="168"/>
      <c r="O385" s="168"/>
      <c r="P385" s="178"/>
    </row>
    <row r="386" spans="3:16" ht="15.75" customHeight="1" outlineLevel="1" x14ac:dyDescent="0.3">
      <c r="C386" s="169" t="s">
        <v>52</v>
      </c>
      <c r="D386" s="44" t="s">
        <v>54</v>
      </c>
      <c r="H386" s="192"/>
      <c r="J386" s="193"/>
      <c r="K386" s="179"/>
      <c r="L386" s="179"/>
      <c r="M386" s="179">
        <f>M383/Total_Equity</f>
        <v>-0.52145432061246988</v>
      </c>
      <c r="N386" s="179">
        <f>N383/Total_Equity</f>
        <v>0.98605303837481306</v>
      </c>
      <c r="O386" s="179">
        <f>O383/Total_Equity</f>
        <v>2.993457966127171</v>
      </c>
    </row>
    <row r="387" spans="3:16" ht="15.75" customHeight="1" outlineLevel="1" x14ac:dyDescent="0.3">
      <c r="C387" s="169" t="s">
        <v>51</v>
      </c>
      <c r="D387" s="44" t="s">
        <v>33</v>
      </c>
      <c r="H387" s="192"/>
      <c r="J387" s="193"/>
      <c r="K387" s="52"/>
      <c r="L387" s="52"/>
      <c r="M387" s="52">
        <f>(M383/Total_Equity)^(1/M370)-1</f>
        <v>-1.8048941237051115</v>
      </c>
      <c r="N387" s="52">
        <f>(N383/Total_Equity)^(1/N370)-1</f>
        <v>-3.5051262453609233E-3</v>
      </c>
      <c r="O387" s="52">
        <f>(O383/Total_Equity)^(1/O370)-1</f>
        <v>0.24518715748271047</v>
      </c>
    </row>
    <row r="388" spans="3:16" ht="15.75" customHeight="1" outlineLevel="1" x14ac:dyDescent="0.3">
      <c r="H388" s="192"/>
      <c r="J388" s="193"/>
    </row>
    <row r="389" spans="3:16" ht="15.75" customHeight="1" outlineLevel="1" x14ac:dyDescent="0.3">
      <c r="C389" s="8" t="s">
        <v>154</v>
      </c>
      <c r="D389" s="168"/>
      <c r="E389" s="168"/>
      <c r="F389" s="168"/>
      <c r="G389" s="168"/>
      <c r="H389" s="201"/>
      <c r="I389" s="168"/>
      <c r="J389" s="202"/>
      <c r="K389" s="168"/>
      <c r="L389" s="168"/>
      <c r="M389" s="168"/>
      <c r="N389" s="168"/>
      <c r="O389" s="168"/>
    </row>
    <row r="390" spans="3:16" ht="15.75" customHeight="1" outlineLevel="1" x14ac:dyDescent="0.3">
      <c r="C390" s="19" t="s">
        <v>155</v>
      </c>
      <c r="H390" s="192"/>
      <c r="J390" s="193"/>
    </row>
    <row r="391" spans="3:16" ht="15.75" customHeight="1" outlineLevel="1" x14ac:dyDescent="0.3">
      <c r="C391" s="232" t="s">
        <v>156</v>
      </c>
      <c r="D391" s="44" t="s">
        <v>175</v>
      </c>
      <c r="H391" s="192"/>
      <c r="J391" s="196">
        <f>-Mgmt_Equity</f>
        <v>-108.47999999999998</v>
      </c>
      <c r="O391" s="178"/>
    </row>
    <row r="392" spans="3:16" ht="15.75" customHeight="1" outlineLevel="1" x14ac:dyDescent="0.3">
      <c r="C392" s="236" t="s">
        <v>131</v>
      </c>
      <c r="D392" s="44" t="s">
        <v>175</v>
      </c>
      <c r="H392" s="192"/>
      <c r="J392" s="193"/>
      <c r="K392" s="174"/>
      <c r="L392" s="174"/>
      <c r="M392" s="174">
        <f>M372</f>
        <v>0</v>
      </c>
      <c r="N392" s="174">
        <f t="shared" ref="N392:O392" si="196">N372</f>
        <v>0</v>
      </c>
      <c r="O392" s="174">
        <f t="shared" si="196"/>
        <v>35</v>
      </c>
    </row>
    <row r="393" spans="3:16" ht="15.75" customHeight="1" outlineLevel="1" x14ac:dyDescent="0.3">
      <c r="C393" s="236" t="s">
        <v>157</v>
      </c>
      <c r="D393" s="45" t="s">
        <v>175</v>
      </c>
      <c r="H393" s="192"/>
      <c r="J393" s="193"/>
      <c r="K393" s="174"/>
      <c r="L393" s="174"/>
      <c r="M393" s="174">
        <f>M383*Mgmt_Pct</f>
        <v>-56.56736470004072</v>
      </c>
      <c r="N393" s="174">
        <f>N383*Mgmt_Pct</f>
        <v>106.9670336028997</v>
      </c>
      <c r="O393" s="174">
        <f>O383*Mgmt_Pct</f>
        <v>324.73032016547546</v>
      </c>
    </row>
    <row r="394" spans="3:16" ht="15.75" customHeight="1" outlineLevel="1" x14ac:dyDescent="0.3">
      <c r="C394" s="40" t="s">
        <v>158</v>
      </c>
      <c r="D394" s="44" t="s">
        <v>175</v>
      </c>
      <c r="E394" s="172"/>
      <c r="F394" s="172"/>
      <c r="G394" s="172"/>
      <c r="H394" s="213"/>
      <c r="I394" s="172"/>
      <c r="J394" s="72">
        <f>SUM(J391:J393)</f>
        <v>-108.47999999999998</v>
      </c>
      <c r="K394" s="31">
        <f t="shared" ref="K394:O394" si="197">SUM(K391:K393)</f>
        <v>0</v>
      </c>
      <c r="L394" s="31">
        <f t="shared" si="197"/>
        <v>0</v>
      </c>
      <c r="M394" s="31">
        <f t="shared" si="197"/>
        <v>-56.56736470004072</v>
      </c>
      <c r="N394" s="31">
        <f t="shared" si="197"/>
        <v>106.9670336028997</v>
      </c>
      <c r="O394" s="31">
        <f t="shared" si="197"/>
        <v>359.73032016547546</v>
      </c>
    </row>
    <row r="395" spans="3:16" ht="15.75" customHeight="1" outlineLevel="1" x14ac:dyDescent="0.3">
      <c r="H395" s="192"/>
      <c r="J395" s="193"/>
    </row>
    <row r="396" spans="3:16" ht="15.75" customHeight="1" outlineLevel="1" x14ac:dyDescent="0.3">
      <c r="C396" s="25" t="s">
        <v>52</v>
      </c>
      <c r="D396" s="44" t="s">
        <v>54</v>
      </c>
      <c r="H396" s="192"/>
      <c r="J396" s="146"/>
      <c r="M396" s="412">
        <f>-M394/$J$394</f>
        <v>-0.52145432061246988</v>
      </c>
      <c r="N396" s="412">
        <f t="shared" ref="N396:O396" si="198">-N394/$J$394</f>
        <v>0.98605303837481317</v>
      </c>
      <c r="O396" s="412">
        <f t="shared" si="198"/>
        <v>3.3160980841212715</v>
      </c>
    </row>
    <row r="397" spans="3:16" ht="15.75" customHeight="1" outlineLevel="1" x14ac:dyDescent="0.3">
      <c r="C397" s="25" t="s">
        <v>51</v>
      </c>
      <c r="D397" s="44" t="s">
        <v>33</v>
      </c>
      <c r="H397" s="192"/>
      <c r="J397" s="147"/>
      <c r="M397" s="392">
        <f>(M394/-J394)^1/M370-1</f>
        <v>-1.1738181068708233</v>
      </c>
      <c r="N397" s="392">
        <f>IRR(K$394:N394)</f>
        <v>0.89096724180298792</v>
      </c>
      <c r="O397" s="392">
        <f>IRR(L$394:O394)</f>
        <v>2.6386723262250729</v>
      </c>
    </row>
    <row r="398" spans="3:16" ht="15.75" customHeight="1" outlineLevel="1" x14ac:dyDescent="0.3">
      <c r="H398" s="192"/>
      <c r="J398" s="193"/>
    </row>
    <row r="399" spans="3:16" ht="15.75" customHeight="1" outlineLevel="1" x14ac:dyDescent="0.3">
      <c r="C399" s="8" t="s">
        <v>161</v>
      </c>
      <c r="D399" s="168"/>
      <c r="E399" s="168"/>
      <c r="F399" s="168"/>
      <c r="G399" s="168"/>
      <c r="H399" s="201"/>
      <c r="I399" s="168"/>
      <c r="J399" s="202"/>
      <c r="K399" s="168"/>
      <c r="L399" s="168"/>
      <c r="M399" s="168"/>
      <c r="N399" s="168"/>
      <c r="O399" s="168"/>
    </row>
    <row r="400" spans="3:16" ht="15.75" customHeight="1" outlineLevel="1" x14ac:dyDescent="0.3">
      <c r="C400" s="19" t="s">
        <v>162</v>
      </c>
      <c r="H400" s="192"/>
      <c r="J400" s="193"/>
    </row>
    <row r="401" spans="2:26" ht="15.75" customHeight="1" outlineLevel="1" x14ac:dyDescent="0.3">
      <c r="C401" s="232" t="s">
        <v>156</v>
      </c>
      <c r="D401" s="44" t="s">
        <v>175</v>
      </c>
      <c r="H401" s="192"/>
      <c r="J401" s="196">
        <f>-Sponsor_Equity</f>
        <v>-938.18284075000065</v>
      </c>
    </row>
    <row r="402" spans="2:26" ht="15.75" customHeight="1" outlineLevel="1" x14ac:dyDescent="0.3">
      <c r="C402" s="236" t="s">
        <v>159</v>
      </c>
      <c r="D402" s="44" t="s">
        <v>175</v>
      </c>
      <c r="H402" s="192"/>
      <c r="J402" s="193"/>
      <c r="K402" s="174"/>
      <c r="L402" s="174"/>
      <c r="M402" s="174">
        <f>-M392</f>
        <v>0</v>
      </c>
      <c r="N402" s="174">
        <f t="shared" ref="N402:O402" si="199">-N392</f>
        <v>0</v>
      </c>
      <c r="O402" s="174">
        <f t="shared" si="199"/>
        <v>-35</v>
      </c>
    </row>
    <row r="403" spans="2:26" ht="15.75" customHeight="1" outlineLevel="1" x14ac:dyDescent="0.3">
      <c r="C403" s="236" t="s">
        <v>157</v>
      </c>
      <c r="D403" s="45" t="s">
        <v>175</v>
      </c>
      <c r="H403" s="192"/>
      <c r="J403" s="193"/>
      <c r="K403" s="174"/>
      <c r="L403" s="174"/>
      <c r="M403" s="174">
        <f>M383*Sponsor_Pct</f>
        <v>-489.2194958335686</v>
      </c>
      <c r="N403" s="174">
        <f>N383*Sponsor_Pct</f>
        <v>925.09804067265156</v>
      </c>
      <c r="O403" s="174">
        <f>O383*Sponsor_Pct</f>
        <v>2808.4108983269084</v>
      </c>
    </row>
    <row r="404" spans="2:26" ht="15.75" customHeight="1" outlineLevel="1" x14ac:dyDescent="0.3">
      <c r="C404" s="40" t="s">
        <v>158</v>
      </c>
      <c r="D404" s="44" t="s">
        <v>175</v>
      </c>
      <c r="E404" s="172"/>
      <c r="F404" s="172"/>
      <c r="G404" s="172"/>
      <c r="H404" s="213"/>
      <c r="I404" s="172"/>
      <c r="J404" s="72">
        <f>SUM(J401:J403)</f>
        <v>-938.18284075000065</v>
      </c>
      <c r="K404" s="31">
        <f t="shared" ref="K404:O404" si="200">SUM(K401:K403)</f>
        <v>0</v>
      </c>
      <c r="L404" s="31">
        <f t="shared" si="200"/>
        <v>0</v>
      </c>
      <c r="M404" s="31">
        <f t="shared" si="200"/>
        <v>-489.2194958335686</v>
      </c>
      <c r="N404" s="31">
        <f t="shared" si="200"/>
        <v>925.09804067265156</v>
      </c>
      <c r="O404" s="31">
        <f t="shared" si="200"/>
        <v>2773.4108983269084</v>
      </c>
    </row>
    <row r="405" spans="2:26" ht="15.75" customHeight="1" outlineLevel="1" x14ac:dyDescent="0.3">
      <c r="H405" s="192"/>
      <c r="J405" s="193"/>
    </row>
    <row r="406" spans="2:26" ht="15.75" customHeight="1" outlineLevel="1" x14ac:dyDescent="0.3">
      <c r="C406" s="25" t="s">
        <v>163</v>
      </c>
      <c r="D406" s="44" t="s">
        <v>54</v>
      </c>
      <c r="H406" s="192"/>
      <c r="J406" s="146"/>
      <c r="M406" s="412">
        <f>-M404/$J$404</f>
        <v>-0.52145432061246988</v>
      </c>
      <c r="N406" s="412">
        <f t="shared" ref="N406:O406" si="201">-N404/$J$404</f>
        <v>0.98605303837481306</v>
      </c>
      <c r="O406" s="412">
        <f t="shared" si="201"/>
        <v>2.9561518052385103</v>
      </c>
    </row>
    <row r="407" spans="2:26" ht="15.75" customHeight="1" outlineLevel="1" x14ac:dyDescent="0.3">
      <c r="C407" s="25" t="s">
        <v>164</v>
      </c>
      <c r="D407" s="44" t="s">
        <v>33</v>
      </c>
      <c r="H407" s="192"/>
      <c r="J407" s="147"/>
      <c r="M407" s="310">
        <f>-IRR($J404:O404)</f>
        <v>-0.27472644581627681</v>
      </c>
      <c r="N407" s="310">
        <f>IRR($J404:P404)</f>
        <v>0.27472644581627681</v>
      </c>
      <c r="O407" s="310">
        <f>IRR($J404:Q404)</f>
        <v>0.27472644581627681</v>
      </c>
    </row>
    <row r="409" spans="2:26" ht="15.75" customHeight="1" x14ac:dyDescent="0.3">
      <c r="B409" s="4" t="s">
        <v>173</v>
      </c>
      <c r="C409" s="5"/>
      <c r="D409" s="6"/>
      <c r="E409" s="5"/>
      <c r="F409" s="5"/>
      <c r="G409" s="5"/>
      <c r="H409" s="5"/>
      <c r="I409" s="5"/>
      <c r="J409" s="5"/>
      <c r="K409" s="5"/>
      <c r="L409" s="6"/>
      <c r="M409" s="5"/>
      <c r="N409" s="5"/>
      <c r="O409" s="5"/>
      <c r="P409" s="377"/>
      <c r="Q409" s="377"/>
      <c r="R409" s="377"/>
      <c r="S409" s="377"/>
      <c r="T409" s="377"/>
      <c r="U409" s="377"/>
      <c r="V409" s="377"/>
      <c r="W409" s="377"/>
      <c r="X409" s="377"/>
      <c r="Y409" s="377"/>
    </row>
    <row r="410" spans="2:26" ht="15.75" customHeight="1" outlineLevel="1" x14ac:dyDescent="0.3">
      <c r="P410" s="377"/>
      <c r="Q410" s="377"/>
      <c r="R410" s="377"/>
      <c r="S410" s="377"/>
      <c r="T410" s="377"/>
      <c r="U410" s="377"/>
      <c r="V410" s="377"/>
      <c r="W410" s="377"/>
      <c r="X410" s="377"/>
      <c r="Y410" s="377"/>
    </row>
    <row r="411" spans="2:26" ht="15.75" customHeight="1" outlineLevel="1" x14ac:dyDescent="0.3">
      <c r="C411" s="48"/>
      <c r="D411" s="49" t="s">
        <v>339</v>
      </c>
      <c r="E411" s="414"/>
      <c r="F411" s="414"/>
      <c r="G411" s="414"/>
      <c r="H411" s="414"/>
      <c r="I411" s="414"/>
      <c r="J411" s="414"/>
      <c r="K411" s="414"/>
      <c r="L411" s="414"/>
      <c r="M411" s="415"/>
      <c r="P411" s="377"/>
      <c r="Q411" s="377"/>
      <c r="R411" s="377"/>
      <c r="S411" s="377"/>
      <c r="T411" s="377"/>
      <c r="U411" s="377"/>
      <c r="V411" s="377"/>
      <c r="W411" s="377"/>
      <c r="X411" s="377"/>
      <c r="Y411" s="377"/>
      <c r="Z411" s="372"/>
    </row>
    <row r="412" spans="2:26" ht="15.75" customHeight="1" outlineLevel="1" x14ac:dyDescent="0.3">
      <c r="C412" s="413" t="s">
        <v>338</v>
      </c>
      <c r="D412" s="50">
        <f>O407</f>
        <v>0.27472644581627681</v>
      </c>
      <c r="E412" s="361">
        <v>6.5</v>
      </c>
      <c r="F412" s="362">
        <f>E412+0.5</f>
        <v>7</v>
      </c>
      <c r="G412" s="362">
        <f t="shared" ref="G412:M412" si="202">F412+0.5</f>
        <v>7.5</v>
      </c>
      <c r="H412" s="362">
        <f t="shared" si="202"/>
        <v>8</v>
      </c>
      <c r="I412" s="362">
        <f t="shared" si="202"/>
        <v>8.5</v>
      </c>
      <c r="J412" s="362">
        <f t="shared" si="202"/>
        <v>9</v>
      </c>
      <c r="K412" s="362">
        <f t="shared" si="202"/>
        <v>9.5</v>
      </c>
      <c r="L412" s="362">
        <f t="shared" si="202"/>
        <v>10</v>
      </c>
      <c r="M412" s="362">
        <f t="shared" si="202"/>
        <v>10.5</v>
      </c>
      <c r="P412" s="377"/>
      <c r="Q412" s="377"/>
      <c r="R412" s="377"/>
      <c r="S412" s="377"/>
      <c r="T412" s="377"/>
      <c r="U412" s="377"/>
      <c r="V412" s="377"/>
      <c r="W412" s="377"/>
      <c r="X412" s="377"/>
      <c r="Y412" s="377"/>
      <c r="Z412" s="372"/>
    </row>
    <row r="413" spans="2:26" ht="15.75" customHeight="1" outlineLevel="1" x14ac:dyDescent="0.3">
      <c r="C413" s="416"/>
      <c r="D413" s="51" t="str">
        <f>G33</f>
        <v>Upside</v>
      </c>
      <c r="E413" s="321">
        <f t="dataTable" ref="E413:M415" dt2D="1" dtr="1" r1="O376" r2="K26" ca="1"/>
        <v>0.44455398062696561</v>
      </c>
      <c r="F413" s="321">
        <v>0.46662403001987007</v>
      </c>
      <c r="G413" s="321">
        <v>0.48728951851152114</v>
      </c>
      <c r="H413" s="321">
        <v>0.50674243880566672</v>
      </c>
      <c r="I413" s="321">
        <v>0.52513629778166382</v>
      </c>
      <c r="J413" s="321">
        <v>0.54259596797563536</v>
      </c>
      <c r="K413" s="363">
        <v>0.55922453870845823</v>
      </c>
      <c r="L413" s="321">
        <v>0.57510820891558234</v>
      </c>
      <c r="M413" s="321">
        <v>0.59031986248178137</v>
      </c>
      <c r="P413" s="377"/>
      <c r="Q413" s="377"/>
      <c r="R413" s="377"/>
      <c r="S413" s="377"/>
      <c r="T413" s="377"/>
      <c r="U413" s="377"/>
      <c r="V413" s="377"/>
      <c r="W413" s="377"/>
      <c r="X413" s="377"/>
      <c r="Y413" s="377"/>
      <c r="Z413" s="372"/>
    </row>
    <row r="414" spans="2:26" ht="15.75" customHeight="1" outlineLevel="1" x14ac:dyDescent="0.3">
      <c r="C414" s="416"/>
      <c r="D414" s="51" t="str">
        <f t="shared" ref="D414:D415" si="203">G34</f>
        <v>Base</v>
      </c>
      <c r="E414" s="321">
        <v>0.14293354501154432</v>
      </c>
      <c r="F414" s="321">
        <v>0.18171779738009408</v>
      </c>
      <c r="G414" s="321">
        <v>0.21596630608615874</v>
      </c>
      <c r="H414" s="321">
        <v>0.24673127235995884</v>
      </c>
      <c r="I414" s="363">
        <v>0.27472644581627681</v>
      </c>
      <c r="J414" s="321">
        <v>0.30046019387777423</v>
      </c>
      <c r="K414" s="321">
        <v>0.32430850598254746</v>
      </c>
      <c r="L414" s="321">
        <v>0.34655794231859915</v>
      </c>
      <c r="M414" s="321">
        <v>0.3674323255818559</v>
      </c>
      <c r="P414" s="377"/>
      <c r="Q414" s="377"/>
      <c r="R414" s="377"/>
      <c r="S414" s="377"/>
      <c r="T414" s="377"/>
      <c r="U414" s="377"/>
      <c r="V414" s="377"/>
      <c r="W414" s="377"/>
      <c r="X414" s="377"/>
      <c r="Y414" s="377"/>
      <c r="Z414" s="372"/>
    </row>
    <row r="415" spans="2:26" ht="15.75" customHeight="1" outlineLevel="1" x14ac:dyDescent="0.3">
      <c r="C415" s="417"/>
      <c r="D415" s="51" t="str">
        <f t="shared" si="203"/>
        <v>Downside</v>
      </c>
      <c r="E415" s="321">
        <v>-0.30553726010554183</v>
      </c>
      <c r="F415" s="321">
        <v>-0.19379685649896927</v>
      </c>
      <c r="G415" s="363">
        <v>-0.11517042715628778</v>
      </c>
      <c r="H415" s="321">
        <v>-5.3788763716312027E-2</v>
      </c>
      <c r="I415" s="321">
        <v>-3.1014236711377485E-3</v>
      </c>
      <c r="J415" s="321">
        <v>4.0262705353960593E-2</v>
      </c>
      <c r="K415" s="321">
        <v>7.827736497514004E-2</v>
      </c>
      <c r="L415" s="321">
        <v>0.11220186422040679</v>
      </c>
      <c r="M415" s="321">
        <v>0.14289085907944177</v>
      </c>
      <c r="P415" s="377"/>
      <c r="Q415" s="377"/>
      <c r="R415" s="377"/>
      <c r="S415" s="377"/>
      <c r="T415" s="377"/>
      <c r="U415" s="377"/>
      <c r="V415" s="377"/>
      <c r="W415" s="377"/>
      <c r="X415" s="377"/>
      <c r="Y415" s="377"/>
      <c r="Z415" s="372"/>
    </row>
    <row r="416" spans="2:26" ht="15.75" customHeight="1" outlineLevel="1" x14ac:dyDescent="0.3">
      <c r="P416" s="377"/>
      <c r="Q416" s="377"/>
      <c r="R416" s="377"/>
      <c r="S416" s="377"/>
      <c r="T416" s="377"/>
      <c r="U416" s="377"/>
      <c r="V416" s="377"/>
      <c r="W416" s="377"/>
      <c r="X416" s="377"/>
      <c r="Y416" s="377"/>
      <c r="Z416" s="372"/>
    </row>
    <row r="417" spans="16:26" ht="15.75" customHeight="1" x14ac:dyDescent="0.3">
      <c r="P417" s="377"/>
      <c r="Q417" s="377"/>
      <c r="R417" s="377"/>
      <c r="S417" s="377"/>
      <c r="T417" s="377"/>
      <c r="U417" s="377"/>
      <c r="V417" s="377"/>
      <c r="W417" s="377"/>
      <c r="X417" s="377"/>
      <c r="Y417" s="377"/>
      <c r="Z417" s="372"/>
    </row>
    <row r="418" spans="16:26" ht="15.75" customHeight="1" x14ac:dyDescent="0.3">
      <c r="P418" s="378"/>
      <c r="Q418" s="377"/>
      <c r="R418" s="377"/>
      <c r="S418" s="377"/>
      <c r="T418" s="377"/>
      <c r="U418" s="377"/>
      <c r="V418" s="377"/>
      <c r="W418" s="377"/>
      <c r="X418" s="377"/>
      <c r="Y418" s="377"/>
      <c r="Z418" s="372"/>
    </row>
    <row r="419" spans="16:26" ht="15.75" customHeight="1" x14ac:dyDescent="0.3">
      <c r="P419" s="372"/>
      <c r="Q419" s="372"/>
      <c r="R419" s="372"/>
      <c r="S419" s="372"/>
      <c r="T419" s="372"/>
      <c r="U419" s="372"/>
      <c r="V419" s="372"/>
      <c r="W419" s="372"/>
      <c r="X419" s="372"/>
      <c r="Y419" s="372"/>
      <c r="Z419" s="372"/>
    </row>
    <row r="420" spans="16:26" ht="15.75" customHeight="1" x14ac:dyDescent="0.3">
      <c r="P420" s="372"/>
      <c r="Q420" s="372"/>
      <c r="R420" s="372"/>
      <c r="S420" s="372"/>
      <c r="T420" s="372"/>
      <c r="U420" s="372"/>
      <c r="V420" s="372"/>
      <c r="W420" s="372"/>
      <c r="X420" s="372"/>
      <c r="Y420" s="372"/>
      <c r="Z420" s="372"/>
    </row>
    <row r="421" spans="16:26" ht="15.75" customHeight="1" x14ac:dyDescent="0.3">
      <c r="P421" s="372"/>
      <c r="Q421" s="372"/>
      <c r="R421" s="372"/>
      <c r="S421" s="372"/>
      <c r="T421" s="372"/>
      <c r="U421" s="372"/>
      <c r="V421" s="372"/>
      <c r="W421" s="372"/>
      <c r="X421" s="372"/>
      <c r="Y421" s="372"/>
      <c r="Z421" s="372"/>
    </row>
    <row r="422" spans="16:26" ht="15.75" customHeight="1" x14ac:dyDescent="0.3">
      <c r="P422" s="372"/>
      <c r="Q422" s="372"/>
      <c r="R422" s="372"/>
      <c r="S422" s="372"/>
      <c r="T422" s="372"/>
      <c r="U422" s="372"/>
      <c r="V422" s="372"/>
      <c r="W422" s="372"/>
      <c r="X422" s="372"/>
      <c r="Y422" s="372"/>
      <c r="Z422" s="372"/>
    </row>
    <row r="423" spans="16:26" ht="15.75" customHeight="1" x14ac:dyDescent="0.3">
      <c r="P423" s="372"/>
      <c r="Q423" s="372"/>
      <c r="R423" s="372"/>
      <c r="S423" s="372"/>
      <c r="T423" s="372"/>
      <c r="U423" s="372"/>
      <c r="V423" s="372"/>
      <c r="W423" s="372"/>
      <c r="X423" s="372"/>
      <c r="Y423" s="372"/>
      <c r="Z423" s="372"/>
    </row>
    <row r="424" spans="16:26" ht="15.75" customHeight="1" x14ac:dyDescent="0.3">
      <c r="P424" s="373"/>
      <c r="Q424" s="372"/>
      <c r="R424" s="372"/>
      <c r="S424" s="372"/>
      <c r="T424" s="372"/>
      <c r="U424" s="372"/>
      <c r="V424" s="372"/>
      <c r="W424" s="372"/>
      <c r="X424" s="372"/>
      <c r="Y424" s="372"/>
      <c r="Z424" s="372"/>
    </row>
    <row r="425" spans="16:26" ht="15.75" customHeight="1" x14ac:dyDescent="0.3">
      <c r="P425" s="372"/>
      <c r="Q425" s="372"/>
      <c r="R425" s="372"/>
      <c r="S425" s="372"/>
      <c r="T425" s="372"/>
      <c r="U425" s="372"/>
      <c r="V425" s="372"/>
      <c r="W425" s="372"/>
      <c r="X425" s="372"/>
      <c r="Y425" s="372"/>
      <c r="Z425" s="372"/>
    </row>
    <row r="426" spans="16:26" ht="15.75" customHeight="1" x14ac:dyDescent="0.3">
      <c r="P426" s="372"/>
      <c r="Q426" s="372"/>
      <c r="R426" s="372"/>
      <c r="S426" s="372"/>
      <c r="T426" s="372"/>
      <c r="U426" s="372"/>
      <c r="V426" s="372"/>
      <c r="W426" s="372"/>
      <c r="X426" s="372"/>
      <c r="Y426" s="372"/>
      <c r="Z426" s="372"/>
    </row>
    <row r="427" spans="16:26" ht="15.75" customHeight="1" x14ac:dyDescent="0.3">
      <c r="P427" s="372"/>
      <c r="Q427" s="372"/>
      <c r="R427" s="372"/>
      <c r="S427" s="372"/>
      <c r="T427" s="372"/>
      <c r="U427" s="372"/>
      <c r="V427" s="372"/>
      <c r="W427" s="372"/>
      <c r="X427" s="372"/>
      <c r="Y427" s="372"/>
      <c r="Z427" s="372"/>
    </row>
    <row r="428" spans="16:26" ht="15.75" customHeight="1" x14ac:dyDescent="0.3">
      <c r="P428" s="372"/>
      <c r="Q428" s="372"/>
      <c r="R428" s="372"/>
      <c r="S428" s="372"/>
      <c r="T428" s="372"/>
      <c r="U428" s="372"/>
      <c r="V428" s="372"/>
      <c r="W428" s="372"/>
      <c r="X428" s="372"/>
      <c r="Y428" s="372"/>
      <c r="Z428" s="372"/>
    </row>
    <row r="429" spans="16:26" ht="15.75" customHeight="1" x14ac:dyDescent="0.3">
      <c r="P429" s="372"/>
      <c r="Q429" s="372"/>
      <c r="R429" s="372"/>
      <c r="S429" s="372"/>
      <c r="T429" s="372"/>
      <c r="U429" s="372"/>
      <c r="V429" s="372"/>
      <c r="W429" s="372"/>
      <c r="X429" s="372"/>
      <c r="Y429" s="372"/>
      <c r="Z429" s="372"/>
    </row>
  </sheetData>
  <dataValidations disablePrompts="1" count="3">
    <dataValidation type="list" allowBlank="1" showInputMessage="1" showErrorMessage="1" sqref="K26" xr:uid="{0DDC7530-00EC-4560-954E-233ED5973586}">
      <formula1>$C$93:$C$95</formula1>
    </dataValidation>
    <dataValidation type="list" allowBlank="1" showInputMessage="1" showErrorMessage="1" sqref="K36" xr:uid="{0404D1EC-7C36-4F5B-8A2E-5F6DBE091AD3}">
      <formula1>$C$101:$C$103</formula1>
    </dataValidation>
    <dataValidation type="list" allowBlank="1" showInputMessage="1" showErrorMessage="1" sqref="K30" xr:uid="{684F1BB0-6EC2-47A6-B833-AB6AE2970B73}">
      <formula1>$F$65:$H$65</formula1>
    </dataValidation>
  </dataValidations>
  <pageMargins left="0.7" right="0.7" top="0.75" bottom="0.75" header="0.3" footer="0.3"/>
  <pageSetup scale="43" orientation="portrait" horizontalDpi="1200" verticalDpi="1200" r:id="rId1"/>
  <rowBreaks count="7" manualBreakCount="7">
    <brk id="54" max="15" man="1"/>
    <brk id="85" max="15" man="1"/>
    <brk id="145" max="15" man="1"/>
    <brk id="179" max="15" man="1"/>
    <brk id="219" max="15" man="1"/>
    <brk id="256" max="15" man="1"/>
    <brk id="338" max="15" man="1"/>
  </rowBreaks>
  <ignoredErrors>
    <ignoredError sqref="J194 J191" formulaRange="1"/>
    <ignoredError sqref="K285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20</vt:i4>
      </vt:variant>
    </vt:vector>
  </HeadingPairs>
  <TitlesOfParts>
    <vt:vector size="21" baseType="lpstr">
      <vt:lpstr>Great_Canadian_Gaming_LBO</vt:lpstr>
      <vt:lpstr>Buyer_Share_Price</vt:lpstr>
      <vt:lpstr>Company_Name</vt:lpstr>
      <vt:lpstr>Exit_Multiple</vt:lpstr>
      <vt:lpstr>Exit_Year</vt:lpstr>
      <vt:lpstr>FY20_Cash</vt:lpstr>
      <vt:lpstr>Hist_Year</vt:lpstr>
      <vt:lpstr>LTM_EBITDA</vt:lpstr>
      <vt:lpstr>Mgmt_Equity</vt:lpstr>
      <vt:lpstr>Mgmt_Pct</vt:lpstr>
      <vt:lpstr>Min_Cash</vt:lpstr>
      <vt:lpstr>Offer_Price</vt:lpstr>
      <vt:lpstr>Great_Canadian_Gaming_LBO!Print_Area</vt:lpstr>
      <vt:lpstr>Purchase_Equity_Price</vt:lpstr>
      <vt:lpstr>Purchase_Multiple</vt:lpstr>
      <vt:lpstr>Scenario</vt:lpstr>
      <vt:lpstr>Sponsor_Equity</vt:lpstr>
      <vt:lpstr>Sponsor_Pct</vt:lpstr>
      <vt:lpstr>Tax_Rate</vt:lpstr>
      <vt:lpstr>Total_Equity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BIWS</dc:creator>
  <cp:lastModifiedBy>111</cp:lastModifiedBy>
  <dcterms:created xsi:type="dcterms:W3CDTF">2016-10-28T03:10:17Z</dcterms:created>
  <dcterms:modified xsi:type="dcterms:W3CDTF">2023-08-23T04:24:01Z</dcterms:modified>
</cp:coreProperties>
</file>