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inancial Modelling\COMPLETED MODELS\Kroger_Albertsons_Merger\"/>
    </mc:Choice>
  </mc:AlternateContent>
  <xr:revisionPtr revIDLastSave="0" documentId="13_ncr:1_{6D18C2CB-E965-47E6-B5F2-C41AAE9330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_Page" sheetId="6" r:id="rId1"/>
    <sheet name="Merger_Model" sheetId="3" r:id="rId2"/>
    <sheet name="Combined_BS" sheetId="5" r:id="rId3"/>
    <sheet name="Synergies" sheetId="4" r:id="rId4"/>
    <sheet name="Kroger_Financial_Model" sheetId="1" r:id="rId5"/>
    <sheet name="Albertsons_Financial_Model" sheetId="2" r:id="rId6"/>
  </sheets>
  <definedNames>
    <definedName name="Albertsons_Diluted_Share_Counts">Albertsons_Financial_Model!$D$9</definedName>
    <definedName name="Albertsons_Finance_Lease_Discount_Rate">Albertsons_Financial_Model!$D$12</definedName>
    <definedName name="Albertsons_Operating_Lease_Discount_Rate">Albertsons_Financial_Model!$D$11</definedName>
    <definedName name="Albertsons_Price">Albertsons_Financial_Model!$D$8</definedName>
    <definedName name="Albertsons_Tax_Rate">Albertsons_Financial_Model!$D$6</definedName>
    <definedName name="Expense_Synergy_Factor">Merger_Model!$H$18</definedName>
    <definedName name="Kroger_Conversion_Factor">Kroger_Financial_Model!$D$7</definedName>
    <definedName name="Kroger_Operating_Lease_Discount_Rate">Kroger_Financial_Model!$D$11</definedName>
    <definedName name="Kroger_Price">Kroger_Financial_Model!$D$8</definedName>
    <definedName name="Kroger_Shares">Kroger_Financial_Model!$D$9</definedName>
    <definedName name="Kroger_Tax_Rate">Kroger_Financial_Model!$D$6</definedName>
    <definedName name="Kroger_Ticker">Kroger_Financial_Model!$D$5</definedName>
    <definedName name="OpEx_Synergy?">Merger_Model!$H$15</definedName>
    <definedName name="Rev_Synergy_Factor">Merger_Model!$H$17</definedName>
    <definedName name="Revenue_Synergy?">Merger_Model!$H$14</definedName>
    <definedName name="The_Kroger_Co.">Kroger_Financial_Model!$D$4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3" i="3" l="1"/>
  <c r="G183" i="3"/>
  <c r="H183" i="3"/>
  <c r="I183" i="3"/>
  <c r="J183" i="3"/>
  <c r="K183" i="3"/>
  <c r="L183" i="3"/>
  <c r="M183" i="3"/>
  <c r="G376" i="3"/>
  <c r="H376" i="3" s="1"/>
  <c r="I376" i="3" s="1"/>
  <c r="J376" i="3" s="1"/>
  <c r="K376" i="3" s="1"/>
  <c r="L376" i="3" s="1"/>
  <c r="M376" i="3" s="1"/>
  <c r="G364" i="3"/>
  <c r="G352" i="3"/>
  <c r="G340" i="3"/>
  <c r="H340" i="3" s="1"/>
  <c r="I340" i="3" s="1"/>
  <c r="J340" i="3" s="1"/>
  <c r="K340" i="3" s="1"/>
  <c r="L340" i="3" s="1"/>
  <c r="M340" i="3" s="1"/>
  <c r="G328" i="3"/>
  <c r="H328" i="3" s="1"/>
  <c r="G316" i="3"/>
  <c r="H316" i="3" s="1"/>
  <c r="G303" i="3"/>
  <c r="H303" i="3" s="1"/>
  <c r="I303" i="3" s="1"/>
  <c r="J303" i="3" s="1"/>
  <c r="K303" i="3" s="1"/>
  <c r="L303" i="3" s="1"/>
  <c r="M303" i="3" s="1"/>
  <c r="G290" i="3"/>
  <c r="G277" i="3"/>
  <c r="H277" i="3" s="1"/>
  <c r="I277" i="3" s="1"/>
  <c r="J277" i="3" s="1"/>
  <c r="K277" i="3" s="1"/>
  <c r="L277" i="3" s="1"/>
  <c r="M277" i="3" s="1"/>
  <c r="F180" i="3"/>
  <c r="G180" i="3"/>
  <c r="H180" i="3"/>
  <c r="I180" i="3"/>
  <c r="J180" i="3"/>
  <c r="K180" i="3"/>
  <c r="L180" i="3"/>
  <c r="M180" i="3"/>
  <c r="E180" i="3"/>
  <c r="F179" i="3"/>
  <c r="G179" i="3"/>
  <c r="H179" i="3"/>
  <c r="H181" i="3" s="1"/>
  <c r="I179" i="3"/>
  <c r="J179" i="3"/>
  <c r="K179" i="3"/>
  <c r="L179" i="3"/>
  <c r="M179" i="3"/>
  <c r="E179" i="3"/>
  <c r="I191" i="1"/>
  <c r="J191" i="1" s="1"/>
  <c r="I199" i="1"/>
  <c r="J199" i="1" s="1"/>
  <c r="I207" i="1"/>
  <c r="J207" i="1" s="1"/>
  <c r="I190" i="1"/>
  <c r="J190" i="1" s="1"/>
  <c r="D365" i="3" l="1" a="1"/>
  <c r="D369" i="3" s="1"/>
  <c r="H364" i="3"/>
  <c r="I364" i="3" s="1"/>
  <c r="J364" i="3" s="1"/>
  <c r="K364" i="3" s="1"/>
  <c r="L364" i="3" s="1"/>
  <c r="M364" i="3" s="1"/>
  <c r="H352" i="3"/>
  <c r="I352" i="3" s="1"/>
  <c r="J352" i="3" s="1"/>
  <c r="K352" i="3" s="1"/>
  <c r="L352" i="3" s="1"/>
  <c r="M352" i="3" s="1"/>
  <c r="D377" i="3" a="1"/>
  <c r="D341" i="3" a="1"/>
  <c r="I328" i="3"/>
  <c r="J328" i="3" s="1"/>
  <c r="K328" i="3" s="1"/>
  <c r="L328" i="3" s="1"/>
  <c r="M328" i="3" s="1"/>
  <c r="D278" i="3" a="1"/>
  <c r="D279" i="3" s="1"/>
  <c r="D304" i="3" a="1"/>
  <c r="D305" i="3" s="1"/>
  <c r="I316" i="3"/>
  <c r="J316" i="3" s="1"/>
  <c r="K316" i="3" s="1"/>
  <c r="L316" i="3" s="1"/>
  <c r="M316" i="3" s="1"/>
  <c r="H290" i="3"/>
  <c r="I290" i="3" s="1"/>
  <c r="J290" i="3" s="1"/>
  <c r="K290" i="3" s="1"/>
  <c r="L290" i="3" s="1"/>
  <c r="M290" i="3" s="1"/>
  <c r="L181" i="3"/>
  <c r="M181" i="3"/>
  <c r="I181" i="3"/>
  <c r="K181" i="3"/>
  <c r="J181" i="3"/>
  <c r="G181" i="3"/>
  <c r="E181" i="3"/>
  <c r="F181" i="3"/>
  <c r="F255" i="3"/>
  <c r="G255" i="3"/>
  <c r="H255" i="3"/>
  <c r="I255" i="3"/>
  <c r="J255" i="3"/>
  <c r="K255" i="3"/>
  <c r="L255" i="3"/>
  <c r="M255" i="3"/>
  <c r="E255" i="3"/>
  <c r="I171" i="1"/>
  <c r="D371" i="3" l="1"/>
  <c r="D365" i="3"/>
  <c r="D366" i="3"/>
  <c r="D373" i="3"/>
  <c r="D370" i="3"/>
  <c r="D372" i="3"/>
  <c r="D367" i="3"/>
  <c r="D368" i="3"/>
  <c r="D329" i="3" a="1"/>
  <c r="D331" i="3" s="1"/>
  <c r="D317" i="3" a="1"/>
  <c r="D320" i="3" s="1"/>
  <c r="D353" i="3" a="1"/>
  <c r="D357" i="3" s="1"/>
  <c r="D385" i="3"/>
  <c r="D377" i="3"/>
  <c r="D384" i="3"/>
  <c r="D383" i="3"/>
  <c r="D382" i="3"/>
  <c r="D381" i="3"/>
  <c r="D380" i="3"/>
  <c r="D379" i="3"/>
  <c r="D378" i="3"/>
  <c r="D349" i="3"/>
  <c r="D341" i="3"/>
  <c r="D348" i="3"/>
  <c r="D347" i="3"/>
  <c r="D346" i="3"/>
  <c r="D345" i="3"/>
  <c r="D344" i="3"/>
  <c r="D343" i="3"/>
  <c r="D342" i="3"/>
  <c r="D333" i="3"/>
  <c r="D332" i="3"/>
  <c r="D286" i="3"/>
  <c r="D309" i="3"/>
  <c r="D284" i="3"/>
  <c r="D310" i="3"/>
  <c r="D283" i="3"/>
  <c r="D307" i="3"/>
  <c r="D280" i="3"/>
  <c r="D281" i="3"/>
  <c r="D304" i="3"/>
  <c r="D278" i="3"/>
  <c r="D306" i="3"/>
  <c r="D311" i="3"/>
  <c r="D282" i="3"/>
  <c r="D308" i="3"/>
  <c r="D312" i="3"/>
  <c r="D291" i="3" a="1"/>
  <c r="D297" i="3" s="1"/>
  <c r="D285" i="3"/>
  <c r="D324" i="3"/>
  <c r="H17" i="5"/>
  <c r="E37" i="5"/>
  <c r="E4" i="5"/>
  <c r="F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F167" i="3"/>
  <c r="G167" i="3"/>
  <c r="H167" i="3"/>
  <c r="I167" i="3"/>
  <c r="J167" i="3"/>
  <c r="K167" i="3"/>
  <c r="L167" i="3"/>
  <c r="M167" i="3"/>
  <c r="E167" i="3"/>
  <c r="F163" i="3"/>
  <c r="G163" i="3"/>
  <c r="H163" i="3"/>
  <c r="I163" i="3"/>
  <c r="J163" i="3"/>
  <c r="K163" i="3"/>
  <c r="L163" i="3"/>
  <c r="M163" i="3"/>
  <c r="E163" i="3"/>
  <c r="F19" i="4"/>
  <c r="G19" i="4"/>
  <c r="H19" i="4"/>
  <c r="E19" i="4"/>
  <c r="F16" i="4"/>
  <c r="E15" i="4"/>
  <c r="F15" i="4" s="1"/>
  <c r="G15" i="4" s="1"/>
  <c r="H15" i="4" s="1"/>
  <c r="I15" i="4" s="1"/>
  <c r="J15" i="4" s="1"/>
  <c r="K15" i="4" s="1"/>
  <c r="L15" i="4" s="1"/>
  <c r="M15" i="4" s="1"/>
  <c r="F11" i="4"/>
  <c r="G11" i="4" s="1"/>
  <c r="H11" i="4" s="1"/>
  <c r="I11" i="4" s="1"/>
  <c r="J11" i="4" s="1"/>
  <c r="K11" i="4" s="1"/>
  <c r="E10" i="4"/>
  <c r="F10" i="4" s="1"/>
  <c r="G10" i="4" s="1"/>
  <c r="H10" i="4" s="1"/>
  <c r="I10" i="4" s="1"/>
  <c r="J10" i="4" s="1"/>
  <c r="K10" i="4" s="1"/>
  <c r="L10" i="4" s="1"/>
  <c r="M10" i="4" s="1"/>
  <c r="E112" i="3"/>
  <c r="E128" i="3" s="1"/>
  <c r="E100" i="3"/>
  <c r="E85" i="3"/>
  <c r="E84" i="3"/>
  <c r="F60" i="3"/>
  <c r="G60" i="3"/>
  <c r="H60" i="3"/>
  <c r="I60" i="3"/>
  <c r="J60" i="3"/>
  <c r="K60" i="3"/>
  <c r="L60" i="3"/>
  <c r="E60" i="3"/>
  <c r="E72" i="3"/>
  <c r="M59" i="3"/>
  <c r="M60" i="3" s="1"/>
  <c r="E147" i="3"/>
  <c r="F147" i="3" s="1"/>
  <c r="G147" i="3" s="1"/>
  <c r="H147" i="3" s="1"/>
  <c r="I147" i="3" s="1"/>
  <c r="J147" i="3" s="1"/>
  <c r="K147" i="3" s="1"/>
  <c r="L147" i="3" s="1"/>
  <c r="M147" i="3" s="1"/>
  <c r="M233" i="3" s="1"/>
  <c r="K25" i="3"/>
  <c r="D12" i="3"/>
  <c r="D11" i="3"/>
  <c r="D16" i="3" s="1"/>
  <c r="D8" i="3"/>
  <c r="D7" i="3"/>
  <c r="D5" i="3"/>
  <c r="D4" i="3"/>
  <c r="M24" i="3" s="1"/>
  <c r="D329" i="3" l="1"/>
  <c r="D358" i="3"/>
  <c r="D321" i="3"/>
  <c r="D334" i="3"/>
  <c r="D361" i="3"/>
  <c r="D317" i="3"/>
  <c r="D323" i="3"/>
  <c r="D335" i="3"/>
  <c r="D355" i="3"/>
  <c r="D325" i="3"/>
  <c r="D354" i="3"/>
  <c r="D318" i="3"/>
  <c r="D353" i="3"/>
  <c r="D336" i="3"/>
  <c r="D337" i="3"/>
  <c r="D319" i="3"/>
  <c r="D330" i="3"/>
  <c r="D359" i="3"/>
  <c r="D322" i="3"/>
  <c r="D360" i="3"/>
  <c r="D356" i="3"/>
  <c r="D293" i="3"/>
  <c r="D298" i="3"/>
  <c r="D294" i="3"/>
  <c r="D291" i="3"/>
  <c r="D299" i="3"/>
  <c r="D292" i="3"/>
  <c r="D295" i="3"/>
  <c r="D296" i="3"/>
  <c r="G57" i="3"/>
  <c r="E57" i="3"/>
  <c r="F57" i="3"/>
  <c r="M57" i="3"/>
  <c r="L57" i="3"/>
  <c r="H57" i="3"/>
  <c r="K57" i="3"/>
  <c r="J57" i="3"/>
  <c r="I57" i="3"/>
  <c r="L190" i="3"/>
  <c r="F233" i="3"/>
  <c r="K190" i="3"/>
  <c r="G233" i="3"/>
  <c r="J190" i="3"/>
  <c r="H233" i="3"/>
  <c r="I190" i="3"/>
  <c r="I233" i="3"/>
  <c r="H190" i="3"/>
  <c r="J233" i="3"/>
  <c r="G190" i="3"/>
  <c r="K233" i="3"/>
  <c r="E190" i="3"/>
  <c r="F190" i="3"/>
  <c r="L233" i="3"/>
  <c r="M190" i="3"/>
  <c r="E233" i="3"/>
  <c r="M25" i="3"/>
  <c r="M22" i="3"/>
  <c r="M23" i="3"/>
  <c r="D13" i="3"/>
  <c r="H5" i="3" s="1"/>
  <c r="D9" i="3"/>
  <c r="D17" i="3"/>
  <c r="E92" i="3" l="1"/>
  <c r="E78" i="3"/>
  <c r="E66" i="3"/>
  <c r="I92" i="3"/>
  <c r="I78" i="3"/>
  <c r="I66" i="3"/>
  <c r="G92" i="3"/>
  <c r="G78" i="3"/>
  <c r="G66" i="3"/>
  <c r="J92" i="3"/>
  <c r="J66" i="3"/>
  <c r="J78" i="3"/>
  <c r="K92" i="3"/>
  <c r="K66" i="3"/>
  <c r="K78" i="3"/>
  <c r="H92" i="3"/>
  <c r="H78" i="3"/>
  <c r="H66" i="3"/>
  <c r="F92" i="3"/>
  <c r="F66" i="3"/>
  <c r="F78" i="3"/>
  <c r="L92" i="3"/>
  <c r="L66" i="3"/>
  <c r="L78" i="3"/>
  <c r="M92" i="3"/>
  <c r="M66" i="3"/>
  <c r="M78" i="3"/>
  <c r="H106" i="3"/>
  <c r="F106" i="3"/>
  <c r="E106" i="3"/>
  <c r="G106" i="3"/>
  <c r="L31" i="3"/>
  <c r="L34" i="3"/>
  <c r="E42" i="3"/>
  <c r="H187" i="2" l="1"/>
  <c r="I187" i="2" s="1"/>
  <c r="E242" i="3" s="1"/>
  <c r="H202" i="2"/>
  <c r="I202" i="2" s="1"/>
  <c r="E264" i="3" s="1"/>
  <c r="H66" i="2"/>
  <c r="Q149" i="2"/>
  <c r="R16" i="5" s="1"/>
  <c r="M202" i="3" s="1"/>
  <c r="Q167" i="2"/>
  <c r="R35" i="5" s="1"/>
  <c r="M221" i="3" s="1"/>
  <c r="H152" i="2"/>
  <c r="H151" i="2"/>
  <c r="I151" i="2" s="1"/>
  <c r="J151" i="2" s="1"/>
  <c r="K151" i="2" s="1"/>
  <c r="L151" i="2" s="1"/>
  <c r="M151" i="2" s="1"/>
  <c r="N151" i="2" s="1"/>
  <c r="O151" i="2" s="1"/>
  <c r="P151" i="2" s="1"/>
  <c r="Q151" i="2" s="1"/>
  <c r="H150" i="2"/>
  <c r="H103" i="2"/>
  <c r="H105" i="2" s="1"/>
  <c r="I103" i="2" s="1"/>
  <c r="I105" i="2" s="1"/>
  <c r="J103" i="2" s="1"/>
  <c r="J105" i="2" s="1"/>
  <c r="K103" i="2" s="1"/>
  <c r="K105" i="2" s="1"/>
  <c r="L103" i="2" s="1"/>
  <c r="L105" i="2" s="1"/>
  <c r="L165" i="2" s="1"/>
  <c r="M32" i="5" s="1"/>
  <c r="H218" i="3" s="1"/>
  <c r="Q66" i="2"/>
  <c r="I99" i="2"/>
  <c r="J99" i="2" s="1"/>
  <c r="K99" i="2" s="1"/>
  <c r="L99" i="2" s="1"/>
  <c r="M99" i="2" s="1"/>
  <c r="N99" i="2" s="1"/>
  <c r="O99" i="2" s="1"/>
  <c r="P99" i="2" s="1"/>
  <c r="P66" i="2" s="1"/>
  <c r="F65" i="2"/>
  <c r="F67" i="2" s="1"/>
  <c r="G65" i="2"/>
  <c r="G67" i="2" s="1"/>
  <c r="E65" i="2"/>
  <c r="E67" i="2" s="1"/>
  <c r="G100" i="2"/>
  <c r="H98" i="2" s="1"/>
  <c r="G90" i="2"/>
  <c r="H88" i="2" s="1"/>
  <c r="H96" i="2" s="1"/>
  <c r="G85" i="2"/>
  <c r="H82" i="2" s="1"/>
  <c r="F76" i="2"/>
  <c r="G76" i="2"/>
  <c r="E76" i="2"/>
  <c r="F74" i="2"/>
  <c r="G71" i="2" s="1"/>
  <c r="G77" i="2" s="1"/>
  <c r="G74" i="2"/>
  <c r="H71" i="2" s="1"/>
  <c r="H77" i="2" s="1"/>
  <c r="E74" i="2"/>
  <c r="F71" i="2" s="1"/>
  <c r="F77" i="2" s="1"/>
  <c r="H195" i="2"/>
  <c r="F53" i="2"/>
  <c r="G53" i="2"/>
  <c r="E53" i="2"/>
  <c r="F49" i="2"/>
  <c r="G49" i="2"/>
  <c r="E49" i="2"/>
  <c r="F48" i="2"/>
  <c r="G48" i="2"/>
  <c r="E48" i="2"/>
  <c r="F31" i="2"/>
  <c r="G31" i="2"/>
  <c r="E31" i="2"/>
  <c r="F28" i="2"/>
  <c r="G28" i="2"/>
  <c r="E28" i="2"/>
  <c r="F26" i="2"/>
  <c r="G26" i="2"/>
  <c r="H26" i="2" s="1"/>
  <c r="E26" i="2"/>
  <c r="J24" i="2"/>
  <c r="K24" i="2" s="1"/>
  <c r="L24" i="2" s="1"/>
  <c r="M24" i="2" s="1"/>
  <c r="N24" i="2" s="1"/>
  <c r="O24" i="2" s="1"/>
  <c r="P24" i="2" s="1"/>
  <c r="Q24" i="2" s="1"/>
  <c r="F24" i="2"/>
  <c r="G24" i="2"/>
  <c r="E24" i="2"/>
  <c r="F20" i="2"/>
  <c r="G20" i="2"/>
  <c r="H20" i="2" s="1"/>
  <c r="E20" i="2"/>
  <c r="H17" i="2"/>
  <c r="I17" i="2" s="1"/>
  <c r="J17" i="2" s="1"/>
  <c r="K17" i="2" s="1"/>
  <c r="L17" i="2" s="1"/>
  <c r="M17" i="2" s="1"/>
  <c r="N17" i="2" s="1"/>
  <c r="O17" i="2" s="1"/>
  <c r="P17" i="2" s="1"/>
  <c r="Q17" i="2" s="1"/>
  <c r="F203" i="2"/>
  <c r="E203" i="2"/>
  <c r="G203" i="2"/>
  <c r="F196" i="2"/>
  <c r="G196" i="2"/>
  <c r="E196" i="2"/>
  <c r="E170" i="2"/>
  <c r="E162" i="2"/>
  <c r="E153" i="2"/>
  <c r="E144" i="2"/>
  <c r="F170" i="2"/>
  <c r="G162" i="2"/>
  <c r="F162" i="2"/>
  <c r="G153" i="2"/>
  <c r="F153" i="2"/>
  <c r="G144" i="2"/>
  <c r="F144" i="2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Q137" i="2" s="1"/>
  <c r="D10" i="2"/>
  <c r="J187" i="1"/>
  <c r="J188" i="1"/>
  <c r="J189" i="1"/>
  <c r="J198" i="1"/>
  <c r="J203" i="1"/>
  <c r="J205" i="1"/>
  <c r="J206" i="1"/>
  <c r="I154" i="1"/>
  <c r="I153" i="1"/>
  <c r="I152" i="1"/>
  <c r="F61" i="1"/>
  <c r="G61" i="1"/>
  <c r="H61" i="1"/>
  <c r="E61" i="1"/>
  <c r="O108" i="1"/>
  <c r="P108" i="1" s="1"/>
  <c r="Q108" i="1" s="1"/>
  <c r="R108" i="1" s="1"/>
  <c r="F106" i="1"/>
  <c r="G104" i="1" s="1"/>
  <c r="G106" i="1"/>
  <c r="H104" i="1" s="1"/>
  <c r="E106" i="1"/>
  <c r="F104" i="1" s="1"/>
  <c r="N105" i="1"/>
  <c r="O105" i="1" s="1"/>
  <c r="P105" i="1" s="1"/>
  <c r="Q105" i="1" s="1"/>
  <c r="R105" i="1" s="1"/>
  <c r="H106" i="1"/>
  <c r="I104" i="1" s="1"/>
  <c r="I106" i="1" s="1"/>
  <c r="J104" i="1" s="1"/>
  <c r="J106" i="1" s="1"/>
  <c r="K104" i="1" s="1"/>
  <c r="K106" i="1" s="1"/>
  <c r="L104" i="1" s="1"/>
  <c r="L106" i="1" s="1"/>
  <c r="M104" i="1" s="1"/>
  <c r="M106" i="1" s="1"/>
  <c r="N104" i="1" s="1"/>
  <c r="F57" i="1"/>
  <c r="G57" i="1"/>
  <c r="H57" i="1"/>
  <c r="E57" i="1"/>
  <c r="F56" i="1"/>
  <c r="G56" i="1"/>
  <c r="H56" i="1"/>
  <c r="E56" i="1"/>
  <c r="J100" i="1"/>
  <c r="H98" i="1"/>
  <c r="I96" i="1" s="1"/>
  <c r="H93" i="1"/>
  <c r="I91" i="1" s="1"/>
  <c r="H87" i="1"/>
  <c r="F79" i="1"/>
  <c r="G79" i="1"/>
  <c r="H79" i="1"/>
  <c r="E79" i="1"/>
  <c r="E77" i="1"/>
  <c r="F74" i="1" s="1"/>
  <c r="F82" i="1" s="1"/>
  <c r="F77" i="1"/>
  <c r="G74" i="1" s="1"/>
  <c r="G82" i="1" s="1"/>
  <c r="G77" i="1"/>
  <c r="H74" i="1" s="1"/>
  <c r="H82" i="1" s="1"/>
  <c r="H77" i="1"/>
  <c r="I74" i="1" s="1"/>
  <c r="I82" i="1" s="1"/>
  <c r="J187" i="2" l="1"/>
  <c r="J202" i="2"/>
  <c r="K202" i="2" s="1"/>
  <c r="L202" i="2" s="1"/>
  <c r="M202" i="2" s="1"/>
  <c r="N202" i="2" s="1"/>
  <c r="O202" i="2" s="1"/>
  <c r="P202" i="2" s="1"/>
  <c r="Q202" i="2" s="1"/>
  <c r="I152" i="2"/>
  <c r="J152" i="2" s="1"/>
  <c r="F19" i="5"/>
  <c r="I195" i="2"/>
  <c r="E256" i="3" s="1"/>
  <c r="H169" i="2"/>
  <c r="I150" i="2"/>
  <c r="J150" i="2" s="1"/>
  <c r="K150" i="2" s="1"/>
  <c r="L150" i="2" s="1"/>
  <c r="M150" i="2" s="1"/>
  <c r="N150" i="2" s="1"/>
  <c r="O150" i="2" s="1"/>
  <c r="P150" i="2" s="1"/>
  <c r="Q150" i="2" s="1"/>
  <c r="F17" i="5"/>
  <c r="F18" i="5"/>
  <c r="E44" i="3"/>
  <c r="H18" i="5" s="1"/>
  <c r="J154" i="1"/>
  <c r="E19" i="5"/>
  <c r="I19" i="5" s="1"/>
  <c r="K206" i="1"/>
  <c r="E263" i="3"/>
  <c r="K203" i="1"/>
  <c r="E260" i="3"/>
  <c r="K198" i="1"/>
  <c r="E254" i="3"/>
  <c r="K189" i="1"/>
  <c r="E240" i="3"/>
  <c r="K205" i="1"/>
  <c r="E262" i="3"/>
  <c r="J152" i="1"/>
  <c r="K152" i="1" s="1"/>
  <c r="L152" i="1" s="1"/>
  <c r="M152" i="1" s="1"/>
  <c r="N152" i="1" s="1"/>
  <c r="O152" i="1" s="1"/>
  <c r="P152" i="1" s="1"/>
  <c r="Q152" i="1" s="1"/>
  <c r="R152" i="1" s="1"/>
  <c r="E17" i="5"/>
  <c r="K188" i="1"/>
  <c r="E239" i="3"/>
  <c r="J153" i="1"/>
  <c r="K153" i="1" s="1"/>
  <c r="L153" i="1" s="1"/>
  <c r="M153" i="1" s="1"/>
  <c r="N153" i="1" s="1"/>
  <c r="O153" i="1" s="1"/>
  <c r="P153" i="1" s="1"/>
  <c r="Q153" i="1" s="1"/>
  <c r="R153" i="1" s="1"/>
  <c r="E18" i="5"/>
  <c r="K187" i="1"/>
  <c r="E238" i="3"/>
  <c r="K187" i="2"/>
  <c r="L187" i="2" s="1"/>
  <c r="M187" i="2" s="1"/>
  <c r="N187" i="2" s="1"/>
  <c r="O187" i="2" s="1"/>
  <c r="P187" i="2" s="1"/>
  <c r="Q187" i="2" s="1"/>
  <c r="K207" i="1"/>
  <c r="K199" i="1"/>
  <c r="K190" i="1"/>
  <c r="E241" i="3"/>
  <c r="I66" i="2"/>
  <c r="H165" i="2"/>
  <c r="K165" i="2"/>
  <c r="L32" i="5" s="1"/>
  <c r="G218" i="3" s="1"/>
  <c r="J165" i="2"/>
  <c r="K32" i="5" s="1"/>
  <c r="F218" i="3" s="1"/>
  <c r="I165" i="2"/>
  <c r="H107" i="2"/>
  <c r="J107" i="2"/>
  <c r="I107" i="2"/>
  <c r="L107" i="2"/>
  <c r="K107" i="2"/>
  <c r="M103" i="2"/>
  <c r="M107" i="2" s="1"/>
  <c r="M104" i="2"/>
  <c r="N104" i="2" s="1"/>
  <c r="O104" i="2" s="1"/>
  <c r="P104" i="2" s="1"/>
  <c r="Q104" i="2" s="1"/>
  <c r="Q111" i="2" s="1"/>
  <c r="Q200" i="2" s="1"/>
  <c r="L66" i="2"/>
  <c r="K66" i="2"/>
  <c r="J66" i="2"/>
  <c r="O66" i="2"/>
  <c r="N66" i="2"/>
  <c r="M66" i="2"/>
  <c r="G170" i="2"/>
  <c r="G174" i="2" s="1"/>
  <c r="H93" i="2"/>
  <c r="G78" i="2"/>
  <c r="G72" i="2" s="1"/>
  <c r="G73" i="2" s="1"/>
  <c r="F79" i="2"/>
  <c r="F78" i="2"/>
  <c r="F72" i="2" s="1"/>
  <c r="F73" i="2" s="1"/>
  <c r="G79" i="2"/>
  <c r="H53" i="2"/>
  <c r="I53" i="2" s="1"/>
  <c r="H49" i="2"/>
  <c r="I49" i="2" s="1"/>
  <c r="H48" i="2"/>
  <c r="I48" i="2" s="1"/>
  <c r="F32" i="2"/>
  <c r="H116" i="2"/>
  <c r="G32" i="2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G29" i="2"/>
  <c r="Q116" i="2"/>
  <c r="F29" i="2"/>
  <c r="P116" i="2"/>
  <c r="O116" i="2"/>
  <c r="N116" i="2"/>
  <c r="M116" i="2"/>
  <c r="L116" i="2"/>
  <c r="K116" i="2"/>
  <c r="J116" i="2"/>
  <c r="I116" i="2"/>
  <c r="I26" i="2"/>
  <c r="H117" i="2"/>
  <c r="H19" i="2"/>
  <c r="I20" i="2"/>
  <c r="I19" i="2" s="1"/>
  <c r="F155" i="2"/>
  <c r="G155" i="2"/>
  <c r="H179" i="2"/>
  <c r="J179" i="2"/>
  <c r="K179" i="2"/>
  <c r="L179" i="2"/>
  <c r="I179" i="2"/>
  <c r="E179" i="2"/>
  <c r="M179" i="2"/>
  <c r="F179" i="2"/>
  <c r="N179" i="2"/>
  <c r="G179" i="2"/>
  <c r="O179" i="2"/>
  <c r="P179" i="2"/>
  <c r="Q179" i="2"/>
  <c r="J171" i="1"/>
  <c r="E155" i="2"/>
  <c r="E174" i="2"/>
  <c r="F174" i="2"/>
  <c r="E121" i="2"/>
  <c r="E63" i="2" s="1"/>
  <c r="G121" i="2"/>
  <c r="G68" i="2" s="1"/>
  <c r="F121" i="2"/>
  <c r="F68" i="2" s="1"/>
  <c r="J137" i="2"/>
  <c r="M115" i="2"/>
  <c r="E115" i="2"/>
  <c r="K137" i="2"/>
  <c r="L115" i="2"/>
  <c r="L137" i="2"/>
  <c r="K115" i="2"/>
  <c r="E137" i="2"/>
  <c r="M137" i="2"/>
  <c r="J115" i="2"/>
  <c r="F137" i="2"/>
  <c r="N137" i="2"/>
  <c r="N115" i="2"/>
  <c r="Q115" i="2"/>
  <c r="I115" i="2"/>
  <c r="G137" i="2"/>
  <c r="O137" i="2"/>
  <c r="P115" i="2"/>
  <c r="H115" i="2"/>
  <c r="H137" i="2"/>
  <c r="P137" i="2"/>
  <c r="F115" i="2"/>
  <c r="O115" i="2"/>
  <c r="G115" i="2"/>
  <c r="I137" i="2"/>
  <c r="M167" i="1"/>
  <c r="L167" i="1"/>
  <c r="K167" i="1"/>
  <c r="J167" i="1"/>
  <c r="I61" i="1"/>
  <c r="J61" i="1" s="1"/>
  <c r="I167" i="1"/>
  <c r="E32" i="5" s="1"/>
  <c r="I109" i="1"/>
  <c r="N106" i="1"/>
  <c r="N167" i="1" s="1"/>
  <c r="K109" i="1"/>
  <c r="J109" i="1"/>
  <c r="M109" i="1"/>
  <c r="N109" i="1"/>
  <c r="L109" i="1"/>
  <c r="G105" i="1"/>
  <c r="H105" i="1"/>
  <c r="F105" i="1"/>
  <c r="I56" i="1"/>
  <c r="J56" i="1" s="1"/>
  <c r="I57" i="1"/>
  <c r="J57" i="1" s="1"/>
  <c r="H83" i="1"/>
  <c r="H75" i="1" s="1"/>
  <c r="H76" i="1" s="1"/>
  <c r="I101" i="1"/>
  <c r="I97" i="1" s="1"/>
  <c r="I204" i="1" s="1"/>
  <c r="I208" i="1" s="1"/>
  <c r="K100" i="1"/>
  <c r="G80" i="1"/>
  <c r="F80" i="1"/>
  <c r="H80" i="1"/>
  <c r="G83" i="1"/>
  <c r="G75" i="1" s="1"/>
  <c r="G76" i="1" s="1"/>
  <c r="F83" i="1"/>
  <c r="F75" i="1" s="1"/>
  <c r="F76" i="1" s="1"/>
  <c r="K152" i="2" l="1"/>
  <c r="K19" i="5"/>
  <c r="F205" i="3" s="1"/>
  <c r="I169" i="2"/>
  <c r="J37" i="5" s="1"/>
  <c r="E223" i="3" s="1"/>
  <c r="F37" i="5"/>
  <c r="I37" i="5" s="1"/>
  <c r="J195" i="2"/>
  <c r="K195" i="2" s="1"/>
  <c r="L195" i="2" s="1"/>
  <c r="M195" i="2" s="1"/>
  <c r="N195" i="2" s="1"/>
  <c r="O195" i="2" s="1"/>
  <c r="P195" i="2" s="1"/>
  <c r="Q195" i="2" s="1"/>
  <c r="L188" i="1"/>
  <c r="F239" i="3"/>
  <c r="L198" i="1"/>
  <c r="F254" i="3"/>
  <c r="L203" i="1"/>
  <c r="F260" i="3"/>
  <c r="L187" i="1"/>
  <c r="F238" i="3"/>
  <c r="L205" i="1"/>
  <c r="F262" i="3"/>
  <c r="L206" i="1"/>
  <c r="F263" i="3"/>
  <c r="L189" i="1"/>
  <c r="F240" i="3"/>
  <c r="K154" i="1"/>
  <c r="J19" i="5"/>
  <c r="E205" i="3" s="1"/>
  <c r="F32" i="5"/>
  <c r="I32" i="5" s="1"/>
  <c r="H7" i="3"/>
  <c r="J32" i="5"/>
  <c r="E218" i="3" s="1"/>
  <c r="L207" i="1"/>
  <c r="F264" i="3"/>
  <c r="L199" i="1"/>
  <c r="K191" i="1"/>
  <c r="K171" i="1" s="1"/>
  <c r="L190" i="1"/>
  <c r="F241" i="3"/>
  <c r="J48" i="2"/>
  <c r="H112" i="2"/>
  <c r="H128" i="2" s="1"/>
  <c r="M105" i="2"/>
  <c r="E68" i="2"/>
  <c r="H68" i="2" s="1"/>
  <c r="H100" i="2"/>
  <c r="H94" i="2"/>
  <c r="H89" i="2" s="1"/>
  <c r="H111" i="2" s="1"/>
  <c r="H200" i="2" s="1"/>
  <c r="H203" i="2" s="1"/>
  <c r="H79" i="2"/>
  <c r="I79" i="2" s="1"/>
  <c r="J79" i="2" s="1"/>
  <c r="K79" i="2" s="1"/>
  <c r="L79" i="2" s="1"/>
  <c r="M79" i="2" s="1"/>
  <c r="N79" i="2" s="1"/>
  <c r="O79" i="2" s="1"/>
  <c r="P79" i="2" s="1"/>
  <c r="Q79" i="2" s="1"/>
  <c r="F80" i="2"/>
  <c r="G80" i="2"/>
  <c r="F50" i="2"/>
  <c r="F63" i="2"/>
  <c r="E50" i="2"/>
  <c r="G50" i="2"/>
  <c r="H50" i="2" s="1"/>
  <c r="I50" i="2" s="1"/>
  <c r="G63" i="2"/>
  <c r="J53" i="2"/>
  <c r="H29" i="2"/>
  <c r="H28" i="2" s="1"/>
  <c r="H118" i="2" s="1"/>
  <c r="J49" i="2"/>
  <c r="G46" i="2"/>
  <c r="G45" i="2"/>
  <c r="G47" i="2"/>
  <c r="E47" i="2"/>
  <c r="E46" i="2"/>
  <c r="E45" i="2"/>
  <c r="F46" i="2"/>
  <c r="F45" i="2"/>
  <c r="F47" i="2"/>
  <c r="G36" i="2"/>
  <c r="G38" i="2"/>
  <c r="G40" i="2"/>
  <c r="F36" i="2"/>
  <c r="F40" i="2"/>
  <c r="F38" i="2"/>
  <c r="E36" i="2"/>
  <c r="E40" i="2"/>
  <c r="E38" i="2"/>
  <c r="H31" i="2"/>
  <c r="J26" i="2"/>
  <c r="I117" i="2"/>
  <c r="E123" i="2"/>
  <c r="E127" i="2" s="1"/>
  <c r="E130" i="2" s="1"/>
  <c r="E34" i="2"/>
  <c r="F123" i="2"/>
  <c r="F127" i="2" s="1"/>
  <c r="F130" i="2" s="1"/>
  <c r="F34" i="2"/>
  <c r="G123" i="2"/>
  <c r="G127" i="2" s="1"/>
  <c r="G130" i="2" s="1"/>
  <c r="G34" i="2"/>
  <c r="J20" i="2"/>
  <c r="K20" i="2" s="1"/>
  <c r="G176" i="2"/>
  <c r="F176" i="2"/>
  <c r="E176" i="2"/>
  <c r="K57" i="1"/>
  <c r="K56" i="1"/>
  <c r="K61" i="1"/>
  <c r="O104" i="1"/>
  <c r="O106" i="1" s="1"/>
  <c r="O167" i="1" s="1"/>
  <c r="I111" i="1"/>
  <c r="I130" i="1" s="1"/>
  <c r="I98" i="1"/>
  <c r="J101" i="1" s="1"/>
  <c r="I92" i="1"/>
  <c r="L100" i="1"/>
  <c r="I80" i="1"/>
  <c r="J80" i="1" s="1"/>
  <c r="K80" i="1" s="1"/>
  <c r="L80" i="1" s="1"/>
  <c r="M80" i="1" s="1"/>
  <c r="N80" i="1" s="1"/>
  <c r="O80" i="1" s="1"/>
  <c r="P80" i="1" s="1"/>
  <c r="Q80" i="1" s="1"/>
  <c r="R80" i="1" s="1"/>
  <c r="F256" i="3" l="1"/>
  <c r="L152" i="2"/>
  <c r="L19" i="5"/>
  <c r="G205" i="3" s="1"/>
  <c r="J169" i="2"/>
  <c r="M189" i="1"/>
  <c r="G240" i="3"/>
  <c r="M203" i="1"/>
  <c r="G260" i="3"/>
  <c r="G238" i="3"/>
  <c r="M187" i="1"/>
  <c r="M206" i="1"/>
  <c r="G263" i="3"/>
  <c r="M198" i="1"/>
  <c r="G254" i="3"/>
  <c r="L154" i="1"/>
  <c r="M205" i="1"/>
  <c r="G262" i="3"/>
  <c r="M188" i="1"/>
  <c r="G239" i="3"/>
  <c r="E34" i="3"/>
  <c r="L32" i="3"/>
  <c r="E170" i="3"/>
  <c r="M207" i="1"/>
  <c r="G264" i="3"/>
  <c r="G256" i="3"/>
  <c r="M199" i="1"/>
  <c r="L191" i="1"/>
  <c r="L171" i="1" s="1"/>
  <c r="F242" i="3"/>
  <c r="M190" i="1"/>
  <c r="G241" i="3"/>
  <c r="N103" i="2"/>
  <c r="N105" i="2" s="1"/>
  <c r="M165" i="2"/>
  <c r="N32" i="5" s="1"/>
  <c r="I218" i="3" s="1"/>
  <c r="I98" i="2"/>
  <c r="H149" i="2"/>
  <c r="F16" i="5" s="1"/>
  <c r="K48" i="2"/>
  <c r="Q203" i="2"/>
  <c r="I68" i="2"/>
  <c r="H90" i="2"/>
  <c r="H76" i="2"/>
  <c r="H125" i="2" s="1"/>
  <c r="H80" i="2"/>
  <c r="I80" i="2" s="1"/>
  <c r="J80" i="2" s="1"/>
  <c r="H63" i="2"/>
  <c r="I63" i="2" s="1"/>
  <c r="J63" i="2" s="1"/>
  <c r="K63" i="2" s="1"/>
  <c r="K53" i="2"/>
  <c r="I29" i="2"/>
  <c r="J29" i="2" s="1"/>
  <c r="K29" i="2" s="1"/>
  <c r="L29" i="2" s="1"/>
  <c r="M29" i="2" s="1"/>
  <c r="N29" i="2" s="1"/>
  <c r="O29" i="2" s="1"/>
  <c r="P29" i="2" s="1"/>
  <c r="Q29" i="2" s="1"/>
  <c r="J50" i="2"/>
  <c r="K49" i="2"/>
  <c r="H46" i="2"/>
  <c r="I46" i="2" s="1"/>
  <c r="J46" i="2" s="1"/>
  <c r="K46" i="2" s="1"/>
  <c r="L46" i="2" s="1"/>
  <c r="M46" i="2" s="1"/>
  <c r="N46" i="2" s="1"/>
  <c r="O46" i="2" s="1"/>
  <c r="P46" i="2" s="1"/>
  <c r="Q46" i="2" s="1"/>
  <c r="H45" i="2"/>
  <c r="I45" i="2" s="1"/>
  <c r="J45" i="2" s="1"/>
  <c r="K45" i="2" s="1"/>
  <c r="L45" i="2" s="1"/>
  <c r="M45" i="2" s="1"/>
  <c r="N45" i="2" s="1"/>
  <c r="O45" i="2" s="1"/>
  <c r="P45" i="2" s="1"/>
  <c r="Q45" i="2" s="1"/>
  <c r="H47" i="2"/>
  <c r="H36" i="2"/>
  <c r="I36" i="2" s="1"/>
  <c r="J36" i="2" s="1"/>
  <c r="K36" i="2" s="1"/>
  <c r="E132" i="2"/>
  <c r="E42" i="2"/>
  <c r="G132" i="2"/>
  <c r="G42" i="2"/>
  <c r="F132" i="2"/>
  <c r="F42" i="2"/>
  <c r="H40" i="2"/>
  <c r="I40" i="2" s="1"/>
  <c r="J40" i="2" s="1"/>
  <c r="K40" i="2" s="1"/>
  <c r="H38" i="2"/>
  <c r="I38" i="2" s="1"/>
  <c r="H119" i="2"/>
  <c r="I31" i="2"/>
  <c r="H34" i="2"/>
  <c r="K26" i="2"/>
  <c r="J117" i="2"/>
  <c r="J19" i="2"/>
  <c r="L20" i="2"/>
  <c r="K19" i="2"/>
  <c r="L56" i="1"/>
  <c r="L57" i="1"/>
  <c r="L61" i="1"/>
  <c r="O109" i="1"/>
  <c r="P104" i="1"/>
  <c r="I169" i="1"/>
  <c r="E35" i="5" s="1"/>
  <c r="J96" i="1"/>
  <c r="J92" i="1"/>
  <c r="J45" i="1" s="1"/>
  <c r="J111" i="1"/>
  <c r="J130" i="1" s="1"/>
  <c r="J97" i="1"/>
  <c r="J204" i="1" s="1"/>
  <c r="I45" i="1"/>
  <c r="I93" i="1"/>
  <c r="M100" i="1"/>
  <c r="I79" i="1"/>
  <c r="I83" i="1" s="1"/>
  <c r="I75" i="1" s="1"/>
  <c r="K169" i="2" l="1"/>
  <c r="K37" i="5"/>
  <c r="F223" i="3" s="1"/>
  <c r="M152" i="2"/>
  <c r="M19" i="5"/>
  <c r="H205" i="3" s="1"/>
  <c r="N188" i="1"/>
  <c r="H239" i="3"/>
  <c r="N206" i="1"/>
  <c r="H263" i="3"/>
  <c r="H238" i="3"/>
  <c r="N187" i="1"/>
  <c r="N205" i="1"/>
  <c r="H262" i="3"/>
  <c r="M154" i="1"/>
  <c r="N203" i="1"/>
  <c r="H260" i="3"/>
  <c r="N198" i="1"/>
  <c r="H254" i="3"/>
  <c r="N189" i="1"/>
  <c r="H240" i="3"/>
  <c r="N107" i="2"/>
  <c r="J208" i="1"/>
  <c r="N207" i="1"/>
  <c r="H264" i="3"/>
  <c r="N199" i="1"/>
  <c r="H256" i="3"/>
  <c r="M191" i="1"/>
  <c r="M171" i="1" s="1"/>
  <c r="G242" i="3"/>
  <c r="N190" i="1"/>
  <c r="H241" i="3"/>
  <c r="G181" i="2"/>
  <c r="G189" i="2" s="1"/>
  <c r="G205" i="2" s="1"/>
  <c r="G134" i="2"/>
  <c r="E181" i="2"/>
  <c r="E189" i="2" s="1"/>
  <c r="E205" i="2" s="1"/>
  <c r="E134" i="2"/>
  <c r="F181" i="2"/>
  <c r="F189" i="2" s="1"/>
  <c r="F205" i="2" s="1"/>
  <c r="F134" i="2"/>
  <c r="L48" i="2"/>
  <c r="O103" i="2"/>
  <c r="O105" i="2" s="1"/>
  <c r="N165" i="2"/>
  <c r="O32" i="5" s="1"/>
  <c r="J218" i="3" s="1"/>
  <c r="I88" i="2"/>
  <c r="I96" i="2" s="1"/>
  <c r="H167" i="2"/>
  <c r="H78" i="2"/>
  <c r="H72" i="2" s="1"/>
  <c r="H83" i="2" s="1"/>
  <c r="J68" i="2"/>
  <c r="K80" i="2"/>
  <c r="L63" i="2"/>
  <c r="L53" i="2"/>
  <c r="I28" i="2"/>
  <c r="J28" i="2" s="1"/>
  <c r="J118" i="2" s="1"/>
  <c r="K50" i="2"/>
  <c r="L49" i="2"/>
  <c r="I47" i="2"/>
  <c r="H42" i="2"/>
  <c r="J38" i="2"/>
  <c r="L40" i="2"/>
  <c r="L36" i="2"/>
  <c r="I34" i="2"/>
  <c r="H120" i="2"/>
  <c r="H121" i="2" s="1"/>
  <c r="E149" i="3" s="1"/>
  <c r="J31" i="2"/>
  <c r="I119" i="2"/>
  <c r="L26" i="2"/>
  <c r="K117" i="2"/>
  <c r="M20" i="2"/>
  <c r="L19" i="2"/>
  <c r="M57" i="1"/>
  <c r="M56" i="1"/>
  <c r="M61" i="1"/>
  <c r="P106" i="1"/>
  <c r="P167" i="1" s="1"/>
  <c r="P109" i="1"/>
  <c r="N100" i="1"/>
  <c r="O100" i="1" s="1"/>
  <c r="J98" i="1"/>
  <c r="J169" i="1" s="1"/>
  <c r="J91" i="1"/>
  <c r="J93" i="1" s="1"/>
  <c r="J151" i="1" s="1"/>
  <c r="I151" i="1"/>
  <c r="E16" i="5" s="1"/>
  <c r="I16" i="5" s="1"/>
  <c r="I125" i="1"/>
  <c r="E161" i="3" s="1"/>
  <c r="L169" i="2" l="1"/>
  <c r="L37" i="5"/>
  <c r="G223" i="3" s="1"/>
  <c r="N152" i="2"/>
  <c r="N19" i="5"/>
  <c r="I205" i="3" s="1"/>
  <c r="O205" i="1"/>
  <c r="I262" i="3"/>
  <c r="I254" i="3"/>
  <c r="O198" i="1"/>
  <c r="O189" i="1"/>
  <c r="I240" i="3"/>
  <c r="I238" i="3"/>
  <c r="O187" i="1"/>
  <c r="O203" i="1"/>
  <c r="I260" i="3"/>
  <c r="O206" i="1"/>
  <c r="I263" i="3"/>
  <c r="N154" i="1"/>
  <c r="O188" i="1"/>
  <c r="I239" i="3"/>
  <c r="O107" i="2"/>
  <c r="F35" i="5"/>
  <c r="I35" i="5" s="1"/>
  <c r="H8" i="3"/>
  <c r="O207" i="1"/>
  <c r="I264" i="3"/>
  <c r="O199" i="1"/>
  <c r="I256" i="3"/>
  <c r="N191" i="1"/>
  <c r="N171" i="1" s="1"/>
  <c r="H242" i="3"/>
  <c r="O190" i="1"/>
  <c r="I241" i="3"/>
  <c r="I93" i="2"/>
  <c r="I112" i="2" s="1"/>
  <c r="I128" i="2" s="1"/>
  <c r="F170" i="3" s="1"/>
  <c r="P103" i="2"/>
  <c r="P105" i="2" s="1"/>
  <c r="O165" i="2"/>
  <c r="P32" i="5" s="1"/>
  <c r="K218" i="3" s="1"/>
  <c r="M48" i="2"/>
  <c r="K68" i="2"/>
  <c r="H73" i="2"/>
  <c r="H74" i="2" s="1"/>
  <c r="H166" i="2" s="1"/>
  <c r="F34" i="5" s="1"/>
  <c r="H67" i="2"/>
  <c r="H65" i="2" s="1"/>
  <c r="H183" i="2" s="1"/>
  <c r="I100" i="2"/>
  <c r="L80" i="2"/>
  <c r="H143" i="2"/>
  <c r="H192" i="2"/>
  <c r="M63" i="2"/>
  <c r="M53" i="2"/>
  <c r="K28" i="2"/>
  <c r="K118" i="2" s="1"/>
  <c r="L50" i="2"/>
  <c r="I118" i="2"/>
  <c r="I120" i="2" s="1"/>
  <c r="I121" i="2" s="1"/>
  <c r="F149" i="3" s="1"/>
  <c r="H142" i="2"/>
  <c r="H141" i="2"/>
  <c r="H161" i="2"/>
  <c r="M49" i="2"/>
  <c r="J47" i="2"/>
  <c r="D6" i="2"/>
  <c r="I42" i="2"/>
  <c r="J42" i="2" s="1"/>
  <c r="K42" i="2" s="1"/>
  <c r="L42" i="2" s="1"/>
  <c r="M42" i="2" s="1"/>
  <c r="N42" i="2" s="1"/>
  <c r="O42" i="2" s="1"/>
  <c r="P42" i="2" s="1"/>
  <c r="Q42" i="2" s="1"/>
  <c r="H122" i="2"/>
  <c r="E154" i="3" s="1"/>
  <c r="H129" i="2"/>
  <c r="H126" i="2"/>
  <c r="H160" i="2" s="1"/>
  <c r="K38" i="2"/>
  <c r="M40" i="2"/>
  <c r="M36" i="2"/>
  <c r="J34" i="2"/>
  <c r="K31" i="2"/>
  <c r="J119" i="2"/>
  <c r="M26" i="2"/>
  <c r="L117" i="2"/>
  <c r="N20" i="2"/>
  <c r="M19" i="2"/>
  <c r="N56" i="1"/>
  <c r="N57" i="1"/>
  <c r="N61" i="1"/>
  <c r="Q104" i="1"/>
  <c r="K96" i="1"/>
  <c r="K101" i="1"/>
  <c r="K111" i="1" s="1"/>
  <c r="K130" i="1" s="1"/>
  <c r="P100" i="1"/>
  <c r="K91" i="1"/>
  <c r="O152" i="2" l="1"/>
  <c r="O19" i="5"/>
  <c r="J205" i="3" s="1"/>
  <c r="M169" i="2"/>
  <c r="M37" i="5"/>
  <c r="H223" i="3" s="1"/>
  <c r="F28" i="5"/>
  <c r="H61" i="2"/>
  <c r="F27" i="5"/>
  <c r="H60" i="2"/>
  <c r="F8" i="5"/>
  <c r="H56" i="2"/>
  <c r="F10" i="5"/>
  <c r="H58" i="2"/>
  <c r="F9" i="5"/>
  <c r="H57" i="2"/>
  <c r="I94" i="2"/>
  <c r="I89" i="2" s="1"/>
  <c r="I111" i="2" s="1"/>
  <c r="I200" i="2" s="1"/>
  <c r="I203" i="2" s="1"/>
  <c r="P107" i="2"/>
  <c r="P112" i="2" s="1"/>
  <c r="P128" i="2" s="1"/>
  <c r="J238" i="3"/>
  <c r="P187" i="1"/>
  <c r="P189" i="1"/>
  <c r="J240" i="3"/>
  <c r="P198" i="1"/>
  <c r="J254" i="3"/>
  <c r="P206" i="1"/>
  <c r="J263" i="3"/>
  <c r="P188" i="1"/>
  <c r="J239" i="3"/>
  <c r="O154" i="1"/>
  <c r="P203" i="1"/>
  <c r="J260" i="3"/>
  <c r="P205" i="1"/>
  <c r="J262" i="3"/>
  <c r="P207" i="1"/>
  <c r="J264" i="3"/>
  <c r="P199" i="1"/>
  <c r="J256" i="3"/>
  <c r="O191" i="1"/>
  <c r="O171" i="1" s="1"/>
  <c r="I242" i="3"/>
  <c r="P190" i="1"/>
  <c r="J241" i="3"/>
  <c r="Q103" i="2"/>
  <c r="Q105" i="2" s="1"/>
  <c r="Q165" i="2" s="1"/>
  <c r="R32" i="5" s="1"/>
  <c r="M218" i="3" s="1"/>
  <c r="P165" i="2"/>
  <c r="Q32" i="5" s="1"/>
  <c r="L218" i="3" s="1"/>
  <c r="J98" i="2"/>
  <c r="I149" i="2"/>
  <c r="N48" i="2"/>
  <c r="H196" i="2"/>
  <c r="H147" i="2"/>
  <c r="I141" i="2"/>
  <c r="I56" i="2" s="1"/>
  <c r="I142" i="2"/>
  <c r="I57" i="2" s="1"/>
  <c r="I143" i="2"/>
  <c r="I58" i="2" s="1"/>
  <c r="I161" i="2"/>
  <c r="I61" i="2" s="1"/>
  <c r="I71" i="2"/>
  <c r="I77" i="2" s="1"/>
  <c r="I90" i="2"/>
  <c r="H84" i="2"/>
  <c r="H85" i="2" s="1"/>
  <c r="I73" i="2"/>
  <c r="I84" i="2" s="1"/>
  <c r="I67" i="2"/>
  <c r="I65" i="2" s="1"/>
  <c r="I183" i="2" s="1"/>
  <c r="L68" i="2"/>
  <c r="L28" i="2"/>
  <c r="M28" i="2" s="1"/>
  <c r="M80" i="2"/>
  <c r="I192" i="2"/>
  <c r="I196" i="2" s="1"/>
  <c r="N63" i="2"/>
  <c r="H54" i="2"/>
  <c r="N53" i="2"/>
  <c r="M50" i="2"/>
  <c r="H123" i="2"/>
  <c r="H127" i="2" s="1"/>
  <c r="H130" i="2" s="1"/>
  <c r="H131" i="2" s="1"/>
  <c r="H159" i="2"/>
  <c r="N49" i="2"/>
  <c r="K47" i="2"/>
  <c r="L38" i="2"/>
  <c r="I122" i="2"/>
  <c r="I129" i="2"/>
  <c r="I126" i="2"/>
  <c r="I160" i="2" s="1"/>
  <c r="I60" i="2" s="1"/>
  <c r="N40" i="2"/>
  <c r="N36" i="2"/>
  <c r="K34" i="2"/>
  <c r="J120" i="2"/>
  <c r="J121" i="2" s="1"/>
  <c r="G149" i="3" s="1"/>
  <c r="L31" i="2"/>
  <c r="K119" i="2"/>
  <c r="N26" i="2"/>
  <c r="M117" i="2"/>
  <c r="O20" i="2"/>
  <c r="N19" i="2"/>
  <c r="O57" i="1"/>
  <c r="O56" i="1"/>
  <c r="O61" i="1"/>
  <c r="Q106" i="1"/>
  <c r="Q167" i="1" s="1"/>
  <c r="Q109" i="1"/>
  <c r="K92" i="1"/>
  <c r="K45" i="1" s="1"/>
  <c r="K97" i="1"/>
  <c r="Q100" i="1"/>
  <c r="E261" i="3" l="1"/>
  <c r="N169" i="2"/>
  <c r="N37" i="5"/>
  <c r="I223" i="3" s="1"/>
  <c r="P152" i="2"/>
  <c r="P19" i="5"/>
  <c r="K205" i="3" s="1"/>
  <c r="F26" i="5"/>
  <c r="F29" i="5" s="1"/>
  <c r="H59" i="2"/>
  <c r="Q107" i="2"/>
  <c r="Q112" i="2" s="1"/>
  <c r="Q128" i="2" s="1"/>
  <c r="Q205" i="1"/>
  <c r="K262" i="3"/>
  <c r="Q206" i="1"/>
  <c r="K263" i="3"/>
  <c r="Q203" i="1"/>
  <c r="K260" i="3"/>
  <c r="Q198" i="1"/>
  <c r="K254" i="3"/>
  <c r="P154" i="1"/>
  <c r="Q189" i="1"/>
  <c r="K240" i="3"/>
  <c r="K238" i="3"/>
  <c r="Q187" i="1"/>
  <c r="Q188" i="1"/>
  <c r="K239" i="3"/>
  <c r="J16" i="5"/>
  <c r="E202" i="3" s="1"/>
  <c r="Q207" i="1"/>
  <c r="K264" i="3"/>
  <c r="Q199" i="1"/>
  <c r="K256" i="3"/>
  <c r="P191" i="1"/>
  <c r="P171" i="1" s="1"/>
  <c r="J242" i="3"/>
  <c r="Q190" i="1"/>
  <c r="K241" i="3"/>
  <c r="L43" i="3"/>
  <c r="F14" i="5"/>
  <c r="I159" i="2"/>
  <c r="F154" i="3"/>
  <c r="O48" i="2"/>
  <c r="I147" i="2"/>
  <c r="J67" i="2"/>
  <c r="J65" i="2" s="1"/>
  <c r="J183" i="2" s="1"/>
  <c r="J141" i="2"/>
  <c r="J142" i="2"/>
  <c r="J143" i="2"/>
  <c r="J58" i="2" s="1"/>
  <c r="J161" i="2"/>
  <c r="J61" i="2" s="1"/>
  <c r="J88" i="2"/>
  <c r="J96" i="2" s="1"/>
  <c r="I167" i="2"/>
  <c r="I76" i="2"/>
  <c r="I82" i="2"/>
  <c r="H148" i="2"/>
  <c r="M68" i="2"/>
  <c r="L118" i="2"/>
  <c r="J192" i="2"/>
  <c r="J196" i="2" s="1"/>
  <c r="J73" i="2"/>
  <c r="J84" i="2" s="1"/>
  <c r="N80" i="2"/>
  <c r="I54" i="2"/>
  <c r="H162" i="2"/>
  <c r="H55" i="2"/>
  <c r="H188" i="2" s="1"/>
  <c r="O63" i="2"/>
  <c r="H132" i="2"/>
  <c r="H186" i="2"/>
  <c r="H168" i="2" s="1"/>
  <c r="O53" i="2"/>
  <c r="I123" i="2"/>
  <c r="N50" i="2"/>
  <c r="O49" i="2"/>
  <c r="L47" i="2"/>
  <c r="J122" i="2"/>
  <c r="J129" i="2"/>
  <c r="J126" i="2"/>
  <c r="J160" i="2" s="1"/>
  <c r="J60" i="2" s="1"/>
  <c r="M38" i="2"/>
  <c r="O40" i="2"/>
  <c r="O36" i="2"/>
  <c r="L34" i="2"/>
  <c r="K120" i="2"/>
  <c r="K121" i="2" s="1"/>
  <c r="H149" i="3" s="1"/>
  <c r="M31" i="2"/>
  <c r="L119" i="2"/>
  <c r="N28" i="2"/>
  <c r="M118" i="2"/>
  <c r="O26" i="2"/>
  <c r="N117" i="2"/>
  <c r="P20" i="2"/>
  <c r="O19" i="2"/>
  <c r="P57" i="1"/>
  <c r="K98" i="1"/>
  <c r="K169" i="1" s="1"/>
  <c r="K204" i="1"/>
  <c r="P56" i="1"/>
  <c r="P61" i="1"/>
  <c r="R104" i="1"/>
  <c r="K93" i="1"/>
  <c r="R100" i="1"/>
  <c r="Q152" i="2" l="1"/>
  <c r="R19" i="5" s="1"/>
  <c r="M205" i="3" s="1"/>
  <c r="Q19" i="5"/>
  <c r="L205" i="3" s="1"/>
  <c r="O169" i="2"/>
  <c r="O37" i="5"/>
  <c r="J223" i="3" s="1"/>
  <c r="J56" i="2"/>
  <c r="J57" i="2"/>
  <c r="I162" i="2"/>
  <c r="I59" i="2"/>
  <c r="R198" i="1"/>
  <c r="M254" i="3" s="1"/>
  <c r="L254" i="3"/>
  <c r="R188" i="1"/>
  <c r="M239" i="3" s="1"/>
  <c r="L239" i="3"/>
  <c r="L238" i="3"/>
  <c r="R187" i="1"/>
  <c r="M238" i="3" s="1"/>
  <c r="R203" i="1"/>
  <c r="M260" i="3" s="1"/>
  <c r="L260" i="3"/>
  <c r="R189" i="1"/>
  <c r="M240" i="3" s="1"/>
  <c r="L240" i="3"/>
  <c r="R206" i="1"/>
  <c r="M263" i="3" s="1"/>
  <c r="L263" i="3"/>
  <c r="Q154" i="1"/>
  <c r="R205" i="1"/>
  <c r="M262" i="3" s="1"/>
  <c r="L262" i="3"/>
  <c r="J35" i="5"/>
  <c r="E221" i="3" s="1"/>
  <c r="K208" i="1"/>
  <c r="R207" i="1"/>
  <c r="M264" i="3" s="1"/>
  <c r="L264" i="3"/>
  <c r="R199" i="1"/>
  <c r="M256" i="3" s="1"/>
  <c r="L256" i="3"/>
  <c r="Q191" i="1"/>
  <c r="Q171" i="1" s="1"/>
  <c r="K242" i="3"/>
  <c r="R190" i="1"/>
  <c r="M241" i="3" s="1"/>
  <c r="L241" i="3"/>
  <c r="F36" i="5"/>
  <c r="F38" i="5" s="1"/>
  <c r="E50" i="3"/>
  <c r="G36" i="5" s="1"/>
  <c r="H181" i="2"/>
  <c r="H172" i="2" s="1"/>
  <c r="H134" i="2"/>
  <c r="J159" i="2"/>
  <c r="G154" i="3"/>
  <c r="H153" i="2"/>
  <c r="F15" i="5"/>
  <c r="F20" i="5" s="1"/>
  <c r="E47" i="3"/>
  <c r="G14" i="5"/>
  <c r="E165" i="3"/>
  <c r="E246" i="3" s="1"/>
  <c r="J147" i="2"/>
  <c r="K143" i="2"/>
  <c r="K141" i="2"/>
  <c r="K142" i="2"/>
  <c r="K161" i="2"/>
  <c r="K61" i="2" s="1"/>
  <c r="J93" i="2"/>
  <c r="J94" i="2" s="1"/>
  <c r="J89" i="2" s="1"/>
  <c r="P48" i="2"/>
  <c r="I78" i="2"/>
  <c r="I72" i="2" s="1"/>
  <c r="I125" i="2"/>
  <c r="I127" i="2" s="1"/>
  <c r="I130" i="2" s="1"/>
  <c r="I131" i="2" s="1"/>
  <c r="J100" i="2"/>
  <c r="N68" i="2"/>
  <c r="K73" i="2"/>
  <c r="K84" i="2" s="1"/>
  <c r="K67" i="2"/>
  <c r="K65" i="2" s="1"/>
  <c r="K183" i="2" s="1"/>
  <c r="O80" i="2"/>
  <c r="I55" i="2"/>
  <c r="I188" i="2" s="1"/>
  <c r="K192" i="2"/>
  <c r="K196" i="2" s="1"/>
  <c r="J54" i="2"/>
  <c r="P63" i="2"/>
  <c r="P53" i="2"/>
  <c r="O50" i="2"/>
  <c r="J123" i="2"/>
  <c r="P49" i="2"/>
  <c r="M47" i="2"/>
  <c r="N38" i="2"/>
  <c r="K122" i="2"/>
  <c r="K129" i="2"/>
  <c r="K126" i="2"/>
  <c r="K160" i="2" s="1"/>
  <c r="K60" i="2" s="1"/>
  <c r="P40" i="2"/>
  <c r="P36" i="2"/>
  <c r="M34" i="2"/>
  <c r="L120" i="2"/>
  <c r="L121" i="2" s="1"/>
  <c r="I149" i="3" s="1"/>
  <c r="N31" i="2"/>
  <c r="M119" i="2"/>
  <c r="O28" i="2"/>
  <c r="N118" i="2"/>
  <c r="P26" i="2"/>
  <c r="O117" i="2"/>
  <c r="Q20" i="2"/>
  <c r="Q19" i="2" s="1"/>
  <c r="P19" i="2"/>
  <c r="Q56" i="1"/>
  <c r="L101" i="1"/>
  <c r="L111" i="1" s="1"/>
  <c r="L130" i="1" s="1"/>
  <c r="L96" i="1"/>
  <c r="Q57" i="1"/>
  <c r="L91" i="1"/>
  <c r="K151" i="1"/>
  <c r="Q61" i="1"/>
  <c r="R106" i="1"/>
  <c r="R167" i="1" s="1"/>
  <c r="R109" i="1"/>
  <c r="P169" i="2" l="1"/>
  <c r="P37" i="5"/>
  <c r="K223" i="3" s="1"/>
  <c r="L57" i="2"/>
  <c r="J162" i="2"/>
  <c r="J59" i="2"/>
  <c r="K58" i="2"/>
  <c r="K56" i="2"/>
  <c r="K57" i="2"/>
  <c r="H189" i="2"/>
  <c r="H205" i="2" s="1"/>
  <c r="H140" i="2" s="1"/>
  <c r="F7" i="5" s="1"/>
  <c r="F11" i="5" s="1"/>
  <c r="F22" i="5" s="1"/>
  <c r="R154" i="1"/>
  <c r="R191" i="1"/>
  <c r="M242" i="3" s="1"/>
  <c r="L242" i="3"/>
  <c r="F165" i="3"/>
  <c r="F246" i="3" s="1"/>
  <c r="E43" i="3"/>
  <c r="E45" i="3" s="1"/>
  <c r="F40" i="5"/>
  <c r="G40" i="5" s="1"/>
  <c r="K159" i="2"/>
  <c r="K59" i="2" s="1"/>
  <c r="H154" i="3"/>
  <c r="H6" i="3"/>
  <c r="H9" i="3" s="1"/>
  <c r="J90" i="2"/>
  <c r="J111" i="2"/>
  <c r="J200" i="2" s="1"/>
  <c r="K98" i="2"/>
  <c r="J149" i="2"/>
  <c r="K16" i="5" s="1"/>
  <c r="F202" i="3" s="1"/>
  <c r="J112" i="2"/>
  <c r="J128" i="2" s="1"/>
  <c r="G170" i="3" s="1"/>
  <c r="Q48" i="2"/>
  <c r="K147" i="2"/>
  <c r="L142" i="2"/>
  <c r="L143" i="2"/>
  <c r="L141" i="2"/>
  <c r="L56" i="2" s="1"/>
  <c r="L161" i="2"/>
  <c r="L61" i="2" s="1"/>
  <c r="I132" i="2"/>
  <c r="I186" i="2"/>
  <c r="I168" i="2" s="1"/>
  <c r="I83" i="2"/>
  <c r="I85" i="2" s="1"/>
  <c r="I74" i="2"/>
  <c r="H170" i="2"/>
  <c r="H174" i="2" s="1"/>
  <c r="L73" i="2"/>
  <c r="L84" i="2" s="1"/>
  <c r="L67" i="2"/>
  <c r="L65" i="2" s="1"/>
  <c r="L183" i="2" s="1"/>
  <c r="O68" i="2"/>
  <c r="P80" i="2"/>
  <c r="K54" i="2"/>
  <c r="J55" i="2"/>
  <c r="J188" i="2" s="1"/>
  <c r="L192" i="2"/>
  <c r="L196" i="2" s="1"/>
  <c r="Q63" i="2"/>
  <c r="Q53" i="2"/>
  <c r="K123" i="2"/>
  <c r="P50" i="2"/>
  <c r="Q49" i="2"/>
  <c r="N47" i="2"/>
  <c r="O38" i="2"/>
  <c r="L122" i="2"/>
  <c r="L129" i="2"/>
  <c r="L126" i="2"/>
  <c r="L160" i="2" s="1"/>
  <c r="L60" i="2" s="1"/>
  <c r="Q40" i="2"/>
  <c r="Q36" i="2"/>
  <c r="N34" i="2"/>
  <c r="M120" i="2"/>
  <c r="M121" i="2" s="1"/>
  <c r="J149" i="3" s="1"/>
  <c r="O31" i="2"/>
  <c r="N119" i="2"/>
  <c r="P28" i="2"/>
  <c r="O118" i="2"/>
  <c r="Q26" i="2"/>
  <c r="Q117" i="2" s="1"/>
  <c r="P117" i="2"/>
  <c r="L92" i="1"/>
  <c r="L45" i="1" s="1"/>
  <c r="L97" i="1"/>
  <c r="L204" i="1" s="1"/>
  <c r="R56" i="1"/>
  <c r="R57" i="1"/>
  <c r="R61" i="1"/>
  <c r="Q169" i="2" l="1"/>
  <c r="R37" i="5" s="1"/>
  <c r="M223" i="3" s="1"/>
  <c r="Q37" i="5"/>
  <c r="L223" i="3" s="1"/>
  <c r="K162" i="2"/>
  <c r="H144" i="2"/>
  <c r="H155" i="2" s="1"/>
  <c r="H176" i="2" s="1"/>
  <c r="L58" i="2"/>
  <c r="R171" i="1"/>
  <c r="J203" i="2"/>
  <c r="F261" i="3"/>
  <c r="L208" i="1"/>
  <c r="G165" i="3"/>
  <c r="G246" i="3" s="1"/>
  <c r="D18" i="3"/>
  <c r="F42" i="5"/>
  <c r="F44" i="5" s="1"/>
  <c r="I181" i="2"/>
  <c r="I172" i="2" s="1"/>
  <c r="I134" i="2"/>
  <c r="L52" i="3"/>
  <c r="L47" i="3"/>
  <c r="L49" i="3" s="1"/>
  <c r="E48" i="3" s="1"/>
  <c r="L159" i="2"/>
  <c r="I154" i="3"/>
  <c r="L147" i="2"/>
  <c r="M67" i="2"/>
  <c r="M65" i="2" s="1"/>
  <c r="M183" i="2" s="1"/>
  <c r="M141" i="2"/>
  <c r="M56" i="2" s="1"/>
  <c r="M142" i="2"/>
  <c r="M143" i="2"/>
  <c r="M58" i="2" s="1"/>
  <c r="M161" i="2"/>
  <c r="M61" i="2" s="1"/>
  <c r="K88" i="2"/>
  <c r="J167" i="2"/>
  <c r="K35" i="5" s="1"/>
  <c r="F221" i="3" s="1"/>
  <c r="J82" i="2"/>
  <c r="I148" i="2"/>
  <c r="I153" i="2" s="1"/>
  <c r="J71" i="2"/>
  <c r="I166" i="2"/>
  <c r="I170" i="2" s="1"/>
  <c r="P68" i="2"/>
  <c r="K100" i="2"/>
  <c r="M192" i="2"/>
  <c r="M196" i="2" s="1"/>
  <c r="M73" i="2"/>
  <c r="M84" i="2" s="1"/>
  <c r="Q80" i="2"/>
  <c r="L54" i="2"/>
  <c r="K55" i="2"/>
  <c r="K188" i="2" s="1"/>
  <c r="L123" i="2"/>
  <c r="Q50" i="2"/>
  <c r="O47" i="2"/>
  <c r="P38" i="2"/>
  <c r="M122" i="2"/>
  <c r="M129" i="2"/>
  <c r="M126" i="2"/>
  <c r="M160" i="2" s="1"/>
  <c r="M60" i="2" s="1"/>
  <c r="O34" i="2"/>
  <c r="N120" i="2"/>
  <c r="N121" i="2" s="1"/>
  <c r="K149" i="3" s="1"/>
  <c r="P31" i="2"/>
  <c r="O119" i="2"/>
  <c r="Q28" i="2"/>
  <c r="Q118" i="2" s="1"/>
  <c r="P118" i="2"/>
  <c r="L93" i="1"/>
  <c r="L151" i="1" s="1"/>
  <c r="L98" i="1"/>
  <c r="L169" i="1" s="1"/>
  <c r="L162" i="2" l="1"/>
  <c r="L59" i="2"/>
  <c r="M57" i="2"/>
  <c r="I189" i="2"/>
  <c r="I205" i="2" s="1"/>
  <c r="I140" i="2" s="1"/>
  <c r="I144" i="2" s="1"/>
  <c r="I155" i="2" s="1"/>
  <c r="H165" i="3"/>
  <c r="H246" i="3" s="1"/>
  <c r="I174" i="2"/>
  <c r="M91" i="1"/>
  <c r="E49" i="3"/>
  <c r="G17" i="5" s="1"/>
  <c r="I17" i="5" s="1"/>
  <c r="E166" i="3"/>
  <c r="E245" i="3" s="1"/>
  <c r="M159" i="2"/>
  <c r="J154" i="3"/>
  <c r="L98" i="2"/>
  <c r="K149" i="2"/>
  <c r="L16" i="5" s="1"/>
  <c r="G202" i="3" s="1"/>
  <c r="M147" i="2"/>
  <c r="K93" i="2"/>
  <c r="K96" i="2"/>
  <c r="N141" i="2"/>
  <c r="N142" i="2"/>
  <c r="N57" i="2" s="1"/>
  <c r="N143" i="2"/>
  <c r="N161" i="2"/>
  <c r="N61" i="2" s="1"/>
  <c r="J77" i="2"/>
  <c r="J76" i="2"/>
  <c r="N73" i="2"/>
  <c r="N84" i="2" s="1"/>
  <c r="N67" i="2"/>
  <c r="N65" i="2" s="1"/>
  <c r="N183" i="2" s="1"/>
  <c r="Q68" i="2"/>
  <c r="L55" i="2"/>
  <c r="L188" i="2" s="1"/>
  <c r="N192" i="2"/>
  <c r="N196" i="2" s="1"/>
  <c r="M54" i="2"/>
  <c r="M123" i="2"/>
  <c r="P47" i="2"/>
  <c r="N122" i="2"/>
  <c r="N129" i="2"/>
  <c r="N126" i="2"/>
  <c r="N160" i="2" s="1"/>
  <c r="N60" i="2" s="1"/>
  <c r="Q38" i="2"/>
  <c r="P34" i="2"/>
  <c r="O120" i="2"/>
  <c r="O121" i="2" s="1"/>
  <c r="L149" i="3" s="1"/>
  <c r="Q31" i="2"/>
  <c r="Q119" i="2" s="1"/>
  <c r="P119" i="2"/>
  <c r="M101" i="1"/>
  <c r="M111" i="1" s="1"/>
  <c r="M130" i="1" s="1"/>
  <c r="M96" i="1"/>
  <c r="M162" i="2" l="1"/>
  <c r="M59" i="2"/>
  <c r="N56" i="2"/>
  <c r="N58" i="2"/>
  <c r="I176" i="2"/>
  <c r="I165" i="3"/>
  <c r="I246" i="3" s="1"/>
  <c r="J17" i="5"/>
  <c r="F166" i="3"/>
  <c r="N159" i="2"/>
  <c r="K154" i="3"/>
  <c r="O67" i="2"/>
  <c r="O65" i="2" s="1"/>
  <c r="O183" i="2" s="1"/>
  <c r="O141" i="2"/>
  <c r="O142" i="2"/>
  <c r="O57" i="2" s="1"/>
  <c r="O143" i="2"/>
  <c r="O58" i="2" s="1"/>
  <c r="O161" i="2"/>
  <c r="O61" i="2" s="1"/>
  <c r="K112" i="2"/>
  <c r="K128" i="2" s="1"/>
  <c r="H170" i="3" s="1"/>
  <c r="K94" i="2"/>
  <c r="K89" i="2" s="1"/>
  <c r="N147" i="2"/>
  <c r="J78" i="2"/>
  <c r="J72" i="2" s="1"/>
  <c r="J125" i="2"/>
  <c r="J127" i="2" s="1"/>
  <c r="J130" i="2" s="1"/>
  <c r="J131" i="2" s="1"/>
  <c r="O192" i="2"/>
  <c r="O196" i="2" s="1"/>
  <c r="O73" i="2"/>
  <c r="O84" i="2" s="1"/>
  <c r="M55" i="2"/>
  <c r="M188" i="2" s="1"/>
  <c r="N54" i="2"/>
  <c r="N123" i="2"/>
  <c r="Q47" i="2"/>
  <c r="O122" i="2"/>
  <c r="O129" i="2"/>
  <c r="O126" i="2"/>
  <c r="O160" i="2" s="1"/>
  <c r="O60" i="2" s="1"/>
  <c r="Q34" i="2"/>
  <c r="Q120" i="2" s="1"/>
  <c r="Q121" i="2" s="1"/>
  <c r="P120" i="2"/>
  <c r="P121" i="2" s="1"/>
  <c r="M149" i="3" s="1"/>
  <c r="M97" i="1"/>
  <c r="M204" i="1" s="1"/>
  <c r="M92" i="1"/>
  <c r="M45" i="1" s="1"/>
  <c r="N162" i="2" l="1"/>
  <c r="N59" i="2"/>
  <c r="P58" i="2"/>
  <c r="O56" i="2"/>
  <c r="E203" i="3"/>
  <c r="J165" i="3"/>
  <c r="M208" i="1"/>
  <c r="F245" i="3"/>
  <c r="K17" i="5" s="1"/>
  <c r="G166" i="3"/>
  <c r="O159" i="2"/>
  <c r="L154" i="3"/>
  <c r="O147" i="2"/>
  <c r="P67" i="2"/>
  <c r="P65" i="2" s="1"/>
  <c r="P183" i="2" s="1"/>
  <c r="P141" i="2"/>
  <c r="P142" i="2"/>
  <c r="P57" i="2" s="1"/>
  <c r="P143" i="2"/>
  <c r="P161" i="2"/>
  <c r="P61" i="2" s="1"/>
  <c r="K90" i="2"/>
  <c r="K111" i="2"/>
  <c r="K200" i="2" s="1"/>
  <c r="Q67" i="2"/>
  <c r="Q65" i="2" s="1"/>
  <c r="Q183" i="2" s="1"/>
  <c r="Q142" i="2"/>
  <c r="Q141" i="2"/>
  <c r="Q143" i="2"/>
  <c r="Q161" i="2"/>
  <c r="J132" i="2"/>
  <c r="J186" i="2"/>
  <c r="J168" i="2" s="1"/>
  <c r="J83" i="2"/>
  <c r="J85" i="2" s="1"/>
  <c r="J74" i="2"/>
  <c r="L100" i="2"/>
  <c r="P192" i="2"/>
  <c r="P196" i="2" s="1"/>
  <c r="P73" i="2"/>
  <c r="P84" i="2" s="1"/>
  <c r="Q192" i="2"/>
  <c r="Q196" i="2" s="1"/>
  <c r="Q73" i="2"/>
  <c r="Q84" i="2" s="1"/>
  <c r="O54" i="2"/>
  <c r="N55" i="2"/>
  <c r="N188" i="2" s="1"/>
  <c r="Q126" i="2"/>
  <c r="Q160" i="2" s="1"/>
  <c r="Q60" i="2" s="1"/>
  <c r="O123" i="2"/>
  <c r="P122" i="2"/>
  <c r="P129" i="2"/>
  <c r="P126" i="2"/>
  <c r="P160" i="2" s="1"/>
  <c r="P60" i="2" s="1"/>
  <c r="Q122" i="2"/>
  <c r="Q159" i="2" s="1"/>
  <c r="Q129" i="2"/>
  <c r="M93" i="1"/>
  <c r="N91" i="1" s="1"/>
  <c r="M98" i="1"/>
  <c r="Q56" i="2" l="1"/>
  <c r="O162" i="2"/>
  <c r="O59" i="2"/>
  <c r="Q58" i="2"/>
  <c r="Q61" i="2"/>
  <c r="Q57" i="2"/>
  <c r="P56" i="2"/>
  <c r="F203" i="3"/>
  <c r="J246" i="3"/>
  <c r="K165" i="3"/>
  <c r="K203" i="2"/>
  <c r="G261" i="3"/>
  <c r="G245" i="3"/>
  <c r="L17" i="5" s="1"/>
  <c r="H166" i="3"/>
  <c r="H245" i="3" s="1"/>
  <c r="J181" i="2"/>
  <c r="J172" i="2" s="1"/>
  <c r="J134" i="2"/>
  <c r="P159" i="2"/>
  <c r="Q59" i="2" s="1"/>
  <c r="M154" i="3"/>
  <c r="M98" i="2"/>
  <c r="M100" i="2" s="1"/>
  <c r="L149" i="2"/>
  <c r="M16" i="5" s="1"/>
  <c r="H202" i="3" s="1"/>
  <c r="L88" i="2"/>
  <c r="K167" i="2"/>
  <c r="L35" i="5" s="1"/>
  <c r="G221" i="3" s="1"/>
  <c r="Q162" i="2"/>
  <c r="P147" i="2"/>
  <c r="Q147" i="2" s="1"/>
  <c r="M151" i="1"/>
  <c r="K71" i="2"/>
  <c r="J166" i="2"/>
  <c r="K82" i="2"/>
  <c r="J148" i="2"/>
  <c r="J153" i="2" s="1"/>
  <c r="Q54" i="2"/>
  <c r="O55" i="2"/>
  <c r="O188" i="2" s="1"/>
  <c r="P54" i="2"/>
  <c r="Q123" i="2"/>
  <c r="P123" i="2"/>
  <c r="M169" i="1"/>
  <c r="N101" i="1"/>
  <c r="N96" i="1"/>
  <c r="P162" i="2" l="1"/>
  <c r="P59" i="2"/>
  <c r="M17" i="5"/>
  <c r="G203" i="3"/>
  <c r="K246" i="3"/>
  <c r="L165" i="3"/>
  <c r="J189" i="2"/>
  <c r="J205" i="2" s="1"/>
  <c r="J140" i="2" s="1"/>
  <c r="J144" i="2" s="1"/>
  <c r="J155" i="2" s="1"/>
  <c r="I166" i="3"/>
  <c r="I245" i="3" s="1"/>
  <c r="L96" i="2"/>
  <c r="M96" i="2" s="1"/>
  <c r="L93" i="2"/>
  <c r="N98" i="2"/>
  <c r="M149" i="2"/>
  <c r="N16" i="5" s="1"/>
  <c r="I202" i="3" s="1"/>
  <c r="K76" i="2"/>
  <c r="K125" i="2" s="1"/>
  <c r="K127" i="2" s="1"/>
  <c r="K130" i="2" s="1"/>
  <c r="K131" i="2" s="1"/>
  <c r="K77" i="2"/>
  <c r="J170" i="2"/>
  <c r="J174" i="2" s="1"/>
  <c r="Q55" i="2"/>
  <c r="Q188" i="2" s="1"/>
  <c r="P55" i="2"/>
  <c r="P188" i="2" s="1"/>
  <c r="N111" i="1"/>
  <c r="N130" i="1" s="1"/>
  <c r="N97" i="1"/>
  <c r="N92" i="1"/>
  <c r="J176" i="2" l="1"/>
  <c r="N17" i="5"/>
  <c r="H203" i="3"/>
  <c r="L246" i="3"/>
  <c r="M165" i="3"/>
  <c r="M246" i="3" s="1"/>
  <c r="J166" i="3"/>
  <c r="J245" i="3" s="1"/>
  <c r="K78" i="2"/>
  <c r="K72" i="2" s="1"/>
  <c r="K83" i="2" s="1"/>
  <c r="K85" i="2" s="1"/>
  <c r="L82" i="2" s="1"/>
  <c r="L112" i="2"/>
  <c r="L128" i="2" s="1"/>
  <c r="I170" i="3" s="1"/>
  <c r="L94" i="2"/>
  <c r="L89" i="2" s="1"/>
  <c r="N96" i="2"/>
  <c r="K186" i="2"/>
  <c r="K168" i="2" s="1"/>
  <c r="K132" i="2"/>
  <c r="N100" i="2"/>
  <c r="N204" i="1"/>
  <c r="N98" i="1"/>
  <c r="N45" i="1"/>
  <c r="N93" i="1"/>
  <c r="O17" i="5" l="1"/>
  <c r="I203" i="3"/>
  <c r="K74" i="2"/>
  <c r="K166" i="2" s="1"/>
  <c r="K148" i="2"/>
  <c r="K153" i="2" s="1"/>
  <c r="N208" i="1"/>
  <c r="K166" i="3"/>
  <c r="K245" i="3" s="1"/>
  <c r="K181" i="2"/>
  <c r="K172" i="2" s="1"/>
  <c r="K134" i="2"/>
  <c r="L90" i="2"/>
  <c r="L111" i="2"/>
  <c r="L200" i="2" s="1"/>
  <c r="O98" i="2"/>
  <c r="O100" i="2" s="1"/>
  <c r="N149" i="2"/>
  <c r="O16" i="5" s="1"/>
  <c r="J202" i="3" s="1"/>
  <c r="O96" i="2"/>
  <c r="N169" i="1"/>
  <c r="O96" i="1"/>
  <c r="O101" i="1"/>
  <c r="N151" i="1"/>
  <c r="O91" i="1"/>
  <c r="L71" i="2" l="1"/>
  <c r="L76" i="2" s="1"/>
  <c r="L125" i="2" s="1"/>
  <c r="L127" i="2" s="1"/>
  <c r="L130" i="2" s="1"/>
  <c r="L131" i="2" s="1"/>
  <c r="P17" i="5"/>
  <c r="J203" i="3"/>
  <c r="L77" i="2"/>
  <c r="L203" i="2"/>
  <c r="H261" i="3"/>
  <c r="K189" i="2"/>
  <c r="K205" i="2" s="1"/>
  <c r="K140" i="2" s="1"/>
  <c r="K144" i="2" s="1"/>
  <c r="K155" i="2" s="1"/>
  <c r="L166" i="3"/>
  <c r="L245" i="3" s="1"/>
  <c r="P98" i="2"/>
  <c r="P100" i="2" s="1"/>
  <c r="P149" i="2" s="1"/>
  <c r="Q16" i="5" s="1"/>
  <c r="L202" i="3" s="1"/>
  <c r="O149" i="2"/>
  <c r="P16" i="5" s="1"/>
  <c r="K202" i="3" s="1"/>
  <c r="M88" i="2"/>
  <c r="L167" i="2"/>
  <c r="M35" i="5" s="1"/>
  <c r="H221" i="3" s="1"/>
  <c r="K170" i="2"/>
  <c r="K174" i="2" s="1"/>
  <c r="L78" i="2"/>
  <c r="L72" i="2" s="1"/>
  <c r="L132" i="2"/>
  <c r="L186" i="2"/>
  <c r="L168" i="2" s="1"/>
  <c r="O92" i="1"/>
  <c r="O111" i="1"/>
  <c r="O130" i="1" s="1"/>
  <c r="O97" i="1"/>
  <c r="Q17" i="5" l="1"/>
  <c r="K203" i="3"/>
  <c r="K176" i="2"/>
  <c r="M166" i="3"/>
  <c r="M245" i="3" s="1"/>
  <c r="L181" i="2"/>
  <c r="L172" i="2" s="1"/>
  <c r="L134" i="2"/>
  <c r="M93" i="2"/>
  <c r="M112" i="2" s="1"/>
  <c r="M128" i="2" s="1"/>
  <c r="J170" i="3" s="1"/>
  <c r="M92" i="2"/>
  <c r="L74" i="2"/>
  <c r="L83" i="2"/>
  <c r="L85" i="2" s="1"/>
  <c r="O204" i="1"/>
  <c r="O98" i="1"/>
  <c r="O45" i="1"/>
  <c r="O93" i="1"/>
  <c r="R17" i="5" l="1"/>
  <c r="M203" i="3" s="1"/>
  <c r="L203" i="3"/>
  <c r="M94" i="2"/>
  <c r="M89" i="2" s="1"/>
  <c r="M111" i="2" s="1"/>
  <c r="M200" i="2" s="1"/>
  <c r="M203" i="2" s="1"/>
  <c r="I261" i="3"/>
  <c r="L189" i="2"/>
  <c r="L205" i="2" s="1"/>
  <c r="L140" i="2" s="1"/>
  <c r="L144" i="2" s="1"/>
  <c r="O208" i="1"/>
  <c r="M90" i="2"/>
  <c r="M71" i="2"/>
  <c r="L166" i="2"/>
  <c r="L170" i="2" s="1"/>
  <c r="L174" i="2" s="1"/>
  <c r="M82" i="2"/>
  <c r="L148" i="2"/>
  <c r="L153" i="2" s="1"/>
  <c r="O169" i="1"/>
  <c r="P101" i="1"/>
  <c r="P96" i="1"/>
  <c r="O151" i="1"/>
  <c r="P91" i="1"/>
  <c r="L155" i="2" l="1"/>
  <c r="L176" i="2" s="1"/>
  <c r="N88" i="2"/>
  <c r="M167" i="2"/>
  <c r="N35" i="5" s="1"/>
  <c r="I221" i="3" s="1"/>
  <c r="M77" i="2"/>
  <c r="M76" i="2"/>
  <c r="M125" i="2" s="1"/>
  <c r="M127" i="2" s="1"/>
  <c r="M130" i="2" s="1"/>
  <c r="M131" i="2" s="1"/>
  <c r="P92" i="1"/>
  <c r="P45" i="1" s="1"/>
  <c r="P111" i="1"/>
  <c r="P130" i="1" s="1"/>
  <c r="P97" i="1"/>
  <c r="N93" i="2" l="1"/>
  <c r="N112" i="2" s="1"/>
  <c r="N128" i="2" s="1"/>
  <c r="K170" i="3" s="1"/>
  <c r="N92" i="2"/>
  <c r="M132" i="2"/>
  <c r="M186" i="2"/>
  <c r="M168" i="2" s="1"/>
  <c r="M78" i="2"/>
  <c r="M72" i="2" s="1"/>
  <c r="P204" i="1"/>
  <c r="P98" i="1"/>
  <c r="P93" i="1"/>
  <c r="N94" i="2" l="1"/>
  <c r="N89" i="2" s="1"/>
  <c r="N111" i="2" s="1"/>
  <c r="N200" i="2" s="1"/>
  <c r="P208" i="1"/>
  <c r="M181" i="2"/>
  <c r="M172" i="2" s="1"/>
  <c r="M134" i="2"/>
  <c r="M189" i="2"/>
  <c r="M205" i="2" s="1"/>
  <c r="M140" i="2" s="1"/>
  <c r="M144" i="2" s="1"/>
  <c r="M74" i="2"/>
  <c r="M83" i="2"/>
  <c r="M85" i="2" s="1"/>
  <c r="P169" i="1"/>
  <c r="Q101" i="1"/>
  <c r="Q96" i="1"/>
  <c r="P151" i="1"/>
  <c r="Q91" i="1"/>
  <c r="N90" i="2" l="1"/>
  <c r="O88" i="2" s="1"/>
  <c r="N203" i="2"/>
  <c r="J261" i="3"/>
  <c r="N82" i="2"/>
  <c r="M148" i="2"/>
  <c r="M153" i="2" s="1"/>
  <c r="M155" i="2" s="1"/>
  <c r="N71" i="2"/>
  <c r="M166" i="2"/>
  <c r="M170" i="2" s="1"/>
  <c r="M174" i="2" s="1"/>
  <c r="Q111" i="1"/>
  <c r="Q130" i="1" s="1"/>
  <c r="M170" i="3" s="1"/>
  <c r="Q97" i="1"/>
  <c r="Q92" i="1"/>
  <c r="N167" i="2" l="1"/>
  <c r="O35" i="5" s="1"/>
  <c r="J221" i="3" s="1"/>
  <c r="O93" i="2"/>
  <c r="O112" i="2" s="1"/>
  <c r="O128" i="2" s="1"/>
  <c r="L170" i="3" s="1"/>
  <c r="O92" i="2"/>
  <c r="M176" i="2"/>
  <c r="N77" i="2"/>
  <c r="N76" i="2"/>
  <c r="N125" i="2" s="1"/>
  <c r="N127" i="2" s="1"/>
  <c r="N130" i="2" s="1"/>
  <c r="N131" i="2" s="1"/>
  <c r="Q204" i="1"/>
  <c r="Q98" i="1"/>
  <c r="Q45" i="1"/>
  <c r="Q93" i="1"/>
  <c r="O94" i="2" l="1"/>
  <c r="O89" i="2" s="1"/>
  <c r="O111" i="2" s="1"/>
  <c r="O200" i="2" s="1"/>
  <c r="O203" i="2" s="1"/>
  <c r="Q208" i="1"/>
  <c r="N78" i="2"/>
  <c r="N72" i="2" s="1"/>
  <c r="N74" i="2" s="1"/>
  <c r="N186" i="2"/>
  <c r="N168" i="2" s="1"/>
  <c r="N132" i="2"/>
  <c r="Q169" i="1"/>
  <c r="R96" i="1"/>
  <c r="R101" i="1"/>
  <c r="Q151" i="1"/>
  <c r="R91" i="1"/>
  <c r="O90" i="2" l="1"/>
  <c r="P88" i="2" s="1"/>
  <c r="P89" i="2" s="1"/>
  <c r="O167" i="2"/>
  <c r="P35" i="5" s="1"/>
  <c r="K221" i="3" s="1"/>
  <c r="K261" i="3"/>
  <c r="N83" i="2"/>
  <c r="N85" i="2" s="1"/>
  <c r="O82" i="2" s="1"/>
  <c r="N181" i="2"/>
  <c r="N172" i="2" s="1"/>
  <c r="N134" i="2"/>
  <c r="P90" i="2"/>
  <c r="P167" i="2" s="1"/>
  <c r="Q35" i="5" s="1"/>
  <c r="L221" i="3" s="1"/>
  <c r="P111" i="2"/>
  <c r="P200" i="2" s="1"/>
  <c r="O71" i="2"/>
  <c r="N166" i="2"/>
  <c r="R92" i="1"/>
  <c r="R111" i="1"/>
  <c r="R130" i="1" s="1"/>
  <c r="R97" i="1"/>
  <c r="N189" i="2" l="1"/>
  <c r="N205" i="2" s="1"/>
  <c r="N140" i="2" s="1"/>
  <c r="N144" i="2" s="1"/>
  <c r="N148" i="2"/>
  <c r="N153" i="2" s="1"/>
  <c r="N155" i="2" s="1"/>
  <c r="P203" i="2"/>
  <c r="L261" i="3"/>
  <c r="N170" i="2"/>
  <c r="N174" i="2" s="1"/>
  <c r="O76" i="2"/>
  <c r="O125" i="2" s="1"/>
  <c r="O127" i="2" s="1"/>
  <c r="O130" i="2" s="1"/>
  <c r="O131" i="2" s="1"/>
  <c r="O77" i="2"/>
  <c r="R204" i="1"/>
  <c r="R98" i="1"/>
  <c r="R169" i="1" s="1"/>
  <c r="R45" i="1"/>
  <c r="R93" i="1"/>
  <c r="R151" i="1" s="1"/>
  <c r="R208" i="1" l="1"/>
  <c r="M261" i="3"/>
  <c r="O78" i="2"/>
  <c r="O72" i="2" s="1"/>
  <c r="O83" i="2" s="1"/>
  <c r="O85" i="2" s="1"/>
  <c r="P82" i="2" s="1"/>
  <c r="O132" i="2"/>
  <c r="O186" i="2"/>
  <c r="O168" i="2" s="1"/>
  <c r="O148" i="2"/>
  <c r="O153" i="2" s="1"/>
  <c r="N176" i="2"/>
  <c r="I131" i="1"/>
  <c r="F46" i="1"/>
  <c r="F48" i="1" s="1"/>
  <c r="G46" i="1"/>
  <c r="G48" i="1" s="1"/>
  <c r="H46" i="1"/>
  <c r="H48" i="1" s="1"/>
  <c r="E46" i="1"/>
  <c r="E48" i="1" s="1"/>
  <c r="F30" i="1"/>
  <c r="G30" i="1"/>
  <c r="H30" i="1"/>
  <c r="E30" i="1"/>
  <c r="F27" i="1"/>
  <c r="G27" i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7" i="1"/>
  <c r="L34" i="1"/>
  <c r="M34" i="1" s="1"/>
  <c r="F36" i="1"/>
  <c r="G36" i="1"/>
  <c r="H36" i="1"/>
  <c r="E36" i="1"/>
  <c r="F33" i="1"/>
  <c r="G33" i="1"/>
  <c r="H33" i="1"/>
  <c r="E33" i="1"/>
  <c r="I17" i="1"/>
  <c r="L18" i="1"/>
  <c r="M18" i="1" s="1"/>
  <c r="N18" i="1" s="1"/>
  <c r="O18" i="1" s="1"/>
  <c r="P18" i="1" s="1"/>
  <c r="Q18" i="1" s="1"/>
  <c r="R18" i="1" s="1"/>
  <c r="G18" i="1"/>
  <c r="H18" i="1"/>
  <c r="F18" i="1"/>
  <c r="E21" i="1"/>
  <c r="F24" i="1"/>
  <c r="G24" i="1"/>
  <c r="H24" i="1"/>
  <c r="E24" i="1"/>
  <c r="F21" i="1"/>
  <c r="G21" i="1"/>
  <c r="H21" i="1"/>
  <c r="E208" i="1"/>
  <c r="E200" i="1"/>
  <c r="E194" i="1"/>
  <c r="G200" i="1"/>
  <c r="H200" i="1"/>
  <c r="F200" i="1"/>
  <c r="F172" i="1"/>
  <c r="E172" i="1"/>
  <c r="F164" i="1"/>
  <c r="E164" i="1"/>
  <c r="F155" i="1"/>
  <c r="E155" i="1"/>
  <c r="F146" i="1"/>
  <c r="E146" i="1"/>
  <c r="H172" i="1"/>
  <c r="G164" i="1"/>
  <c r="E127" i="1"/>
  <c r="G127" i="1"/>
  <c r="H127" i="1"/>
  <c r="F127" i="1"/>
  <c r="E120" i="1"/>
  <c r="E71" i="1" s="1"/>
  <c r="G120" i="1"/>
  <c r="G71" i="1" s="1"/>
  <c r="H120" i="1"/>
  <c r="H71" i="1" s="1"/>
  <c r="F120" i="1"/>
  <c r="F71" i="1" s="1"/>
  <c r="E15" i="1"/>
  <c r="F15" i="1" s="1"/>
  <c r="D10" i="1"/>
  <c r="O74" i="2" l="1"/>
  <c r="O181" i="2"/>
  <c r="O172" i="2" s="1"/>
  <c r="O134" i="2"/>
  <c r="J131" i="1"/>
  <c r="E174" i="3"/>
  <c r="P71" i="2"/>
  <c r="O166" i="2"/>
  <c r="O189" i="2"/>
  <c r="O205" i="2" s="1"/>
  <c r="O140" i="2" s="1"/>
  <c r="O144" i="2" s="1"/>
  <c r="O155" i="2" s="1"/>
  <c r="I71" i="1"/>
  <c r="J71" i="1" s="1"/>
  <c r="K71" i="1" s="1"/>
  <c r="L71" i="1" s="1"/>
  <c r="M71" i="1" s="1"/>
  <c r="N71" i="1" s="1"/>
  <c r="O71" i="1" s="1"/>
  <c r="P71" i="1" s="1"/>
  <c r="Q71" i="1" s="1"/>
  <c r="R71" i="1" s="1"/>
  <c r="H85" i="1"/>
  <c r="H55" i="1"/>
  <c r="H58" i="1"/>
  <c r="H53" i="1"/>
  <c r="H54" i="1"/>
  <c r="G85" i="1"/>
  <c r="G55" i="1"/>
  <c r="G58" i="1"/>
  <c r="G53" i="1"/>
  <c r="G54" i="1"/>
  <c r="F85" i="1"/>
  <c r="F58" i="1"/>
  <c r="F53" i="1"/>
  <c r="F54" i="1"/>
  <c r="F55" i="1"/>
  <c r="E122" i="1"/>
  <c r="E129" i="1" s="1"/>
  <c r="E54" i="1"/>
  <c r="E58" i="1"/>
  <c r="E53" i="1"/>
  <c r="E55" i="1"/>
  <c r="F39" i="1"/>
  <c r="H39" i="1"/>
  <c r="G39" i="1"/>
  <c r="G31" i="1"/>
  <c r="E47" i="1"/>
  <c r="H47" i="1"/>
  <c r="G47" i="1"/>
  <c r="F47" i="1"/>
  <c r="H31" i="1"/>
  <c r="I30" i="1"/>
  <c r="J30" i="1" s="1"/>
  <c r="K30" i="1" s="1"/>
  <c r="F31" i="1"/>
  <c r="G28" i="1"/>
  <c r="E41" i="1"/>
  <c r="E43" i="1"/>
  <c r="H41" i="1"/>
  <c r="H43" i="1"/>
  <c r="I43" i="1" s="1"/>
  <c r="J43" i="1" s="1"/>
  <c r="F28" i="1"/>
  <c r="I115" i="1"/>
  <c r="G41" i="1"/>
  <c r="G43" i="1"/>
  <c r="F41" i="1"/>
  <c r="F43" i="1"/>
  <c r="H28" i="1"/>
  <c r="G37" i="1"/>
  <c r="F34" i="1"/>
  <c r="H34" i="1"/>
  <c r="I34" i="1" s="1"/>
  <c r="J34" i="1" s="1"/>
  <c r="E39" i="1"/>
  <c r="H37" i="1"/>
  <c r="G34" i="1"/>
  <c r="F37" i="1"/>
  <c r="G25" i="1"/>
  <c r="I21" i="1"/>
  <c r="J21" i="1" s="1"/>
  <c r="K21" i="1" s="1"/>
  <c r="L21" i="1" s="1"/>
  <c r="M21" i="1" s="1"/>
  <c r="N21" i="1" s="1"/>
  <c r="O21" i="1" s="1"/>
  <c r="P21" i="1" s="1"/>
  <c r="Q21" i="1" s="1"/>
  <c r="R21" i="1" s="1"/>
  <c r="J17" i="1"/>
  <c r="J115" i="1" s="1"/>
  <c r="H25" i="1"/>
  <c r="F25" i="1"/>
  <c r="E210" i="1"/>
  <c r="F157" i="1"/>
  <c r="H208" i="1"/>
  <c r="G208" i="1"/>
  <c r="F208" i="1"/>
  <c r="E157" i="1"/>
  <c r="E176" i="1"/>
  <c r="F176" i="1"/>
  <c r="H164" i="1"/>
  <c r="H176" i="1" s="1"/>
  <c r="G172" i="1"/>
  <c r="G176" i="1" s="1"/>
  <c r="H155" i="1"/>
  <c r="G155" i="1"/>
  <c r="H146" i="1"/>
  <c r="G146" i="1"/>
  <c r="E182" i="1"/>
  <c r="E139" i="1"/>
  <c r="E114" i="1"/>
  <c r="G15" i="1"/>
  <c r="F182" i="1"/>
  <c r="F139" i="1"/>
  <c r="F114" i="1"/>
  <c r="E132" i="1" l="1"/>
  <c r="E136" i="1"/>
  <c r="K131" i="1"/>
  <c r="F174" i="3"/>
  <c r="O170" i="2"/>
  <c r="O174" i="2" s="1"/>
  <c r="O176" i="2" s="1"/>
  <c r="P76" i="2"/>
  <c r="P125" i="2" s="1"/>
  <c r="P127" i="2" s="1"/>
  <c r="P130" i="2" s="1"/>
  <c r="P131" i="2" s="1"/>
  <c r="P77" i="2"/>
  <c r="P78" i="2" s="1"/>
  <c r="P72" i="2" s="1"/>
  <c r="I58" i="1"/>
  <c r="J58" i="1" s="1"/>
  <c r="I85" i="1"/>
  <c r="J85" i="1" s="1"/>
  <c r="K85" i="1" s="1"/>
  <c r="I53" i="1"/>
  <c r="I55" i="1"/>
  <c r="I54" i="1"/>
  <c r="I39" i="1"/>
  <c r="J39" i="1" s="1"/>
  <c r="E134" i="1"/>
  <c r="E50" i="1"/>
  <c r="I47" i="1"/>
  <c r="J47" i="1" s="1"/>
  <c r="K47" i="1" s="1"/>
  <c r="I116" i="1"/>
  <c r="J116" i="1"/>
  <c r="I41" i="1"/>
  <c r="J41" i="1" s="1"/>
  <c r="K41" i="1" s="1"/>
  <c r="L30" i="1"/>
  <c r="K43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I37" i="1"/>
  <c r="J37" i="1" s="1"/>
  <c r="K37" i="1" s="1"/>
  <c r="L37" i="1" s="1"/>
  <c r="M37" i="1" s="1"/>
  <c r="O37" i="1" s="1"/>
  <c r="I33" i="1"/>
  <c r="I20" i="1"/>
  <c r="K17" i="1"/>
  <c r="K115" i="1" s="1"/>
  <c r="J20" i="1"/>
  <c r="F178" i="1"/>
  <c r="E178" i="1"/>
  <c r="H157" i="1"/>
  <c r="H178" i="1" s="1"/>
  <c r="G157" i="1"/>
  <c r="G178" i="1" s="1"/>
  <c r="H15" i="1"/>
  <c r="G182" i="1"/>
  <c r="G139" i="1"/>
  <c r="G114" i="1"/>
  <c r="L131" i="1" l="1"/>
  <c r="G174" i="3"/>
  <c r="P74" i="2"/>
  <c r="P83" i="2"/>
  <c r="P85" i="2" s="1"/>
  <c r="P186" i="2"/>
  <c r="P168" i="2" s="1"/>
  <c r="P132" i="2"/>
  <c r="K58" i="1"/>
  <c r="J54" i="1"/>
  <c r="J53" i="1"/>
  <c r="J55" i="1"/>
  <c r="L85" i="1"/>
  <c r="L47" i="1"/>
  <c r="K116" i="1"/>
  <c r="M30" i="1"/>
  <c r="L43" i="1"/>
  <c r="L41" i="1"/>
  <c r="K39" i="1"/>
  <c r="J33" i="1"/>
  <c r="I24" i="1"/>
  <c r="I23" i="1" s="1"/>
  <c r="I117" i="1" s="1"/>
  <c r="I36" i="1"/>
  <c r="L17" i="1"/>
  <c r="L115" i="1" s="1"/>
  <c r="K20" i="1"/>
  <c r="I15" i="1"/>
  <c r="H139" i="1"/>
  <c r="H182" i="1"/>
  <c r="H114" i="1"/>
  <c r="P181" i="2" l="1"/>
  <c r="P172" i="2" s="1"/>
  <c r="P134" i="2"/>
  <c r="M131" i="1"/>
  <c r="H174" i="3"/>
  <c r="Q71" i="2"/>
  <c r="P166" i="2"/>
  <c r="Q82" i="2"/>
  <c r="P148" i="2"/>
  <c r="P153" i="2" s="1"/>
  <c r="L58" i="1"/>
  <c r="K53" i="1"/>
  <c r="K54" i="1"/>
  <c r="K55" i="1"/>
  <c r="M85" i="1"/>
  <c r="M47" i="1"/>
  <c r="N30" i="1"/>
  <c r="L116" i="1"/>
  <c r="M43" i="1"/>
  <c r="M41" i="1"/>
  <c r="L39" i="1"/>
  <c r="J36" i="1"/>
  <c r="I118" i="1"/>
  <c r="K33" i="1"/>
  <c r="J24" i="1"/>
  <c r="J23" i="1" s="1"/>
  <c r="J117" i="1" s="1"/>
  <c r="M17" i="1"/>
  <c r="M115" i="1" s="1"/>
  <c r="L20" i="1"/>
  <c r="J15" i="1"/>
  <c r="I182" i="1"/>
  <c r="I139" i="1"/>
  <c r="I114" i="1"/>
  <c r="P189" i="2" l="1"/>
  <c r="P205" i="2" s="1"/>
  <c r="P140" i="2" s="1"/>
  <c r="P144" i="2" s="1"/>
  <c r="P155" i="2" s="1"/>
  <c r="N131" i="1"/>
  <c r="I174" i="3"/>
  <c r="P170" i="2"/>
  <c r="P174" i="2" s="1"/>
  <c r="Q77" i="2"/>
  <c r="Q76" i="2"/>
  <c r="Q125" i="2" s="1"/>
  <c r="Q127" i="2" s="1"/>
  <c r="Q130" i="2" s="1"/>
  <c r="Q131" i="2" s="1"/>
  <c r="J182" i="1"/>
  <c r="J139" i="1"/>
  <c r="M58" i="1"/>
  <c r="L54" i="1"/>
  <c r="L53" i="1"/>
  <c r="L55" i="1"/>
  <c r="N85" i="1"/>
  <c r="N47" i="1"/>
  <c r="M116" i="1"/>
  <c r="O30" i="1"/>
  <c r="I119" i="1"/>
  <c r="I120" i="1" s="1"/>
  <c r="K24" i="1"/>
  <c r="K23" i="1" s="1"/>
  <c r="K117" i="1" s="1"/>
  <c r="N43" i="1"/>
  <c r="N41" i="1"/>
  <c r="M39" i="1"/>
  <c r="L33" i="1"/>
  <c r="K36" i="1"/>
  <c r="J118" i="1"/>
  <c r="J119" i="1" s="1"/>
  <c r="J120" i="1" s="1"/>
  <c r="F148" i="3" s="1"/>
  <c r="F150" i="3" s="1"/>
  <c r="N17" i="1"/>
  <c r="N115" i="1" s="1"/>
  <c r="M20" i="1"/>
  <c r="K15" i="1"/>
  <c r="J114" i="1"/>
  <c r="O131" i="1" l="1"/>
  <c r="J174" i="3"/>
  <c r="I197" i="1"/>
  <c r="E148" i="3"/>
  <c r="E150" i="3" s="1"/>
  <c r="P176" i="2"/>
  <c r="Q132" i="2"/>
  <c r="Q186" i="2"/>
  <c r="Q168" i="2" s="1"/>
  <c r="Q78" i="2"/>
  <c r="Q72" i="2" s="1"/>
  <c r="K182" i="1"/>
  <c r="K139" i="1"/>
  <c r="I200" i="1"/>
  <c r="J197" i="1"/>
  <c r="J163" i="1"/>
  <c r="J145" i="1"/>
  <c r="J10" i="5" s="1"/>
  <c r="E196" i="3" s="1"/>
  <c r="J144" i="1"/>
  <c r="J9" i="5" s="1"/>
  <c r="E195" i="3" s="1"/>
  <c r="J143" i="1"/>
  <c r="J8" i="5" s="1"/>
  <c r="E194" i="3" s="1"/>
  <c r="I163" i="1"/>
  <c r="I143" i="1"/>
  <c r="I145" i="1"/>
  <c r="I144" i="1"/>
  <c r="N58" i="1"/>
  <c r="M53" i="1"/>
  <c r="M54" i="1"/>
  <c r="M55" i="1"/>
  <c r="J46" i="1"/>
  <c r="J48" i="1" s="1"/>
  <c r="J186" i="1" s="1"/>
  <c r="J76" i="1"/>
  <c r="I46" i="1"/>
  <c r="I48" i="1" s="1"/>
  <c r="I186" i="1" s="1"/>
  <c r="I76" i="1"/>
  <c r="O85" i="1"/>
  <c r="O47" i="1"/>
  <c r="N116" i="1"/>
  <c r="I121" i="1"/>
  <c r="I124" i="1"/>
  <c r="J121" i="1"/>
  <c r="J124" i="1"/>
  <c r="P30" i="1"/>
  <c r="L24" i="1"/>
  <c r="M24" i="1" s="1"/>
  <c r="N24" i="1" s="1"/>
  <c r="O43" i="1"/>
  <c r="O41" i="1"/>
  <c r="N39" i="1"/>
  <c r="L36" i="1"/>
  <c r="K118" i="1"/>
  <c r="K119" i="1" s="1"/>
  <c r="K120" i="1" s="1"/>
  <c r="G148" i="3" s="1"/>
  <c r="G150" i="3" s="1"/>
  <c r="M33" i="1"/>
  <c r="O17" i="1"/>
  <c r="O115" i="1" s="1"/>
  <c r="N20" i="1"/>
  <c r="L15" i="1"/>
  <c r="K114" i="1"/>
  <c r="J69" i="1" l="1"/>
  <c r="J28" i="5"/>
  <c r="E214" i="3" s="1"/>
  <c r="J65" i="1"/>
  <c r="J66" i="1"/>
  <c r="J64" i="1"/>
  <c r="E9" i="5"/>
  <c r="I9" i="5" s="1"/>
  <c r="I65" i="1"/>
  <c r="E10" i="5"/>
  <c r="I10" i="5" s="1"/>
  <c r="I66" i="1"/>
  <c r="E8" i="5"/>
  <c r="I8" i="5" s="1"/>
  <c r="I64" i="1"/>
  <c r="E28" i="5"/>
  <c r="I28" i="5" s="1"/>
  <c r="I69" i="1"/>
  <c r="E253" i="3"/>
  <c r="E237" i="3"/>
  <c r="Q181" i="2"/>
  <c r="Q172" i="2" s="1"/>
  <c r="Q134" i="2"/>
  <c r="J200" i="1"/>
  <c r="J161" i="1"/>
  <c r="J26" i="5" s="1"/>
  <c r="E212" i="3" s="1"/>
  <c r="J162" i="1"/>
  <c r="J27" i="5" s="1"/>
  <c r="E213" i="3" s="1"/>
  <c r="F162" i="3"/>
  <c r="F164" i="3" s="1"/>
  <c r="I162" i="1"/>
  <c r="E162" i="3"/>
  <c r="P131" i="1"/>
  <c r="K174" i="3"/>
  <c r="F151" i="3"/>
  <c r="F115" i="3" s="1"/>
  <c r="Q83" i="2"/>
  <c r="Q85" i="2" s="1"/>
  <c r="Q148" i="2" s="1"/>
  <c r="Q153" i="2" s="1"/>
  <c r="Q74" i="2"/>
  <c r="Q166" i="2" s="1"/>
  <c r="Q170" i="2" s="1"/>
  <c r="L182" i="1"/>
  <c r="L139" i="1"/>
  <c r="K197" i="1"/>
  <c r="F253" i="3" s="1"/>
  <c r="F257" i="3" s="1"/>
  <c r="K163" i="1"/>
  <c r="K28" i="5" s="1"/>
  <c r="F214" i="3" s="1"/>
  <c r="K145" i="1"/>
  <c r="K10" i="5" s="1"/>
  <c r="F196" i="3" s="1"/>
  <c r="K144" i="1"/>
  <c r="K9" i="5" s="1"/>
  <c r="F195" i="3" s="1"/>
  <c r="K143" i="1"/>
  <c r="K8" i="5" s="1"/>
  <c r="F194" i="3" s="1"/>
  <c r="I149" i="1"/>
  <c r="I62" i="1"/>
  <c r="J62" i="1"/>
  <c r="I126" i="1"/>
  <c r="I127" i="1" s="1"/>
  <c r="J126" i="1"/>
  <c r="F153" i="3" s="1"/>
  <c r="F155" i="3" s="1"/>
  <c r="F156" i="3" s="1"/>
  <c r="I122" i="1"/>
  <c r="I161" i="1"/>
  <c r="J122" i="1"/>
  <c r="O58" i="1"/>
  <c r="N54" i="1"/>
  <c r="N53" i="1"/>
  <c r="N55" i="1"/>
  <c r="I77" i="1"/>
  <c r="I87" i="1"/>
  <c r="I150" i="1" s="1"/>
  <c r="P85" i="1"/>
  <c r="K46" i="1"/>
  <c r="K48" i="1" s="1"/>
  <c r="K186" i="1" s="1"/>
  <c r="F237" i="3" s="1"/>
  <c r="K76" i="1"/>
  <c r="P47" i="1"/>
  <c r="M23" i="1"/>
  <c r="M117" i="1" s="1"/>
  <c r="O116" i="1"/>
  <c r="K121" i="1"/>
  <c r="K124" i="1"/>
  <c r="L23" i="1"/>
  <c r="L117" i="1" s="1"/>
  <c r="Q30" i="1"/>
  <c r="P43" i="1"/>
  <c r="P41" i="1"/>
  <c r="O39" i="1"/>
  <c r="N33" i="1"/>
  <c r="M36" i="1"/>
  <c r="L118" i="1"/>
  <c r="P17" i="1"/>
  <c r="P115" i="1" s="1"/>
  <c r="O20" i="1"/>
  <c r="O24" i="1"/>
  <c r="N23" i="1"/>
  <c r="M15" i="1"/>
  <c r="L114" i="1"/>
  <c r="Q189" i="2" l="1"/>
  <c r="Q205" i="2" s="1"/>
  <c r="Q140" i="2" s="1"/>
  <c r="Q144" i="2" s="1"/>
  <c r="J68" i="1"/>
  <c r="J67" i="1"/>
  <c r="K64" i="1"/>
  <c r="K69" i="1"/>
  <c r="K66" i="1"/>
  <c r="K65" i="1"/>
  <c r="E26" i="5"/>
  <c r="I26" i="5" s="1"/>
  <c r="I67" i="1"/>
  <c r="E27" i="5"/>
  <c r="I27" i="5" s="1"/>
  <c r="I68" i="1"/>
  <c r="E257" i="3"/>
  <c r="J164" i="1"/>
  <c r="E15" i="5"/>
  <c r="I15" i="5" s="1"/>
  <c r="Q155" i="2"/>
  <c r="J149" i="1"/>
  <c r="K149" i="1" s="1"/>
  <c r="E14" i="5"/>
  <c r="I14" i="5" s="1"/>
  <c r="J14" i="5" s="1"/>
  <c r="Q131" i="1"/>
  <c r="L174" i="3"/>
  <c r="E153" i="3"/>
  <c r="E155" i="3" s="1"/>
  <c r="E156" i="3" s="1"/>
  <c r="K200" i="1"/>
  <c r="K162" i="1"/>
  <c r="K27" i="5" s="1"/>
  <c r="F213" i="3" s="1"/>
  <c r="G162" i="3"/>
  <c r="G164" i="3" s="1"/>
  <c r="K161" i="1"/>
  <c r="K26" i="5" s="1"/>
  <c r="F158" i="3"/>
  <c r="F159" i="3" s="1"/>
  <c r="E164" i="3"/>
  <c r="G151" i="3"/>
  <c r="G115" i="3" s="1"/>
  <c r="E151" i="3"/>
  <c r="E115" i="3" s="1"/>
  <c r="Q174" i="2"/>
  <c r="M182" i="1"/>
  <c r="M139" i="1"/>
  <c r="I155" i="1"/>
  <c r="I129" i="1"/>
  <c r="J63" i="1"/>
  <c r="J70" i="1" s="1"/>
  <c r="I164" i="1"/>
  <c r="I63" i="1"/>
  <c r="I70" i="1" s="1"/>
  <c r="I193" i="1" s="1"/>
  <c r="K62" i="1"/>
  <c r="K126" i="1"/>
  <c r="G153" i="3" s="1"/>
  <c r="G155" i="3" s="1"/>
  <c r="G156" i="3" s="1"/>
  <c r="K122" i="1"/>
  <c r="J74" i="1"/>
  <c r="J79" i="1" s="1"/>
  <c r="J125" i="1" s="1"/>
  <c r="I168" i="1"/>
  <c r="E34" i="5" s="1"/>
  <c r="P58" i="1"/>
  <c r="O54" i="1"/>
  <c r="O53" i="1"/>
  <c r="O55" i="1"/>
  <c r="Q85" i="1"/>
  <c r="Q47" i="1"/>
  <c r="P116" i="1"/>
  <c r="R30" i="1"/>
  <c r="L119" i="1"/>
  <c r="L120" i="1" s="1"/>
  <c r="H148" i="3" s="1"/>
  <c r="H150" i="3" s="1"/>
  <c r="Q43" i="1"/>
  <c r="Q41" i="1"/>
  <c r="P39" i="1"/>
  <c r="N36" i="1"/>
  <c r="M118" i="1"/>
  <c r="M119" i="1" s="1"/>
  <c r="O33" i="1"/>
  <c r="N117" i="1"/>
  <c r="Q17" i="1"/>
  <c r="Q115" i="1" s="1"/>
  <c r="P20" i="1"/>
  <c r="P24" i="1"/>
  <c r="O23" i="1"/>
  <c r="N15" i="1"/>
  <c r="M114" i="1"/>
  <c r="K29" i="5" l="1"/>
  <c r="F212" i="3"/>
  <c r="F215" i="3" s="1"/>
  <c r="K14" i="5"/>
  <c r="E200" i="3"/>
  <c r="E29" i="5"/>
  <c r="K67" i="1"/>
  <c r="K68" i="1"/>
  <c r="I29" i="5"/>
  <c r="J29" i="5"/>
  <c r="E215" i="3"/>
  <c r="Q176" i="2"/>
  <c r="K164" i="1"/>
  <c r="R131" i="1"/>
  <c r="M174" i="3"/>
  <c r="E20" i="5"/>
  <c r="I34" i="5"/>
  <c r="J127" i="1"/>
  <c r="J129" i="1" s="1"/>
  <c r="J136" i="1" s="1"/>
  <c r="F161" i="3"/>
  <c r="F168" i="3" s="1"/>
  <c r="E158" i="3"/>
  <c r="E159" i="3" s="1"/>
  <c r="G158" i="3"/>
  <c r="G159" i="3" s="1"/>
  <c r="I132" i="1"/>
  <c r="I136" i="1"/>
  <c r="D25" i="3" s="1"/>
  <c r="D26" i="3" s="1"/>
  <c r="N182" i="1"/>
  <c r="N139" i="1"/>
  <c r="J193" i="1"/>
  <c r="E249" i="3" s="1"/>
  <c r="L197" i="1"/>
  <c r="G253" i="3" s="1"/>
  <c r="G257" i="3" s="1"/>
  <c r="L163" i="1"/>
  <c r="L28" i="5" s="1"/>
  <c r="G214" i="3" s="1"/>
  <c r="L145" i="1"/>
  <c r="L10" i="5" s="1"/>
  <c r="G196" i="3" s="1"/>
  <c r="L143" i="1"/>
  <c r="L8" i="5" s="1"/>
  <c r="G194" i="3" s="1"/>
  <c r="L144" i="1"/>
  <c r="L9" i="5" s="1"/>
  <c r="G195" i="3" s="1"/>
  <c r="K63" i="1"/>
  <c r="K70" i="1" s="1"/>
  <c r="J82" i="1"/>
  <c r="J83" i="1" s="1"/>
  <c r="J75" i="1" s="1"/>
  <c r="J77" i="1" s="1"/>
  <c r="Q58" i="1"/>
  <c r="P53" i="1"/>
  <c r="P54" i="1"/>
  <c r="P55" i="1"/>
  <c r="R85" i="1"/>
  <c r="L46" i="1"/>
  <c r="L48" i="1" s="1"/>
  <c r="L186" i="1" s="1"/>
  <c r="G237" i="3" s="1"/>
  <c r="L76" i="1"/>
  <c r="R47" i="1"/>
  <c r="M120" i="1"/>
  <c r="I148" i="3" s="1"/>
  <c r="I150" i="3" s="1"/>
  <c r="L121" i="1"/>
  <c r="L124" i="1"/>
  <c r="Q116" i="1"/>
  <c r="R43" i="1"/>
  <c r="R41" i="1"/>
  <c r="Q39" i="1"/>
  <c r="O36" i="1"/>
  <c r="N118" i="1"/>
  <c r="P33" i="1"/>
  <c r="O117" i="1"/>
  <c r="R17" i="1"/>
  <c r="R116" i="1" s="1"/>
  <c r="Q20" i="1"/>
  <c r="Q24" i="1"/>
  <c r="P23" i="1"/>
  <c r="O15" i="1"/>
  <c r="N114" i="1"/>
  <c r="L14" i="5" l="1"/>
  <c r="F200" i="3"/>
  <c r="L69" i="1"/>
  <c r="L65" i="1"/>
  <c r="L64" i="1"/>
  <c r="L66" i="1"/>
  <c r="J132" i="1"/>
  <c r="L200" i="1"/>
  <c r="L162" i="1"/>
  <c r="L27" i="5" s="1"/>
  <c r="G213" i="3" s="1"/>
  <c r="H162" i="3"/>
  <c r="H164" i="3" s="1"/>
  <c r="L161" i="1"/>
  <c r="E168" i="3"/>
  <c r="H151" i="3"/>
  <c r="H115" i="3" s="1"/>
  <c r="L25" i="3"/>
  <c r="E104" i="3" s="1"/>
  <c r="L6" i="3"/>
  <c r="E32" i="3"/>
  <c r="L22" i="3"/>
  <c r="E64" i="3" s="1"/>
  <c r="L24" i="3"/>
  <c r="E89" i="3" s="1"/>
  <c r="L23" i="3"/>
  <c r="E76" i="3" s="1"/>
  <c r="D22" i="3"/>
  <c r="O139" i="1"/>
  <c r="O182" i="1"/>
  <c r="M197" i="1"/>
  <c r="H253" i="3" s="1"/>
  <c r="H257" i="3" s="1"/>
  <c r="M163" i="1"/>
  <c r="M28" i="5" s="1"/>
  <c r="H214" i="3" s="1"/>
  <c r="M144" i="1"/>
  <c r="M9" i="5" s="1"/>
  <c r="H195" i="3" s="1"/>
  <c r="M145" i="1"/>
  <c r="M10" i="5" s="1"/>
  <c r="H196" i="3" s="1"/>
  <c r="M143" i="1"/>
  <c r="K74" i="1"/>
  <c r="K82" i="1" s="1"/>
  <c r="J168" i="1"/>
  <c r="K193" i="1"/>
  <c r="F249" i="3" s="1"/>
  <c r="L149" i="1"/>
  <c r="L62" i="1"/>
  <c r="L126" i="1"/>
  <c r="H153" i="3" s="1"/>
  <c r="H155" i="3" s="1"/>
  <c r="H156" i="3" s="1"/>
  <c r="J87" i="1"/>
  <c r="J150" i="1" s="1"/>
  <c r="L122" i="1"/>
  <c r="M76" i="1"/>
  <c r="R58" i="1"/>
  <c r="Q54" i="1"/>
  <c r="Q53" i="1"/>
  <c r="Q55" i="1"/>
  <c r="M124" i="1"/>
  <c r="M46" i="1"/>
  <c r="M48" i="1" s="1"/>
  <c r="M186" i="1" s="1"/>
  <c r="H237" i="3" s="1"/>
  <c r="M121" i="1"/>
  <c r="N119" i="1"/>
  <c r="N120" i="1" s="1"/>
  <c r="J148" i="3" s="1"/>
  <c r="J150" i="3" s="1"/>
  <c r="R20" i="1"/>
  <c r="R115" i="1"/>
  <c r="R39" i="1"/>
  <c r="P36" i="1"/>
  <c r="O118" i="1"/>
  <c r="Q33" i="1"/>
  <c r="P117" i="1"/>
  <c r="R24" i="1"/>
  <c r="R23" i="1" s="1"/>
  <c r="Q23" i="1"/>
  <c r="P15" i="1"/>
  <c r="O114" i="1"/>
  <c r="M64" i="1" l="1"/>
  <c r="M8" i="5"/>
  <c r="H194" i="3" s="1"/>
  <c r="L67" i="1"/>
  <c r="L26" i="5"/>
  <c r="G200" i="3"/>
  <c r="M14" i="5"/>
  <c r="L68" i="1"/>
  <c r="M69" i="1"/>
  <c r="M65" i="1"/>
  <c r="M66" i="1"/>
  <c r="J15" i="5"/>
  <c r="E201" i="3" s="1"/>
  <c r="J34" i="5"/>
  <c r="E220" i="3" s="1"/>
  <c r="L164" i="1"/>
  <c r="J155" i="1"/>
  <c r="M200" i="1"/>
  <c r="M162" i="1"/>
  <c r="M27" i="5" s="1"/>
  <c r="H213" i="3" s="1"/>
  <c r="I162" i="3"/>
  <c r="I164" i="3" s="1"/>
  <c r="M161" i="1"/>
  <c r="L33" i="3"/>
  <c r="H33" i="5"/>
  <c r="H158" i="3"/>
  <c r="H159" i="3" s="1"/>
  <c r="I151" i="3"/>
  <c r="I115" i="3" s="1"/>
  <c r="E77" i="3"/>
  <c r="E79" i="3" s="1"/>
  <c r="F76" i="3" s="1"/>
  <c r="E81" i="3"/>
  <c r="E91" i="3"/>
  <c r="E96" i="3" s="1"/>
  <c r="E90" i="3"/>
  <c r="E95" i="3"/>
  <c r="H65" i="3"/>
  <c r="F65" i="3"/>
  <c r="M65" i="3"/>
  <c r="I65" i="3"/>
  <c r="J65" i="3"/>
  <c r="G65" i="3"/>
  <c r="L65" i="3"/>
  <c r="E69" i="3"/>
  <c r="K65" i="3"/>
  <c r="E65" i="3"/>
  <c r="E67" i="3" s="1"/>
  <c r="F64" i="3" s="1"/>
  <c r="E31" i="3"/>
  <c r="L5" i="3"/>
  <c r="J151" i="3"/>
  <c r="J115" i="3" s="1"/>
  <c r="E109" i="3"/>
  <c r="E105" i="3"/>
  <c r="K79" i="1"/>
  <c r="K125" i="1" s="1"/>
  <c r="P139" i="1"/>
  <c r="P182" i="1"/>
  <c r="M149" i="1"/>
  <c r="N197" i="1"/>
  <c r="I253" i="3" s="1"/>
  <c r="I257" i="3" s="1"/>
  <c r="N163" i="1"/>
  <c r="N28" i="5" s="1"/>
  <c r="I214" i="3" s="1"/>
  <c r="N143" i="1"/>
  <c r="N8" i="5" s="1"/>
  <c r="I194" i="3" s="1"/>
  <c r="N144" i="1"/>
  <c r="N9" i="5" s="1"/>
  <c r="I195" i="3" s="1"/>
  <c r="N145" i="1"/>
  <c r="N10" i="5" s="1"/>
  <c r="I196" i="3" s="1"/>
  <c r="L63" i="1"/>
  <c r="L70" i="1" s="1"/>
  <c r="M62" i="1"/>
  <c r="M126" i="1"/>
  <c r="I153" i="3" s="1"/>
  <c r="I155" i="3" s="1"/>
  <c r="I156" i="3" s="1"/>
  <c r="M122" i="1"/>
  <c r="R53" i="1"/>
  <c r="R54" i="1"/>
  <c r="R55" i="1"/>
  <c r="N46" i="1"/>
  <c r="N48" i="1" s="1"/>
  <c r="N186" i="1" s="1"/>
  <c r="I237" i="3" s="1"/>
  <c r="N76" i="1"/>
  <c r="N121" i="1"/>
  <c r="N124" i="1"/>
  <c r="O119" i="1"/>
  <c r="O120" i="1" s="1"/>
  <c r="K148" i="3" s="1"/>
  <c r="K150" i="3" s="1"/>
  <c r="R33" i="1"/>
  <c r="R117" i="1" s="1"/>
  <c r="Q117" i="1"/>
  <c r="Q36" i="1"/>
  <c r="P118" i="1"/>
  <c r="P119" i="1" s="1"/>
  <c r="P120" i="1" s="1"/>
  <c r="L148" i="3" s="1"/>
  <c r="L150" i="3" s="1"/>
  <c r="Q15" i="1"/>
  <c r="P114" i="1"/>
  <c r="L29" i="5" l="1"/>
  <c r="G212" i="3"/>
  <c r="G215" i="3" s="1"/>
  <c r="M67" i="1"/>
  <c r="M26" i="5"/>
  <c r="H200" i="3"/>
  <c r="N14" i="5"/>
  <c r="M68" i="1"/>
  <c r="N64" i="1"/>
  <c r="N69" i="1"/>
  <c r="N65" i="1"/>
  <c r="N66" i="1"/>
  <c r="E136" i="3"/>
  <c r="E132" i="3"/>
  <c r="G33" i="5"/>
  <c r="I33" i="5" s="1"/>
  <c r="E107" i="3"/>
  <c r="F104" i="3" s="1"/>
  <c r="M164" i="1"/>
  <c r="N162" i="1"/>
  <c r="N27" i="5" s="1"/>
  <c r="I213" i="3" s="1"/>
  <c r="J162" i="3"/>
  <c r="J164" i="3" s="1"/>
  <c r="K127" i="1"/>
  <c r="K129" i="1" s="1"/>
  <c r="K132" i="1" s="1"/>
  <c r="G161" i="3"/>
  <c r="G168" i="3" s="1"/>
  <c r="N200" i="1"/>
  <c r="N161" i="1"/>
  <c r="E173" i="3"/>
  <c r="E247" i="3" s="1"/>
  <c r="E35" i="3"/>
  <c r="M172" i="3" s="1"/>
  <c r="L35" i="3"/>
  <c r="E93" i="3"/>
  <c r="F89" i="3" s="1"/>
  <c r="F90" i="3" s="1"/>
  <c r="I158" i="3"/>
  <c r="I159" i="3" s="1"/>
  <c r="L7" i="3"/>
  <c r="L9" i="3" s="1"/>
  <c r="E118" i="3"/>
  <c r="E97" i="3"/>
  <c r="E133" i="3"/>
  <c r="E244" i="3" s="1"/>
  <c r="K83" i="1"/>
  <c r="K75" i="1" s="1"/>
  <c r="K77" i="1" s="1"/>
  <c r="K168" i="1" s="1"/>
  <c r="K34" i="5" s="1"/>
  <c r="F220" i="3" s="1"/>
  <c r="F69" i="3"/>
  <c r="F67" i="3"/>
  <c r="G64" i="3" s="1"/>
  <c r="F77" i="3"/>
  <c r="F79" i="3" s="1"/>
  <c r="G76" i="3" s="1"/>
  <c r="F81" i="3"/>
  <c r="Q182" i="1"/>
  <c r="Q139" i="1"/>
  <c r="P197" i="1"/>
  <c r="K253" i="3" s="1"/>
  <c r="K257" i="3" s="1"/>
  <c r="P163" i="1"/>
  <c r="P28" i="5" s="1"/>
  <c r="K214" i="3" s="1"/>
  <c r="P145" i="1"/>
  <c r="P10" i="5" s="1"/>
  <c r="K196" i="3" s="1"/>
  <c r="P144" i="1"/>
  <c r="P9" i="5" s="1"/>
  <c r="K195" i="3" s="1"/>
  <c r="P143" i="1"/>
  <c r="P8" i="5" s="1"/>
  <c r="K194" i="3" s="1"/>
  <c r="N149" i="1"/>
  <c r="L193" i="1"/>
  <c r="G249" i="3" s="1"/>
  <c r="O197" i="1"/>
  <c r="J253" i="3" s="1"/>
  <c r="J257" i="3" s="1"/>
  <c r="O163" i="1"/>
  <c r="O28" i="5" s="1"/>
  <c r="J214" i="3" s="1"/>
  <c r="O143" i="1"/>
  <c r="O144" i="1"/>
  <c r="O9" i="5" s="1"/>
  <c r="J195" i="3" s="1"/>
  <c r="O145" i="1"/>
  <c r="N62" i="1"/>
  <c r="M63" i="1"/>
  <c r="M70" i="1" s="1"/>
  <c r="N126" i="1"/>
  <c r="J153" i="3" s="1"/>
  <c r="J155" i="3" s="1"/>
  <c r="J156" i="3" s="1"/>
  <c r="J158" i="3" s="1"/>
  <c r="J159" i="3" s="1"/>
  <c r="N122" i="1"/>
  <c r="O46" i="1"/>
  <c r="O48" i="1" s="1"/>
  <c r="O186" i="1" s="1"/>
  <c r="J237" i="3" s="1"/>
  <c r="O76" i="1"/>
  <c r="P46" i="1"/>
  <c r="P48" i="1" s="1"/>
  <c r="P186" i="1" s="1"/>
  <c r="K237" i="3" s="1"/>
  <c r="P76" i="1"/>
  <c r="O121" i="1"/>
  <c r="O124" i="1"/>
  <c r="P121" i="1"/>
  <c r="P124" i="1"/>
  <c r="R36" i="1"/>
  <c r="R118" i="1" s="1"/>
  <c r="Q118" i="1"/>
  <c r="Q119" i="1" s="1"/>
  <c r="Q120" i="1" s="1"/>
  <c r="M148" i="3" s="1"/>
  <c r="M150" i="3" s="1"/>
  <c r="R15" i="1"/>
  <c r="Q114" i="1"/>
  <c r="M29" i="5" l="1"/>
  <c r="H212" i="3"/>
  <c r="H215" i="3" s="1"/>
  <c r="N67" i="1"/>
  <c r="N26" i="5"/>
  <c r="O66" i="1"/>
  <c r="O10" i="5"/>
  <c r="J196" i="3" s="1"/>
  <c r="O64" i="1"/>
  <c r="O8" i="5"/>
  <c r="J194" i="3" s="1"/>
  <c r="I200" i="3"/>
  <c r="O14" i="5"/>
  <c r="P65" i="1"/>
  <c r="N68" i="1"/>
  <c r="P64" i="1"/>
  <c r="O69" i="1"/>
  <c r="P66" i="1"/>
  <c r="P69" i="1"/>
  <c r="O65" i="1"/>
  <c r="K136" i="1"/>
  <c r="L74" i="1"/>
  <c r="L82" i="1" s="1"/>
  <c r="E142" i="3"/>
  <c r="N164" i="1"/>
  <c r="P161" i="1"/>
  <c r="P26" i="5" s="1"/>
  <c r="P162" i="1"/>
  <c r="P27" i="5" s="1"/>
  <c r="K213" i="3" s="1"/>
  <c r="L162" i="3"/>
  <c r="L164" i="3" s="1"/>
  <c r="P200" i="1"/>
  <c r="O162" i="1"/>
  <c r="O27" i="5" s="1"/>
  <c r="J213" i="3" s="1"/>
  <c r="K162" i="3"/>
  <c r="K164" i="3" s="1"/>
  <c r="K87" i="1"/>
  <c r="K150" i="1" s="1"/>
  <c r="K15" i="5" s="1"/>
  <c r="F201" i="3" s="1"/>
  <c r="O200" i="1"/>
  <c r="O161" i="1"/>
  <c r="O26" i="5" s="1"/>
  <c r="J172" i="3"/>
  <c r="H7" i="5"/>
  <c r="I172" i="3"/>
  <c r="G172" i="3"/>
  <c r="E172" i="3"/>
  <c r="F172" i="3"/>
  <c r="L172" i="3"/>
  <c r="K172" i="3"/>
  <c r="H172" i="3"/>
  <c r="F173" i="3"/>
  <c r="F247" i="3" s="1"/>
  <c r="F95" i="3"/>
  <c r="F91" i="3"/>
  <c r="F96" i="3" s="1"/>
  <c r="L151" i="3"/>
  <c r="L115" i="3" s="1"/>
  <c r="K151" i="3"/>
  <c r="K115" i="3" s="1"/>
  <c r="F109" i="3"/>
  <c r="F105" i="3"/>
  <c r="G69" i="3"/>
  <c r="G67" i="3"/>
  <c r="H64" i="3" s="1"/>
  <c r="G81" i="3"/>
  <c r="G77" i="3"/>
  <c r="G79" i="3" s="1"/>
  <c r="H76" i="3" s="1"/>
  <c r="E134" i="3"/>
  <c r="E171" i="3" s="1"/>
  <c r="E33" i="3"/>
  <c r="H40" i="5" s="1"/>
  <c r="L8" i="3"/>
  <c r="E183" i="3" s="1"/>
  <c r="R182" i="1"/>
  <c r="R139" i="1"/>
  <c r="M193" i="1"/>
  <c r="H249" i="3" s="1"/>
  <c r="Q197" i="1"/>
  <c r="L253" i="3" s="1"/>
  <c r="L257" i="3" s="1"/>
  <c r="Q163" i="1"/>
  <c r="Q28" i="5" s="1"/>
  <c r="L214" i="3" s="1"/>
  <c r="Q145" i="1"/>
  <c r="Q10" i="5" s="1"/>
  <c r="L196" i="3" s="1"/>
  <c r="Q143" i="1"/>
  <c r="Q144" i="1"/>
  <c r="Q9" i="5" s="1"/>
  <c r="L195" i="3" s="1"/>
  <c r="O149" i="1"/>
  <c r="P62" i="1"/>
  <c r="O62" i="1"/>
  <c r="N63" i="1"/>
  <c r="N70" i="1" s="1"/>
  <c r="O126" i="1"/>
  <c r="K153" i="3" s="1"/>
  <c r="K155" i="3" s="1"/>
  <c r="K156" i="3" s="1"/>
  <c r="P126" i="1"/>
  <c r="L153" i="3" s="1"/>
  <c r="L155" i="3" s="1"/>
  <c r="L156" i="3" s="1"/>
  <c r="P122" i="1"/>
  <c r="O122" i="1"/>
  <c r="Q46" i="1"/>
  <c r="Q48" i="1" s="1"/>
  <c r="Q186" i="1" s="1"/>
  <c r="L237" i="3" s="1"/>
  <c r="Q76" i="1"/>
  <c r="Q121" i="1"/>
  <c r="Q124" i="1"/>
  <c r="R119" i="1"/>
  <c r="R120" i="1" s="1"/>
  <c r="R114" i="1"/>
  <c r="O29" i="5" l="1"/>
  <c r="J212" i="3"/>
  <c r="J215" i="3" s="1"/>
  <c r="P29" i="5"/>
  <c r="K212" i="3"/>
  <c r="K215" i="3" s="1"/>
  <c r="N29" i="5"/>
  <c r="I212" i="3"/>
  <c r="I215" i="3" s="1"/>
  <c r="Q64" i="1"/>
  <c r="Q8" i="5"/>
  <c r="L194" i="3" s="1"/>
  <c r="J200" i="3"/>
  <c r="P14" i="5"/>
  <c r="Q66" i="1"/>
  <c r="O68" i="1"/>
  <c r="Q69" i="1"/>
  <c r="P68" i="1"/>
  <c r="O67" i="1"/>
  <c r="P67" i="1"/>
  <c r="Q65" i="1"/>
  <c r="L79" i="1"/>
  <c r="L125" i="1" s="1"/>
  <c r="L127" i="1" s="1"/>
  <c r="L129" i="1" s="1"/>
  <c r="O164" i="1"/>
  <c r="P164" i="1"/>
  <c r="K155" i="1"/>
  <c r="F142" i="3"/>
  <c r="Q162" i="1"/>
  <c r="Q27" i="5" s="1"/>
  <c r="L213" i="3" s="1"/>
  <c r="M162" i="3"/>
  <c r="M164" i="3" s="1"/>
  <c r="Q161" i="1"/>
  <c r="Q26" i="5" s="1"/>
  <c r="Q200" i="1"/>
  <c r="E175" i="3"/>
  <c r="F97" i="3"/>
  <c r="G173" i="3"/>
  <c r="G247" i="3" s="1"/>
  <c r="F133" i="3"/>
  <c r="F244" i="3" s="1"/>
  <c r="E36" i="3"/>
  <c r="F93" i="3"/>
  <c r="G89" i="3" s="1"/>
  <c r="G90" i="3" s="1"/>
  <c r="K158" i="3"/>
  <c r="K159" i="3" s="1"/>
  <c r="L158" i="3"/>
  <c r="L159" i="3" s="1"/>
  <c r="M151" i="3"/>
  <c r="M115" i="3" s="1"/>
  <c r="H81" i="3"/>
  <c r="H77" i="3"/>
  <c r="H79" i="3" s="1"/>
  <c r="I76" i="3" s="1"/>
  <c r="H67" i="3"/>
  <c r="I64" i="3" s="1"/>
  <c r="H69" i="3"/>
  <c r="F107" i="3"/>
  <c r="F118" i="3"/>
  <c r="F136" i="3"/>
  <c r="R197" i="1"/>
  <c r="M253" i="3" s="1"/>
  <c r="M257" i="3" s="1"/>
  <c r="R163" i="1"/>
  <c r="R28" i="5" s="1"/>
  <c r="M214" i="3" s="1"/>
  <c r="R145" i="1"/>
  <c r="R10" i="5" s="1"/>
  <c r="M196" i="3" s="1"/>
  <c r="R143" i="1"/>
  <c r="R8" i="5" s="1"/>
  <c r="M194" i="3" s="1"/>
  <c r="R144" i="1"/>
  <c r="R9" i="5" s="1"/>
  <c r="M195" i="3" s="1"/>
  <c r="N193" i="1"/>
  <c r="I249" i="3" s="1"/>
  <c r="P149" i="1"/>
  <c r="P63" i="1"/>
  <c r="P70" i="1" s="1"/>
  <c r="L83" i="1"/>
  <c r="L75" i="1" s="1"/>
  <c r="L77" i="1" s="1"/>
  <c r="L168" i="1" s="1"/>
  <c r="L34" i="5" s="1"/>
  <c r="G220" i="3" s="1"/>
  <c r="Q62" i="1"/>
  <c r="O63" i="1"/>
  <c r="O70" i="1" s="1"/>
  <c r="Q126" i="1"/>
  <c r="M153" i="3" s="1"/>
  <c r="M155" i="3" s="1"/>
  <c r="M156" i="3" s="1"/>
  <c r="Q122" i="1"/>
  <c r="R46" i="1"/>
  <c r="R48" i="1" s="1"/>
  <c r="R186" i="1" s="1"/>
  <c r="M237" i="3" s="1"/>
  <c r="R76" i="1"/>
  <c r="R121" i="1"/>
  <c r="R161" i="1" s="1"/>
  <c r="R26" i="5" s="1"/>
  <c r="M212" i="3" s="1"/>
  <c r="R124" i="1"/>
  <c r="R162" i="1" s="1"/>
  <c r="R27" i="5" s="1"/>
  <c r="F122" i="1"/>
  <c r="F129" i="1" s="1"/>
  <c r="G122" i="1"/>
  <c r="G129" i="1" s="1"/>
  <c r="H122" i="1"/>
  <c r="H129" i="1" s="1"/>
  <c r="R29" i="5" l="1"/>
  <c r="M213" i="3"/>
  <c r="M215" i="3" s="1"/>
  <c r="Q29" i="5"/>
  <c r="L212" i="3"/>
  <c r="L215" i="3" s="1"/>
  <c r="K200" i="3"/>
  <c r="Q14" i="5"/>
  <c r="L136" i="1"/>
  <c r="L132" i="1"/>
  <c r="Q67" i="1"/>
  <c r="R68" i="1"/>
  <c r="Q68" i="1"/>
  <c r="R65" i="1"/>
  <c r="R69" i="1"/>
  <c r="H161" i="3"/>
  <c r="H168" i="3" s="1"/>
  <c r="R64" i="1"/>
  <c r="R66" i="1"/>
  <c r="R67" i="1"/>
  <c r="Q164" i="1"/>
  <c r="G142" i="3"/>
  <c r="R200" i="1"/>
  <c r="G132" i="1"/>
  <c r="G50" i="1" s="1"/>
  <c r="G136" i="1"/>
  <c r="H132" i="1"/>
  <c r="H134" i="1" s="1"/>
  <c r="H184" i="1" s="1"/>
  <c r="H194" i="1" s="1"/>
  <c r="H210" i="1" s="1"/>
  <c r="H136" i="1"/>
  <c r="F132" i="1"/>
  <c r="F134" i="1" s="1"/>
  <c r="F184" i="1" s="1"/>
  <c r="F194" i="1" s="1"/>
  <c r="F210" i="1" s="1"/>
  <c r="F136" i="1"/>
  <c r="H173" i="3"/>
  <c r="H247" i="3" s="1"/>
  <c r="G95" i="3"/>
  <c r="G91" i="3"/>
  <c r="G96" i="3" s="1"/>
  <c r="M158" i="3"/>
  <c r="M159" i="3" s="1"/>
  <c r="I77" i="3"/>
  <c r="I79" i="3" s="1"/>
  <c r="J76" i="3" s="1"/>
  <c r="I81" i="3"/>
  <c r="G104" i="3"/>
  <c r="I67" i="3"/>
  <c r="J64" i="3" s="1"/>
  <c r="I69" i="3"/>
  <c r="R164" i="1"/>
  <c r="O193" i="1"/>
  <c r="J249" i="3" s="1"/>
  <c r="P193" i="1"/>
  <c r="K249" i="3" s="1"/>
  <c r="Q149" i="1"/>
  <c r="R62" i="1"/>
  <c r="L87" i="1"/>
  <c r="L150" i="1" s="1"/>
  <c r="L15" i="5" s="1"/>
  <c r="G201" i="3" s="1"/>
  <c r="Q63" i="1"/>
  <c r="Q70" i="1" s="1"/>
  <c r="M74" i="1"/>
  <c r="R126" i="1"/>
  <c r="R122" i="1"/>
  <c r="L200" i="3" l="1"/>
  <c r="R14" i="5"/>
  <c r="H50" i="1"/>
  <c r="G134" i="1"/>
  <c r="G184" i="1" s="1"/>
  <c r="G194" i="1" s="1"/>
  <c r="G210" i="1" s="1"/>
  <c r="L155" i="1"/>
  <c r="H142" i="3"/>
  <c r="F50" i="1"/>
  <c r="G97" i="3"/>
  <c r="I173" i="3"/>
  <c r="I247" i="3" s="1"/>
  <c r="G133" i="3"/>
  <c r="G244" i="3" s="1"/>
  <c r="G93" i="3"/>
  <c r="H89" i="3" s="1"/>
  <c r="H95" i="3" s="1"/>
  <c r="J77" i="3"/>
  <c r="J79" i="3" s="1"/>
  <c r="K76" i="3" s="1"/>
  <c r="J81" i="3"/>
  <c r="G109" i="3"/>
  <c r="G105" i="3"/>
  <c r="J67" i="3"/>
  <c r="K64" i="3" s="1"/>
  <c r="J69" i="3"/>
  <c r="R149" i="1"/>
  <c r="Q193" i="1"/>
  <c r="L249" i="3" s="1"/>
  <c r="R63" i="1"/>
  <c r="R70" i="1" s="1"/>
  <c r="M79" i="1"/>
  <c r="M125" i="1" s="1"/>
  <c r="M82" i="1"/>
  <c r="M200" i="3" l="1"/>
  <c r="I50" i="1"/>
  <c r="D6" i="1" s="1"/>
  <c r="E248" i="3" s="1"/>
  <c r="F248" i="3"/>
  <c r="H248" i="3"/>
  <c r="G248" i="3"/>
  <c r="I248" i="3"/>
  <c r="J248" i="3"/>
  <c r="K248" i="3"/>
  <c r="L248" i="3"/>
  <c r="M248" i="3"/>
  <c r="J173" i="3"/>
  <c r="J247" i="3" s="1"/>
  <c r="I142" i="3"/>
  <c r="L55" i="3"/>
  <c r="E51" i="3" s="1"/>
  <c r="E52" i="3" s="1"/>
  <c r="G18" i="5" s="1"/>
  <c r="I18" i="5" s="1"/>
  <c r="E176" i="3"/>
  <c r="E177" i="3" s="1"/>
  <c r="M127" i="1"/>
  <c r="M129" i="1" s="1"/>
  <c r="M132" i="1" s="1"/>
  <c r="M133" i="1" s="1"/>
  <c r="M192" i="1" s="1"/>
  <c r="H243" i="3" s="1"/>
  <c r="I161" i="3"/>
  <c r="I168" i="3" s="1"/>
  <c r="H90" i="3"/>
  <c r="H91" i="3"/>
  <c r="H96" i="3" s="1"/>
  <c r="H133" i="3" s="1"/>
  <c r="H244" i="3" s="1"/>
  <c r="G107" i="3"/>
  <c r="G136" i="3"/>
  <c r="G118" i="3"/>
  <c r="K69" i="3"/>
  <c r="K67" i="3"/>
  <c r="L64" i="3" s="1"/>
  <c r="K81" i="3"/>
  <c r="K77" i="3"/>
  <c r="K79" i="3" s="1"/>
  <c r="L76" i="3" s="1"/>
  <c r="R193" i="1"/>
  <c r="M249" i="3" s="1"/>
  <c r="M83" i="1"/>
  <c r="M75" i="1" s="1"/>
  <c r="M77" i="1" s="1"/>
  <c r="M168" i="1" s="1"/>
  <c r="M34" i="5" s="1"/>
  <c r="H220" i="3" s="1"/>
  <c r="J50" i="1"/>
  <c r="K50" i="1" s="1"/>
  <c r="L50" i="1" s="1"/>
  <c r="M50" i="1" s="1"/>
  <c r="N50" i="1" s="1"/>
  <c r="O50" i="1" s="1"/>
  <c r="P50" i="1" s="1"/>
  <c r="Q50" i="1" s="1"/>
  <c r="R50" i="1" s="1"/>
  <c r="J133" i="1"/>
  <c r="J192" i="1" s="1"/>
  <c r="I133" i="1"/>
  <c r="K133" i="1"/>
  <c r="K192" i="1" s="1"/>
  <c r="F243" i="3" s="1"/>
  <c r="L133" i="1"/>
  <c r="L192" i="1" s="1"/>
  <c r="G243" i="3" s="1"/>
  <c r="E235" i="3" l="1"/>
  <c r="E184" i="3"/>
  <c r="E186" i="3" s="1"/>
  <c r="E243" i="3"/>
  <c r="K173" i="3"/>
  <c r="K247" i="3" s="1"/>
  <c r="H36" i="5"/>
  <c r="J142" i="3"/>
  <c r="M136" i="1"/>
  <c r="M87" i="1"/>
  <c r="M150" i="1" s="1"/>
  <c r="M15" i="5" s="1"/>
  <c r="H201" i="3" s="1"/>
  <c r="I20" i="5"/>
  <c r="J18" i="5"/>
  <c r="H93" i="3"/>
  <c r="I89" i="3" s="1"/>
  <c r="I95" i="3" s="1"/>
  <c r="H97" i="3"/>
  <c r="L77" i="3"/>
  <c r="L79" i="3" s="1"/>
  <c r="M76" i="3" s="1"/>
  <c r="L81" i="3"/>
  <c r="L67" i="3"/>
  <c r="M64" i="3" s="1"/>
  <c r="L69" i="3"/>
  <c r="H104" i="3"/>
  <c r="I134" i="1"/>
  <c r="I184" i="1" s="1"/>
  <c r="I192" i="1"/>
  <c r="M134" i="1"/>
  <c r="M184" i="1" s="1"/>
  <c r="M194" i="1" s="1"/>
  <c r="M210" i="1" s="1"/>
  <c r="L134" i="1"/>
  <c r="L184" i="1" s="1"/>
  <c r="L194" i="1" s="1"/>
  <c r="L210" i="1" s="1"/>
  <c r="J134" i="1"/>
  <c r="J184" i="1" s="1"/>
  <c r="J194" i="1" s="1"/>
  <c r="J210" i="1" s="1"/>
  <c r="K134" i="1"/>
  <c r="K184" i="1" s="1"/>
  <c r="K194" i="1" s="1"/>
  <c r="K210" i="1" s="1"/>
  <c r="N74" i="1"/>
  <c r="E187" i="3" l="1"/>
  <c r="D277" i="3" s="1"/>
  <c r="K18" i="5"/>
  <c r="E204" i="3"/>
  <c r="E206" i="3" s="1"/>
  <c r="L173" i="3"/>
  <c r="L247" i="3" s="1"/>
  <c r="K142" i="3"/>
  <c r="E250" i="3"/>
  <c r="E119" i="3" s="1"/>
  <c r="I90" i="3"/>
  <c r="I174" i="1"/>
  <c r="J174" i="1" s="1"/>
  <c r="K174" i="1" s="1"/>
  <c r="L174" i="1" s="1"/>
  <c r="M174" i="1" s="1"/>
  <c r="J20" i="5"/>
  <c r="M155" i="1"/>
  <c r="I170" i="1"/>
  <c r="E36" i="5" s="1"/>
  <c r="U191" i="1"/>
  <c r="I91" i="3"/>
  <c r="I96" i="3" s="1"/>
  <c r="H109" i="3"/>
  <c r="H105" i="3"/>
  <c r="M69" i="3"/>
  <c r="M67" i="3"/>
  <c r="M81" i="3"/>
  <c r="M77" i="3"/>
  <c r="M79" i="3" s="1"/>
  <c r="I194" i="1"/>
  <c r="I210" i="1" s="1"/>
  <c r="I142" i="1" s="1"/>
  <c r="E7" i="5" s="1"/>
  <c r="N82" i="1"/>
  <c r="N79" i="1"/>
  <c r="L18" i="5" l="1"/>
  <c r="F204" i="3"/>
  <c r="F206" i="3" s="1"/>
  <c r="K20" i="5"/>
  <c r="L142" i="3"/>
  <c r="M173" i="3"/>
  <c r="M247" i="3" s="1"/>
  <c r="I93" i="3"/>
  <c r="J89" i="3" s="1"/>
  <c r="J90" i="3" s="1"/>
  <c r="I172" i="1"/>
  <c r="I176" i="1" s="1"/>
  <c r="J170" i="1"/>
  <c r="J172" i="1" s="1"/>
  <c r="J176" i="1" s="1"/>
  <c r="E40" i="5"/>
  <c r="I40" i="5" s="1"/>
  <c r="E11" i="5"/>
  <c r="E22" i="5" s="1"/>
  <c r="I7" i="5"/>
  <c r="E38" i="5"/>
  <c r="I36" i="5"/>
  <c r="I97" i="3"/>
  <c r="I133" i="3"/>
  <c r="I244" i="3" s="1"/>
  <c r="H107" i="3"/>
  <c r="H118" i="3"/>
  <c r="H136" i="3"/>
  <c r="I146" i="1"/>
  <c r="I157" i="1" s="1"/>
  <c r="D21" i="3"/>
  <c r="D20" i="3" s="1"/>
  <c r="J142" i="1"/>
  <c r="N125" i="1"/>
  <c r="N83" i="1"/>
  <c r="N75" i="1" s="1"/>
  <c r="M18" i="5" l="1"/>
  <c r="G204" i="3"/>
  <c r="G206" i="3" s="1"/>
  <c r="L20" i="5"/>
  <c r="M142" i="3"/>
  <c r="K170" i="1"/>
  <c r="L170" i="1" s="1"/>
  <c r="J95" i="3"/>
  <c r="J91" i="3"/>
  <c r="J96" i="3" s="1"/>
  <c r="I178" i="1"/>
  <c r="J40" i="5"/>
  <c r="E226" i="3"/>
  <c r="J36" i="5"/>
  <c r="E42" i="5"/>
  <c r="E44" i="5" s="1"/>
  <c r="I38" i="5"/>
  <c r="I42" i="5" s="1"/>
  <c r="E117" i="3"/>
  <c r="E120" i="3" s="1"/>
  <c r="E121" i="3" s="1"/>
  <c r="E124" i="3" s="1"/>
  <c r="I11" i="5"/>
  <c r="I22" i="5" s="1"/>
  <c r="N127" i="1"/>
  <c r="N129" i="1" s="1"/>
  <c r="N132" i="1" s="1"/>
  <c r="N133" i="1" s="1"/>
  <c r="N192" i="1" s="1"/>
  <c r="J161" i="3"/>
  <c r="J168" i="3" s="1"/>
  <c r="J118" i="3"/>
  <c r="J136" i="3"/>
  <c r="I104" i="3"/>
  <c r="J146" i="1"/>
  <c r="J157" i="1" s="1"/>
  <c r="J178" i="1" s="1"/>
  <c r="K142" i="1"/>
  <c r="N77" i="1"/>
  <c r="N168" i="1" s="1"/>
  <c r="N34" i="5" s="1"/>
  <c r="I220" i="3" s="1"/>
  <c r="N87" i="1"/>
  <c r="N150" i="1" s="1"/>
  <c r="N15" i="5" s="1"/>
  <c r="I201" i="3" s="1"/>
  <c r="E222" i="3" l="1"/>
  <c r="K36" i="5"/>
  <c r="N18" i="5"/>
  <c r="H204" i="3"/>
  <c r="H206" i="3" s="1"/>
  <c r="M20" i="5"/>
  <c r="K172" i="1"/>
  <c r="K176" i="1" s="1"/>
  <c r="J97" i="3"/>
  <c r="J93" i="3"/>
  <c r="K89" i="3" s="1"/>
  <c r="K95" i="3" s="1"/>
  <c r="J133" i="3"/>
  <c r="J244" i="3" s="1"/>
  <c r="I243" i="3"/>
  <c r="I44" i="5"/>
  <c r="N155" i="1"/>
  <c r="N136" i="1"/>
  <c r="E125" i="3"/>
  <c r="E126" i="3" s="1"/>
  <c r="E143" i="3" s="1"/>
  <c r="N134" i="1"/>
  <c r="N184" i="1" s="1"/>
  <c r="E137" i="3"/>
  <c r="E138" i="3" s="1"/>
  <c r="E265" i="3" s="1"/>
  <c r="I105" i="3"/>
  <c r="I106" i="3"/>
  <c r="I109" i="3"/>
  <c r="K146" i="1"/>
  <c r="K157" i="1" s="1"/>
  <c r="L142" i="1"/>
  <c r="M170" i="1"/>
  <c r="L172" i="1"/>
  <c r="L176" i="1" s="1"/>
  <c r="O74" i="1"/>
  <c r="K91" i="3" l="1"/>
  <c r="K96" i="3" s="1"/>
  <c r="K133" i="3" s="1"/>
  <c r="K244" i="3" s="1"/>
  <c r="K90" i="3"/>
  <c r="K136" i="3" s="1"/>
  <c r="O18" i="5"/>
  <c r="I204" i="3"/>
  <c r="I206" i="3" s="1"/>
  <c r="N20" i="5"/>
  <c r="L36" i="5"/>
  <c r="F222" i="3"/>
  <c r="K178" i="1"/>
  <c r="N194" i="1"/>
  <c r="N210" i="1" s="1"/>
  <c r="N174" i="1"/>
  <c r="E140" i="3"/>
  <c r="E266" i="3" s="1"/>
  <c r="F123" i="3"/>
  <c r="E144" i="3"/>
  <c r="K118" i="3"/>
  <c r="I107" i="3"/>
  <c r="I118" i="3"/>
  <c r="I136" i="3"/>
  <c r="N170" i="1"/>
  <c r="M172" i="1"/>
  <c r="M176" i="1" s="1"/>
  <c r="L146" i="1"/>
  <c r="L157" i="1" s="1"/>
  <c r="L178" i="1" s="1"/>
  <c r="M142" i="1"/>
  <c r="O79" i="1"/>
  <c r="O125" i="1" s="1"/>
  <c r="O82" i="1"/>
  <c r="K93" i="3" l="1"/>
  <c r="L89" i="3" s="1"/>
  <c r="L95" i="3" s="1"/>
  <c r="K97" i="3"/>
  <c r="O83" i="1"/>
  <c r="O75" i="1" s="1"/>
  <c r="M36" i="5"/>
  <c r="G222" i="3"/>
  <c r="P18" i="5"/>
  <c r="J204" i="3"/>
  <c r="E267" i="3"/>
  <c r="E269" i="3" s="1"/>
  <c r="J33" i="5"/>
  <c r="O127" i="1"/>
  <c r="O129" i="1" s="1"/>
  <c r="O132" i="1" s="1"/>
  <c r="O133" i="1" s="1"/>
  <c r="K161" i="3"/>
  <c r="K168" i="3" s="1"/>
  <c r="F128" i="3"/>
  <c r="F132" i="3" s="1"/>
  <c r="F134" i="3" s="1"/>
  <c r="F171" i="3" s="1"/>
  <c r="F175" i="3" s="1"/>
  <c r="F176" i="3" s="1"/>
  <c r="F177" i="3" s="1"/>
  <c r="M146" i="1"/>
  <c r="M157" i="1" s="1"/>
  <c r="M178" i="1" s="1"/>
  <c r="N142" i="1"/>
  <c r="N146" i="1" s="1"/>
  <c r="N157" i="1" s="1"/>
  <c r="N172" i="1"/>
  <c r="N176" i="1" s="1"/>
  <c r="O77" i="1"/>
  <c r="O168" i="1" s="1"/>
  <c r="O34" i="5" s="1"/>
  <c r="J220" i="3" s="1"/>
  <c r="O87" i="1"/>
  <c r="O150" i="1" s="1"/>
  <c r="O15" i="5" s="1"/>
  <c r="J201" i="3" s="1"/>
  <c r="F235" i="3" l="1"/>
  <c r="K40" i="5" s="1"/>
  <c r="F184" i="3"/>
  <c r="F186" i="3" s="1"/>
  <c r="L90" i="3"/>
  <c r="L118" i="3" s="1"/>
  <c r="L91" i="3"/>
  <c r="L96" i="3" s="1"/>
  <c r="L133" i="3" s="1"/>
  <c r="L244" i="3" s="1"/>
  <c r="J206" i="3"/>
  <c r="O20" i="5"/>
  <c r="Q18" i="5"/>
  <c r="K204" i="3"/>
  <c r="J38" i="5"/>
  <c r="E219" i="3"/>
  <c r="E224" i="3" s="1"/>
  <c r="E228" i="3" s="1"/>
  <c r="N36" i="5"/>
  <c r="H222" i="3"/>
  <c r="J7" i="5"/>
  <c r="O155" i="1"/>
  <c r="O192" i="1"/>
  <c r="O134" i="1"/>
  <c r="O184" i="1" s="1"/>
  <c r="O174" i="1" s="1"/>
  <c r="O136" i="1"/>
  <c r="N178" i="1"/>
  <c r="P74" i="1"/>
  <c r="F187" i="3" l="1"/>
  <c r="D290" i="3" s="1"/>
  <c r="F226" i="3"/>
  <c r="F250" i="3"/>
  <c r="F119" i="3" s="1"/>
  <c r="L93" i="3"/>
  <c r="M89" i="3" s="1"/>
  <c r="M90" i="3" s="1"/>
  <c r="L97" i="3"/>
  <c r="L136" i="3"/>
  <c r="R18" i="5"/>
  <c r="L204" i="3"/>
  <c r="J11" i="5"/>
  <c r="J22" i="5" s="1"/>
  <c r="E193" i="3"/>
  <c r="E197" i="3" s="1"/>
  <c r="E208" i="3" s="1"/>
  <c r="E230" i="3" s="1"/>
  <c r="I222" i="3"/>
  <c r="F117" i="3"/>
  <c r="J243" i="3"/>
  <c r="O36" i="5" s="1"/>
  <c r="O194" i="1"/>
  <c r="O210" i="1" s="1"/>
  <c r="O142" i="1" s="1"/>
  <c r="O146" i="1" s="1"/>
  <c r="O157" i="1" s="1"/>
  <c r="O170" i="1"/>
  <c r="O172" i="1" s="1"/>
  <c r="O176" i="1" s="1"/>
  <c r="P79" i="1"/>
  <c r="P125" i="1" s="1"/>
  <c r="P82" i="1"/>
  <c r="F120" i="3" l="1"/>
  <c r="F121" i="3" s="1"/>
  <c r="F124" i="3" s="1"/>
  <c r="F137" i="3" s="1"/>
  <c r="F138" i="3" s="1"/>
  <c r="F265" i="3" s="1"/>
  <c r="M95" i="3"/>
  <c r="M91" i="3"/>
  <c r="M96" i="3" s="1"/>
  <c r="M133" i="3" s="1"/>
  <c r="M244" i="3" s="1"/>
  <c r="J222" i="3"/>
  <c r="M204" i="3"/>
  <c r="P127" i="1"/>
  <c r="P129" i="1" s="1"/>
  <c r="P132" i="1" s="1"/>
  <c r="P133" i="1" s="1"/>
  <c r="P192" i="1" s="1"/>
  <c r="L161" i="3"/>
  <c r="L168" i="3" s="1"/>
  <c r="M136" i="3"/>
  <c r="M118" i="3"/>
  <c r="P83" i="1"/>
  <c r="P75" i="1" s="1"/>
  <c r="P87" i="1" s="1"/>
  <c r="P150" i="1" s="1"/>
  <c r="P15" i="5" s="1"/>
  <c r="O178" i="1"/>
  <c r="F125" i="3" l="1"/>
  <c r="F140" i="3" s="1"/>
  <c r="F266" i="3" s="1"/>
  <c r="F267" i="3" s="1"/>
  <c r="F269" i="3" s="1"/>
  <c r="K7" i="5" s="1"/>
  <c r="G117" i="3" s="1"/>
  <c r="M93" i="3"/>
  <c r="M97" i="3"/>
  <c r="K201" i="3"/>
  <c r="K206" i="3" s="1"/>
  <c r="P20" i="5"/>
  <c r="P136" i="1"/>
  <c r="K243" i="3"/>
  <c r="P36" i="5" s="1"/>
  <c r="P77" i="1"/>
  <c r="P168" i="1" s="1"/>
  <c r="P34" i="5" s="1"/>
  <c r="K220" i="3" s="1"/>
  <c r="P155" i="1"/>
  <c r="P170" i="1"/>
  <c r="P134" i="1"/>
  <c r="P184" i="1" s="1"/>
  <c r="K11" i="5" l="1"/>
  <c r="K22" i="5" s="1"/>
  <c r="F193" i="3"/>
  <c r="F197" i="3" s="1"/>
  <c r="F208" i="3" s="1"/>
  <c r="F126" i="3"/>
  <c r="F143" i="3" s="1"/>
  <c r="F144" i="3" s="1"/>
  <c r="K33" i="5" s="1"/>
  <c r="F219" i="3" s="1"/>
  <c r="F224" i="3" s="1"/>
  <c r="F228" i="3" s="1"/>
  <c r="K222" i="3"/>
  <c r="P172" i="1"/>
  <c r="Q74" i="1"/>
  <c r="Q79" i="1" s="1"/>
  <c r="Q125" i="1" s="1"/>
  <c r="P194" i="1"/>
  <c r="P210" i="1" s="1"/>
  <c r="P142" i="1" s="1"/>
  <c r="P146" i="1" s="1"/>
  <c r="P157" i="1" s="1"/>
  <c r="P174" i="1"/>
  <c r="F230" i="3" l="1"/>
  <c r="G123" i="3"/>
  <c r="G128" i="3" s="1"/>
  <c r="G132" i="3" s="1"/>
  <c r="G134" i="3" s="1"/>
  <c r="G171" i="3" s="1"/>
  <c r="G175" i="3" s="1"/>
  <c r="G176" i="3" s="1"/>
  <c r="G177" i="3" s="1"/>
  <c r="G235" i="3" s="1"/>
  <c r="K38" i="5"/>
  <c r="K42" i="5" s="1"/>
  <c r="Q82" i="1"/>
  <c r="P176" i="1"/>
  <c r="P178" i="1" s="1"/>
  <c r="Q127" i="1"/>
  <c r="Q129" i="1" s="1"/>
  <c r="Q132" i="1" s="1"/>
  <c r="Q133" i="1" s="1"/>
  <c r="Q192" i="1" s="1"/>
  <c r="M161" i="3"/>
  <c r="M168" i="3" s="1"/>
  <c r="Q136" i="1"/>
  <c r="Q83" i="1"/>
  <c r="Q75" i="1" s="1"/>
  <c r="Q87" i="1" s="1"/>
  <c r="Q150" i="1" s="1"/>
  <c r="Q15" i="5" s="1"/>
  <c r="G250" i="3" l="1"/>
  <c r="G119" i="3" s="1"/>
  <c r="G120" i="3" s="1"/>
  <c r="G121" i="3" s="1"/>
  <c r="G124" i="3" s="1"/>
  <c r="G137" i="3" s="1"/>
  <c r="G138" i="3" s="1"/>
  <c r="G265" i="3" s="1"/>
  <c r="G226" i="3"/>
  <c r="L40" i="5"/>
  <c r="G184" i="3"/>
  <c r="G186" i="3" s="1"/>
  <c r="G187" i="3" s="1"/>
  <c r="D303" i="3" s="1"/>
  <c r="L201" i="3"/>
  <c r="L206" i="3" s="1"/>
  <c r="Q20" i="5"/>
  <c r="L243" i="3"/>
  <c r="Q36" i="5" s="1"/>
  <c r="Q77" i="1"/>
  <c r="Q168" i="1" s="1"/>
  <c r="Q34" i="5" s="1"/>
  <c r="L220" i="3" s="1"/>
  <c r="Q155" i="1"/>
  <c r="Q134" i="1"/>
  <c r="Q184" i="1" s="1"/>
  <c r="Q174" i="1" s="1"/>
  <c r="Q170" i="1"/>
  <c r="G125" i="3" l="1"/>
  <c r="G140" i="3" s="1"/>
  <c r="G266" i="3" s="1"/>
  <c r="G267" i="3" s="1"/>
  <c r="G269" i="3" s="1"/>
  <c r="L7" i="5" s="1"/>
  <c r="G193" i="3" s="1"/>
  <c r="G197" i="3" s="1"/>
  <c r="G208" i="3" s="1"/>
  <c r="L222" i="3"/>
  <c r="R74" i="1"/>
  <c r="R82" i="1" s="1"/>
  <c r="Q172" i="1"/>
  <c r="Q176" i="1" s="1"/>
  <c r="Q194" i="1"/>
  <c r="Q210" i="1" s="1"/>
  <c r="Q142" i="1" s="1"/>
  <c r="Q146" i="1" s="1"/>
  <c r="Q157" i="1" s="1"/>
  <c r="G126" i="3" l="1"/>
  <c r="G143" i="3" s="1"/>
  <c r="G144" i="3" s="1"/>
  <c r="L33" i="5" s="1"/>
  <c r="G219" i="3" s="1"/>
  <c r="G224" i="3" s="1"/>
  <c r="G228" i="3" s="1"/>
  <c r="G230" i="3" s="1"/>
  <c r="H117" i="3"/>
  <c r="L11" i="5"/>
  <c r="L22" i="5" s="1"/>
  <c r="R79" i="1"/>
  <c r="Q178" i="1"/>
  <c r="R125" i="1"/>
  <c r="R127" i="1" s="1"/>
  <c r="R129" i="1" s="1"/>
  <c r="R83" i="1"/>
  <c r="R75" i="1" s="1"/>
  <c r="L38" i="5" l="1"/>
  <c r="L42" i="5" s="1"/>
  <c r="H123" i="3"/>
  <c r="H128" i="3" s="1"/>
  <c r="H132" i="3" s="1"/>
  <c r="H134" i="3" s="1"/>
  <c r="H171" i="3" s="1"/>
  <c r="H175" i="3" s="1"/>
  <c r="H176" i="3" s="1"/>
  <c r="H177" i="3" s="1"/>
  <c r="H235" i="3" s="1"/>
  <c r="M40" i="5" s="1"/>
  <c r="R132" i="1"/>
  <c r="R133" i="1" s="1"/>
  <c r="R192" i="1" s="1"/>
  <c r="M243" i="3" s="1"/>
  <c r="R36" i="5" s="1"/>
  <c r="M222" i="3" s="1"/>
  <c r="R136" i="1"/>
  <c r="R87" i="1"/>
  <c r="R150" i="1" s="1"/>
  <c r="R15" i="5" s="1"/>
  <c r="R77" i="1"/>
  <c r="R168" i="1" s="1"/>
  <c r="R34" i="5" s="1"/>
  <c r="M220" i="3" s="1"/>
  <c r="H184" i="3" l="1"/>
  <c r="H186" i="3" s="1"/>
  <c r="H187" i="3" s="1"/>
  <c r="D316" i="3" s="1"/>
  <c r="H250" i="3"/>
  <c r="H119" i="3" s="1"/>
  <c r="H120" i="3" s="1"/>
  <c r="H121" i="3" s="1"/>
  <c r="H124" i="3" s="1"/>
  <c r="H137" i="3" s="1"/>
  <c r="H138" i="3" s="1"/>
  <c r="H265" i="3" s="1"/>
  <c r="H226" i="3"/>
  <c r="M201" i="3"/>
  <c r="M206" i="3" s="1"/>
  <c r="R20" i="5"/>
  <c r="R155" i="1"/>
  <c r="R170" i="1"/>
  <c r="R172" i="1" s="1"/>
  <c r="R134" i="1"/>
  <c r="R184" i="1" s="1"/>
  <c r="R174" i="1" s="1"/>
  <c r="H125" i="3" l="1"/>
  <c r="H140" i="3" s="1"/>
  <c r="H266" i="3" s="1"/>
  <c r="H267" i="3" s="1"/>
  <c r="H269" i="3" s="1"/>
  <c r="M7" i="5" s="1"/>
  <c r="H193" i="3" s="1"/>
  <c r="H197" i="3" s="1"/>
  <c r="H208" i="3" s="1"/>
  <c r="R176" i="1"/>
  <c r="R194" i="1"/>
  <c r="R210" i="1" s="1"/>
  <c r="R142" i="1" s="1"/>
  <c r="R146" i="1" s="1"/>
  <c r="R157" i="1" s="1"/>
  <c r="R178" i="1" s="1"/>
  <c r="I117" i="3" l="1"/>
  <c r="M11" i="5"/>
  <c r="M22" i="5" s="1"/>
  <c r="H126" i="3"/>
  <c r="H143" i="3" s="1"/>
  <c r="H144" i="3" s="1"/>
  <c r="M33" i="5" s="1"/>
  <c r="M38" i="5" s="1"/>
  <c r="M42" i="5" s="1"/>
  <c r="I123" i="3" l="1"/>
  <c r="I128" i="3" s="1"/>
  <c r="I132" i="3" s="1"/>
  <c r="I134" i="3" s="1"/>
  <c r="I171" i="3" s="1"/>
  <c r="I175" i="3" s="1"/>
  <c r="I176" i="3" s="1"/>
  <c r="I177" i="3" s="1"/>
  <c r="I235" i="3" s="1"/>
  <c r="N40" i="5" s="1"/>
  <c r="H219" i="3"/>
  <c r="H224" i="3" s="1"/>
  <c r="H228" i="3" s="1"/>
  <c r="H230" i="3" s="1"/>
  <c r="I184" i="3" l="1"/>
  <c r="I186" i="3" s="1"/>
  <c r="I187" i="3" s="1"/>
  <c r="D328" i="3" s="1"/>
  <c r="I226" i="3"/>
  <c r="I250" i="3"/>
  <c r="I119" i="3" s="1"/>
  <c r="I120" i="3" s="1"/>
  <c r="I121" i="3" s="1"/>
  <c r="I124" i="3" s="1"/>
  <c r="I137" i="3" s="1"/>
  <c r="I138" i="3" s="1"/>
  <c r="I265" i="3" s="1"/>
  <c r="I125" i="3" l="1"/>
  <c r="I140" i="3" s="1"/>
  <c r="I266" i="3" s="1"/>
  <c r="I267" i="3" s="1"/>
  <c r="I269" i="3" s="1"/>
  <c r="N7" i="5" s="1"/>
  <c r="I193" i="3" s="1"/>
  <c r="I197" i="3" s="1"/>
  <c r="I208" i="3" s="1"/>
  <c r="J117" i="3" l="1"/>
  <c r="N11" i="5"/>
  <c r="N22" i="5" s="1"/>
  <c r="I126" i="3"/>
  <c r="J123" i="3" l="1"/>
  <c r="J128" i="3" s="1"/>
  <c r="J132" i="3" s="1"/>
  <c r="J134" i="3" s="1"/>
  <c r="J171" i="3" s="1"/>
  <c r="J175" i="3" s="1"/>
  <c r="J176" i="3" s="1"/>
  <c r="J177" i="3" s="1"/>
  <c r="I143" i="3"/>
  <c r="I144" i="3" s="1"/>
  <c r="N33" i="5" s="1"/>
  <c r="N38" i="5" l="1"/>
  <c r="N42" i="5" s="1"/>
  <c r="I219" i="3"/>
  <c r="I224" i="3" s="1"/>
  <c r="I228" i="3" s="1"/>
  <c r="I230" i="3" s="1"/>
  <c r="J235" i="3"/>
  <c r="J184" i="3"/>
  <c r="J186" i="3" s="1"/>
  <c r="J187" i="3" s="1"/>
  <c r="D340" i="3" s="1"/>
  <c r="O40" i="5" l="1"/>
  <c r="J250" i="3"/>
  <c r="J119" i="3" s="1"/>
  <c r="J120" i="3" s="1"/>
  <c r="J121" i="3" s="1"/>
  <c r="J124" i="3" s="1"/>
  <c r="J226" i="3"/>
  <c r="J137" i="3" l="1"/>
  <c r="J138" i="3" s="1"/>
  <c r="J265" i="3" s="1"/>
  <c r="J125" i="3"/>
  <c r="J140" i="3" s="1"/>
  <c r="J266" i="3" s="1"/>
  <c r="J126" i="3" l="1"/>
  <c r="K123" i="3" s="1"/>
  <c r="K128" i="3" s="1"/>
  <c r="K132" i="3" s="1"/>
  <c r="K134" i="3" s="1"/>
  <c r="K171" i="3" s="1"/>
  <c r="K175" i="3" s="1"/>
  <c r="K176" i="3" s="1"/>
  <c r="K177" i="3" s="1"/>
  <c r="J267" i="3"/>
  <c r="J269" i="3" s="1"/>
  <c r="O7" i="5" s="1"/>
  <c r="O11" i="5" s="1"/>
  <c r="O22" i="5" s="1"/>
  <c r="J143" i="3" l="1"/>
  <c r="J144" i="3" s="1"/>
  <c r="O33" i="5" s="1"/>
  <c r="O38" i="5" s="1"/>
  <c r="O42" i="5" s="1"/>
  <c r="K117" i="3"/>
  <c r="J193" i="3"/>
  <c r="J197" i="3" s="1"/>
  <c r="J208" i="3" s="1"/>
  <c r="K235" i="3"/>
  <c r="K184" i="3"/>
  <c r="K186" i="3" s="1"/>
  <c r="K187" i="3" s="1"/>
  <c r="D352" i="3" s="1"/>
  <c r="J219" i="3" l="1"/>
  <c r="J224" i="3" s="1"/>
  <c r="J228" i="3" s="1"/>
  <c r="J230" i="3" s="1"/>
  <c r="K250" i="3"/>
  <c r="K119" i="3" s="1"/>
  <c r="K120" i="3" s="1"/>
  <c r="K121" i="3" s="1"/>
  <c r="K124" i="3" s="1"/>
  <c r="P40" i="5"/>
  <c r="K226" i="3"/>
  <c r="K137" i="3" l="1"/>
  <c r="K138" i="3" s="1"/>
  <c r="K265" i="3" s="1"/>
  <c r="K125" i="3"/>
  <c r="K140" i="3" s="1"/>
  <c r="K266" i="3" s="1"/>
  <c r="K126" i="3" l="1"/>
  <c r="K143" i="3" s="1"/>
  <c r="K144" i="3" s="1"/>
  <c r="P33" i="5" s="1"/>
  <c r="K267" i="3"/>
  <c r="K269" i="3" s="1"/>
  <c r="P7" i="5" s="1"/>
  <c r="L123" i="3" l="1"/>
  <c r="L128" i="3" s="1"/>
  <c r="L132" i="3" s="1"/>
  <c r="L134" i="3" s="1"/>
  <c r="L171" i="3" s="1"/>
  <c r="L175" i="3" s="1"/>
  <c r="L176" i="3" s="1"/>
  <c r="L177" i="3" s="1"/>
  <c r="L235" i="3" s="1"/>
  <c r="K193" i="3"/>
  <c r="K197" i="3" s="1"/>
  <c r="K208" i="3" s="1"/>
  <c r="P11" i="5"/>
  <c r="P22" i="5" s="1"/>
  <c r="L117" i="3"/>
  <c r="P38" i="5"/>
  <c r="P42" i="5" s="1"/>
  <c r="K219" i="3"/>
  <c r="K224" i="3" s="1"/>
  <c r="K228" i="3" s="1"/>
  <c r="L184" i="3" l="1"/>
  <c r="L186" i="3" s="1"/>
  <c r="L187" i="3" s="1"/>
  <c r="D364" i="3" s="1"/>
  <c r="K230" i="3"/>
  <c r="L226" i="3"/>
  <c r="Q40" i="5"/>
  <c r="L250" i="3"/>
  <c r="L119" i="3" s="1"/>
  <c r="L120" i="3" s="1"/>
  <c r="L121" i="3" s="1"/>
  <c r="L124" i="3" s="1"/>
  <c r="L137" i="3" l="1"/>
  <c r="L138" i="3" s="1"/>
  <c r="L265" i="3" s="1"/>
  <c r="L125" i="3"/>
  <c r="L140" i="3" s="1"/>
  <c r="L266" i="3" s="1"/>
  <c r="L267" i="3" l="1"/>
  <c r="L269" i="3" s="1"/>
  <c r="Q7" i="5" s="1"/>
  <c r="Q11" i="5" s="1"/>
  <c r="Q22" i="5" s="1"/>
  <c r="L126" i="3"/>
  <c r="L193" i="3" l="1"/>
  <c r="L197" i="3" s="1"/>
  <c r="L208" i="3" s="1"/>
  <c r="M117" i="3"/>
  <c r="M123" i="3"/>
  <c r="L143" i="3"/>
  <c r="L144" i="3" s="1"/>
  <c r="Q33" i="5" s="1"/>
  <c r="Q38" i="5" l="1"/>
  <c r="Q42" i="5" s="1"/>
  <c r="L219" i="3"/>
  <c r="L224" i="3" s="1"/>
  <c r="L228" i="3" s="1"/>
  <c r="L230" i="3" s="1"/>
  <c r="M128" i="3"/>
  <c r="M132" i="3" s="1"/>
  <c r="M134" i="3" s="1"/>
  <c r="M171" i="3" s="1"/>
  <c r="M175" i="3" s="1"/>
  <c r="M176" i="3" s="1"/>
  <c r="M177" i="3" s="1"/>
  <c r="J42" i="5"/>
  <c r="J44" i="5" s="1"/>
  <c r="K44" i="5"/>
  <c r="M235" i="3" l="1"/>
  <c r="M184" i="3"/>
  <c r="M186" i="3" s="1"/>
  <c r="L44" i="5"/>
  <c r="M187" i="3" l="1"/>
  <c r="D376" i="3" s="1"/>
  <c r="R40" i="5"/>
  <c r="M226" i="3"/>
  <c r="M250" i="3"/>
  <c r="M119" i="3" s="1"/>
  <c r="M120" i="3" s="1"/>
  <c r="M121" i="3" s="1"/>
  <c r="M124" i="3" s="1"/>
  <c r="M44" i="5"/>
  <c r="M137" i="3" l="1"/>
  <c r="M138" i="3" s="1"/>
  <c r="M265" i="3" s="1"/>
  <c r="M125" i="3"/>
  <c r="M140" i="3" s="1"/>
  <c r="M266" i="3" s="1"/>
  <c r="N44" i="5"/>
  <c r="M267" i="3" l="1"/>
  <c r="M269" i="3" s="1"/>
  <c r="R7" i="5" s="1"/>
  <c r="R11" i="5" s="1"/>
  <c r="R22" i="5" s="1"/>
  <c r="M126" i="3"/>
  <c r="M143" i="3" s="1"/>
  <c r="M144" i="3" s="1"/>
  <c r="R33" i="5" s="1"/>
  <c r="O44" i="5"/>
  <c r="M193" i="3" l="1"/>
  <c r="M197" i="3" s="1"/>
  <c r="M208" i="3" s="1"/>
  <c r="R38" i="5"/>
  <c r="R42" i="5" s="1"/>
  <c r="M219" i="3"/>
  <c r="M224" i="3" s="1"/>
  <c r="M228" i="3" s="1"/>
  <c r="P44" i="5"/>
  <c r="M230" i="3" l="1"/>
  <c r="Q44" i="5"/>
  <c r="R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25" authorId="0" shapeId="0" xr:uid="{AA6C09CE-75CA-4459-9606-6C914725D7DD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From the Merger Proposal, 17.4 Billions</t>
        </r>
      </text>
    </comment>
    <comment ref="C153" authorId="0" shapeId="0" xr:uid="{38C6BE24-9339-498F-ACA2-730803A291FB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Added Depreciation into Kroger COGS to have consistency</t>
        </r>
      </text>
    </comment>
    <comment ref="C187" authorId="0" shapeId="0" xr:uid="{63E763C3-C776-4CFC-9167-577F22546D69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The Deal is Dilutive for the first year, but it become accretive after second year
</t>
        </r>
      </text>
    </comment>
    <comment ref="C240" authorId="0" shapeId="0" xr:uid="{3012DFD9-78DD-4365-AE1A-F6D15E61414E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non-recurring items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C54" authorId="0" shapeId="0" xr:uid="{A4ADCE07-B8FE-4C6C-93BF-286A9085C7F4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Adjusted For LIFO RESERVE
</t>
        </r>
      </text>
    </comment>
    <comment ref="C75" authorId="0" shapeId="0" xr:uid="{BCA19F35-5626-467F-BBF7-18E07FDE6DA8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Suppose Interest Rate Implied is the same across the years
</t>
        </r>
      </text>
    </comment>
    <comment ref="B89" authorId="0" shapeId="0" xr:uid="{F2837C59-F2EC-4824-AC10-61BB9E005583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Act as a degree of Simplicity, we will treat Finance Lease like operating leases about asset amortization as they don’t tend to differ much mostly.And no finance lease is added</t>
        </r>
      </text>
    </comment>
    <comment ref="B103" authorId="0" shapeId="0" xr:uid="{3FF2C3C1-E0D2-456F-8ADD-1B865BCBED3F}">
      <text>
        <r>
          <rPr>
            <sz val="9"/>
            <color indexed="81"/>
            <rFont val="Tahoma"/>
            <family val="2"/>
          </rPr>
          <t xml:space="preserve">No new debt should be issued since they should prepare for M&amp;A deal
</t>
        </r>
      </text>
    </comment>
    <comment ref="C121" authorId="0" shapeId="0" xr:uid="{F327E12C-D250-4F9C-8895-CAC53A037219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LIFO COGS Minus LIFO Credit
</t>
        </r>
      </text>
    </comment>
    <comment ref="C144" authorId="0" shapeId="0" xr:uid="{461A8D93-4D52-4D64-B7DE-99C21A77A7FC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Adjusted For LIFO RESERVE
</t>
        </r>
      </text>
    </comment>
    <comment ref="H188" authorId="0" shapeId="0" xr:uid="{8069AA1A-6AFE-4757-9A94-1E369385648A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Since we are doing M&amp;A deal, we suppose no stock-based compesnation is provided that will result in dilution of shares
</t>
        </r>
      </text>
    </comment>
    <comment ref="C189" authorId="0" shapeId="0" xr:uid="{E21DCB56-6131-4CE2-9A07-668E83E27C2A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non-recurring items
</t>
        </r>
      </text>
    </comment>
    <comment ref="C198" authorId="0" shapeId="0" xr:uid="{D4A7FAAD-1D58-4D39-8D97-EB07139D1D61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Non-Recurring Items
</t>
        </r>
      </text>
    </comment>
    <comment ref="C203" authorId="0" shapeId="0" xr:uid="{6701448A-703E-4E0A-A3BB-E2F8ABFEC214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No Debt Issuance to Prepare for the M&amp;A Deal</t>
        </r>
      </text>
    </comment>
    <comment ref="C205" authorId="0" shapeId="0" xr:uid="{C0224603-3139-4994-85CE-F4D3DF42D3D0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No fund-raising until the M&amp;A deal</t>
        </r>
      </text>
    </comment>
    <comment ref="C206" authorId="0" shapeId="0" xr:uid="{53A4F331-8092-43BA-818E-4E6E64EB9F00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No Dividen/Repurchase fo M&amp;A cash prep</t>
        </r>
      </text>
    </comment>
  </commentList>
</comments>
</file>

<file path=xl/sharedStrings.xml><?xml version="1.0" encoding="utf-8"?>
<sst xmlns="http://schemas.openxmlformats.org/spreadsheetml/2006/main" count="950" uniqueCount="462">
  <si>
    <t>Albertsons Infos. and Assumptions</t>
  </si>
  <si>
    <t>Kroger Infos. and Assumptions</t>
  </si>
  <si>
    <t>The Kroger Co. (KR) Financial Model</t>
  </si>
  <si>
    <t>All Accountings in Millions USD</t>
  </si>
  <si>
    <t>Company Name:</t>
  </si>
  <si>
    <t>Effective Tax Rate:</t>
  </si>
  <si>
    <t>The Kroger Co.</t>
  </si>
  <si>
    <t>Ticker Name:</t>
  </si>
  <si>
    <t>KR</t>
  </si>
  <si>
    <t>Conversion Factor:</t>
  </si>
  <si>
    <t>Current Price:</t>
  </si>
  <si>
    <t>Diluted Share Counts:</t>
  </si>
  <si>
    <t>Total Market Capitalization</t>
  </si>
  <si>
    <t>Financial Statement Driver:</t>
  </si>
  <si>
    <t>Units:</t>
  </si>
  <si>
    <t>Historical:</t>
  </si>
  <si>
    <t>Projected:</t>
  </si>
  <si>
    <t>Income Statement:</t>
  </si>
  <si>
    <t>Cash Flow Statement:</t>
  </si>
  <si>
    <t>(+)Non-Perishable Sales</t>
  </si>
  <si>
    <t>Total Revenue</t>
  </si>
  <si>
    <t>(-) Cost of Sales</t>
  </si>
  <si>
    <t>(+) Others</t>
  </si>
  <si>
    <t>Gross Profit</t>
  </si>
  <si>
    <t>Operating Expenses</t>
  </si>
  <si>
    <t>Operating Income (EBIT)</t>
  </si>
  <si>
    <t>(+/-) Gain/(Loss) on Investment</t>
  </si>
  <si>
    <t>(-) Interest Expense:</t>
  </si>
  <si>
    <t>(-) Depreciation and Amortization</t>
  </si>
  <si>
    <t>(-) Rental Expenses</t>
  </si>
  <si>
    <t>(-) SG&amp;A</t>
  </si>
  <si>
    <t>Pre-Tax Income</t>
  </si>
  <si>
    <t>(-) Income Tax Expenses</t>
  </si>
  <si>
    <t>Net Income</t>
  </si>
  <si>
    <t>ASSET</t>
  </si>
  <si>
    <t>Current Asset</t>
  </si>
  <si>
    <t>Cash</t>
  </si>
  <si>
    <t>Receivables</t>
  </si>
  <si>
    <t>Inventory</t>
  </si>
  <si>
    <t>Goodwill</t>
  </si>
  <si>
    <t>Total Equity</t>
  </si>
  <si>
    <t>Other Current Asset</t>
  </si>
  <si>
    <t>Total Current Asset</t>
  </si>
  <si>
    <t>Net PP&amp;E</t>
  </si>
  <si>
    <t>Operating Lease Asset</t>
  </si>
  <si>
    <t>Intangible Asset</t>
  </si>
  <si>
    <t>Other Non-Current Asset</t>
  </si>
  <si>
    <t>Total Non-Current Asset</t>
  </si>
  <si>
    <t>Total Asset</t>
  </si>
  <si>
    <t>LIABILITIES AND EQUITIES</t>
  </si>
  <si>
    <t>Current Liablities</t>
  </si>
  <si>
    <t>Account Payable</t>
  </si>
  <si>
    <t>Accrued Expenses</t>
  </si>
  <si>
    <t>Other Current Liabilities</t>
  </si>
  <si>
    <t>Total Current Liabilites</t>
  </si>
  <si>
    <t>Non-Current Liabilities</t>
  </si>
  <si>
    <t>Operating Lease Liabilities</t>
  </si>
  <si>
    <t>Deferred Tax Liabilities</t>
  </si>
  <si>
    <t>Other Long-Term Liabilities</t>
  </si>
  <si>
    <t>Total Non-Current Liabilites</t>
  </si>
  <si>
    <t>Total Liabilities and Equities</t>
  </si>
  <si>
    <t>Balance Check:</t>
  </si>
  <si>
    <t>Non-Current Asset</t>
  </si>
  <si>
    <t xml:space="preserve">(+) Depreciation and Amortization </t>
  </si>
  <si>
    <t>(+) Impairment Charge</t>
  </si>
  <si>
    <t>(+) Share-based Compensation</t>
  </si>
  <si>
    <t>(+/-) Other Items</t>
  </si>
  <si>
    <t>Change in Working Capital</t>
  </si>
  <si>
    <t>(+/-) Gain/Loss on Investment</t>
  </si>
  <si>
    <t>(+/-) Gain/Loss on PP&amp;E Sales</t>
  </si>
  <si>
    <t>Cash Flow From Operation</t>
  </si>
  <si>
    <t>Cash Flow From Investment</t>
  </si>
  <si>
    <t>CASH FLOW FROM OPERATION</t>
  </si>
  <si>
    <t>CASH FLOW FROM INVESTMENT</t>
  </si>
  <si>
    <t>CASH FLOW FROM FINANCE</t>
  </si>
  <si>
    <t>(-) Capital Expenditure</t>
  </si>
  <si>
    <t>(+) Proceed From Asset Sales</t>
  </si>
  <si>
    <t>(+) Debt Issuance</t>
  </si>
  <si>
    <t>(-) Repayment on Debt and Finance Lease</t>
  </si>
  <si>
    <t>(+) Equity Issuance</t>
  </si>
  <si>
    <t>(-) Share Repurchase</t>
  </si>
  <si>
    <t>Cash Flow From Finance</t>
  </si>
  <si>
    <t>Total Change in Cash</t>
  </si>
  <si>
    <t>(+/-) Change in Deferred Income Tax</t>
  </si>
  <si>
    <t>Finance Lease Asset</t>
  </si>
  <si>
    <t>Finance Lease Liabilities</t>
  </si>
  <si>
    <t>Income Statement Driver:</t>
  </si>
  <si>
    <t>Number of Stores</t>
  </si>
  <si>
    <t>Number of Stores with Fueling</t>
  </si>
  <si>
    <t>Pharmacies%Total Stores</t>
  </si>
  <si>
    <t>Number of Stores with Pharmacies</t>
  </si>
  <si>
    <t>Fueling%Total Stores</t>
  </si>
  <si>
    <t>Fueling%Stores Growth</t>
  </si>
  <si>
    <t>#Store Growth Rate</t>
  </si>
  <si>
    <t>Growth Rate</t>
  </si>
  <si>
    <t>Fuel Sale Per Fuel Store</t>
  </si>
  <si>
    <t>(+) Fresh Sales</t>
  </si>
  <si>
    <t>(+) Fuel Sales</t>
  </si>
  <si>
    <t>(+) Pharmacy Sales</t>
  </si>
  <si>
    <t>Pharmacy Sale Per Pharmcy</t>
  </si>
  <si>
    <t>Others%Total Revenue</t>
  </si>
  <si>
    <t>Non-Perishable Sales Per Stores</t>
  </si>
  <si>
    <t>Fresh Sales Per Stores</t>
  </si>
  <si>
    <t>COGS%Revenue</t>
  </si>
  <si>
    <t>SG&amp;A%Revenue</t>
  </si>
  <si>
    <t>Depreciation From Finance Lease</t>
  </si>
  <si>
    <t>Residual D&amp;A</t>
  </si>
  <si>
    <t>Residual D&amp;A%Revenue</t>
  </si>
  <si>
    <t>Total D&amp;A</t>
  </si>
  <si>
    <t>Income Tax Rate</t>
  </si>
  <si>
    <t>Operating Lease</t>
  </si>
  <si>
    <t>BoP Balance</t>
  </si>
  <si>
    <t>Rental Expense</t>
  </si>
  <si>
    <t>(+) Addition</t>
  </si>
  <si>
    <t>(-) Operating Lease Liability Principal Repayment</t>
  </si>
  <si>
    <t>Total Debt</t>
  </si>
  <si>
    <t>Interest Expense</t>
  </si>
  <si>
    <t>Operating Lease Discount Rate</t>
  </si>
  <si>
    <t>Princiapl Repayment Amount</t>
  </si>
  <si>
    <t>Addition%Revenue</t>
  </si>
  <si>
    <t>Rental Expense%BoP Balance</t>
  </si>
  <si>
    <t>Finance Lease</t>
  </si>
  <si>
    <t>BoP Liability Balance:</t>
  </si>
  <si>
    <t>EoP Liability Balance:</t>
  </si>
  <si>
    <t>Operating Lease Asset EoP Balance</t>
  </si>
  <si>
    <t>Finance Lease Asset:</t>
  </si>
  <si>
    <t>Finance Lease Liability:</t>
  </si>
  <si>
    <t>EoP Balance</t>
  </si>
  <si>
    <t>Finance Lease Discount Rate</t>
  </si>
  <si>
    <t>(-)Amortization</t>
  </si>
  <si>
    <t>(-)Principal Repayment</t>
  </si>
  <si>
    <t>Rental Payment</t>
  </si>
  <si>
    <t>Receivables %Revenue</t>
  </si>
  <si>
    <t>Inventory %Revenue</t>
  </si>
  <si>
    <t>Other Current Asset %Revenue</t>
  </si>
  <si>
    <t>Account Payable%COGS</t>
  </si>
  <si>
    <t>Accrued Expenses%SG&amp;A</t>
  </si>
  <si>
    <t>Other Current Liability %Revenue</t>
  </si>
  <si>
    <t>Debt Schedule</t>
  </si>
  <si>
    <t>(-)Repayment</t>
  </si>
  <si>
    <t>Interest Payment</t>
  </si>
  <si>
    <t>Interest Rate</t>
  </si>
  <si>
    <t>Debt and Lease</t>
  </si>
  <si>
    <t>Total Interest Expense</t>
  </si>
  <si>
    <t>Balance Sheet</t>
  </si>
  <si>
    <t>Cash Flow Statement Items</t>
  </si>
  <si>
    <t>Chang in Deferred Tax%Income Tax Expense</t>
  </si>
  <si>
    <t xml:space="preserve">Change in Current Operating Asset </t>
  </si>
  <si>
    <t>Change in Current Operating Liabilities</t>
  </si>
  <si>
    <t>Net Change in Working Capital</t>
  </si>
  <si>
    <t>CapEx%Revenue</t>
  </si>
  <si>
    <t>Albertsons Financial Model</t>
  </si>
  <si>
    <t>Albertsons Inc</t>
  </si>
  <si>
    <t>ACI</t>
  </si>
  <si>
    <t>Balance Sheet:</t>
  </si>
  <si>
    <t>(+)Non-Perishable</t>
  </si>
  <si>
    <t>(+)Fresh</t>
  </si>
  <si>
    <t>(+)Pharmacy</t>
  </si>
  <si>
    <t>(+)Fuel</t>
  </si>
  <si>
    <t>(+)Other</t>
  </si>
  <si>
    <t>Historical</t>
  </si>
  <si>
    <t>(-)Cost of Sales</t>
  </si>
  <si>
    <t>(-)Operating Expenses:</t>
  </si>
  <si>
    <t>(+/-)Other Income/Expenses</t>
  </si>
  <si>
    <t>(-)Net Interest Expense</t>
  </si>
  <si>
    <t>(-)Income Tax Expense</t>
  </si>
  <si>
    <t>LIABILITIES</t>
  </si>
  <si>
    <t>Receivable</t>
  </si>
  <si>
    <t>Inventories</t>
  </si>
  <si>
    <t>Other Asset</t>
  </si>
  <si>
    <t>Current Liabilities</t>
  </si>
  <si>
    <t>Other Non-Current Liabilities</t>
  </si>
  <si>
    <t>Total Non-Current Liabilities</t>
  </si>
  <si>
    <t>Total Liabilities and Equity</t>
  </si>
  <si>
    <t>Non-Cash Adjustment:</t>
  </si>
  <si>
    <t>Change in Working Capital:</t>
  </si>
  <si>
    <t>(+/-)Gain/Loss on PP&amp;E Sales</t>
  </si>
  <si>
    <t>(+/-)Other Items</t>
  </si>
  <si>
    <t>(+)Stock-based Compensation</t>
  </si>
  <si>
    <t>(+/-)Change in DTL</t>
  </si>
  <si>
    <t>Cash From Operations</t>
  </si>
  <si>
    <t>(-)Capital Expenditure</t>
  </si>
  <si>
    <t>(+)Cash From PP&amp;E Sales</t>
  </si>
  <si>
    <t>(-)Acquisitions</t>
  </si>
  <si>
    <t>Cash Flow Statement</t>
  </si>
  <si>
    <t>Cash From Investment</t>
  </si>
  <si>
    <t>(+)Debt Issuance</t>
  </si>
  <si>
    <t>(-)Share Repurchase</t>
  </si>
  <si>
    <t>Cash From Finance</t>
  </si>
  <si>
    <t>(-)Rental Expense</t>
  </si>
  <si>
    <t>Net Change in Cash</t>
  </si>
  <si>
    <t>Number of Pharmacies</t>
  </si>
  <si>
    <t>Number of Fueling Stations</t>
  </si>
  <si>
    <t>Pharmacies%Total Store</t>
  </si>
  <si>
    <t>Non-Perishable Sale%Stores</t>
  </si>
  <si>
    <t>Fresh Sale%Stores</t>
  </si>
  <si>
    <t>Pharmacy Sale%Pharmacies</t>
  </si>
  <si>
    <t>Pharmacy Per Store Sale Growth</t>
  </si>
  <si>
    <t>Other Sales%Total Sale</t>
  </si>
  <si>
    <t>Fuel Sale%Fueling Station</t>
  </si>
  <si>
    <t>Fuel Sale Per Store Sale Growth</t>
  </si>
  <si>
    <t>OpEx%Revenue</t>
  </si>
  <si>
    <t>Other Income/Expense%Revenue</t>
  </si>
  <si>
    <t>Tax Rate</t>
  </si>
  <si>
    <t>Balance Sheet Statement Driver:</t>
  </si>
  <si>
    <t>Receivable%Revenue</t>
  </si>
  <si>
    <t>Inventory%Revenue</t>
  </si>
  <si>
    <t>Other Current Asset%Revenue</t>
  </si>
  <si>
    <t>Accrued Expense%OpEx</t>
  </si>
  <si>
    <t>Other Current Liabilities%Revenue</t>
  </si>
  <si>
    <t>Cash Flow Statement Driver:</t>
  </si>
  <si>
    <t>Change in DTL%Income Tax Expense</t>
  </si>
  <si>
    <t>Change in Operating Asset</t>
  </si>
  <si>
    <t>Change in Operating Liabilities</t>
  </si>
  <si>
    <t>BoP Operating Lease Liability Balance</t>
  </si>
  <si>
    <t>Principal Repayment</t>
  </si>
  <si>
    <t>EoP Operating Lease Liability Balance</t>
  </si>
  <si>
    <t>(+)Addition</t>
  </si>
  <si>
    <t>Fiscal year</t>
  </si>
  <si>
    <t>Operating Leases</t>
  </si>
  <si>
    <t>Finance Leases</t>
  </si>
  <si>
    <t>BoP ROU Asset Balance</t>
  </si>
  <si>
    <t>EoP ROU Asset Balance</t>
  </si>
  <si>
    <t>(-)Principal Payment</t>
  </si>
  <si>
    <t>Expected Rent</t>
  </si>
  <si>
    <t>BoP Finance Lease Liability Balance</t>
  </si>
  <si>
    <t>EoP Finance Lease Liability Balance</t>
  </si>
  <si>
    <t>Expected Rent%BoP Balance</t>
  </si>
  <si>
    <t>BoP Finance Asset Balance</t>
  </si>
  <si>
    <t>Finance Lease Liability</t>
  </si>
  <si>
    <t>(-)Depreciation</t>
  </si>
  <si>
    <t>Total Depreciation</t>
  </si>
  <si>
    <t>(-)Finance Lease Depreciation</t>
  </si>
  <si>
    <t>Residual Depriciation</t>
  </si>
  <si>
    <t>Residual Depriciation%Revenue</t>
  </si>
  <si>
    <t>Debt</t>
  </si>
  <si>
    <t>BoP Debt Balance</t>
  </si>
  <si>
    <t>EoP Debt Balance</t>
  </si>
  <si>
    <t>Finance Lease &amp; Debt</t>
  </si>
  <si>
    <t>Total Principal Repayment</t>
  </si>
  <si>
    <t>Kroger Alberstons Merger</t>
  </si>
  <si>
    <t>Merger Deal Assumption</t>
  </si>
  <si>
    <t>Deal Closing Date</t>
  </si>
  <si>
    <t>Valuation Date</t>
  </si>
  <si>
    <t>Kroger Share Counts</t>
  </si>
  <si>
    <t>Kroger Equity Price</t>
  </si>
  <si>
    <t>Kroger Current Market Capitalization</t>
  </si>
  <si>
    <t>Albertsons Current Equity Price</t>
  </si>
  <si>
    <t>Albertsons Share Count</t>
  </si>
  <si>
    <t>Albertsons Current Market Capitalization</t>
  </si>
  <si>
    <t>Premium Paid</t>
  </si>
  <si>
    <t>Offer Price</t>
  </si>
  <si>
    <t>Purchase Equity Value</t>
  </si>
  <si>
    <t>Albertsons Capital Stucture</t>
  </si>
  <si>
    <t>Market Capitalization</t>
  </si>
  <si>
    <t>(-)Cash</t>
  </si>
  <si>
    <t>(+)Total Debt</t>
  </si>
  <si>
    <t>(+)Finance Lease</t>
  </si>
  <si>
    <t>Total Enterprise Value</t>
  </si>
  <si>
    <t>Post-Transaction Minimum Cash Balance</t>
  </si>
  <si>
    <t>Combined Cash Balance</t>
  </si>
  <si>
    <t>Cash Used to Fund the Deal</t>
  </si>
  <si>
    <t>Maximum Debt to EBITDA Ratio</t>
  </si>
  <si>
    <t>EBITDA</t>
  </si>
  <si>
    <t>Implied Maximum Debt</t>
  </si>
  <si>
    <t>Debt Used for the Deal</t>
  </si>
  <si>
    <t>Advisory Fee %:</t>
  </si>
  <si>
    <t>Debt Issuance Fee %:</t>
  </si>
  <si>
    <t>Legal and Other Fees:</t>
  </si>
  <si>
    <t>Include Revenue Synergies?</t>
  </si>
  <si>
    <t>Include Expense Synergies?</t>
  </si>
  <si>
    <t>(1 = Yes, 0 = No)</t>
  </si>
  <si>
    <t>Expense Synergy Factor:</t>
  </si>
  <si>
    <t>Deal Financing</t>
  </si>
  <si>
    <t>Cost of Capital</t>
  </si>
  <si>
    <t>Amount</t>
  </si>
  <si>
    <t>Equity</t>
  </si>
  <si>
    <t>Total Capital Used</t>
  </si>
  <si>
    <t>Stock Issued</t>
  </si>
  <si>
    <t>Cost of Debt</t>
  </si>
  <si>
    <t>Benchmark</t>
  </si>
  <si>
    <t>Floor</t>
  </si>
  <si>
    <t>Spread</t>
  </si>
  <si>
    <t>Fixed Rate</t>
  </si>
  <si>
    <t>PIK Rate</t>
  </si>
  <si>
    <t>Proportion</t>
  </si>
  <si>
    <t>Term Loan A</t>
  </si>
  <si>
    <t>Term Loan B</t>
  </si>
  <si>
    <t>Term Loan C</t>
  </si>
  <si>
    <t>Revolver</t>
  </si>
  <si>
    <t>Used and Sources of Fund</t>
  </si>
  <si>
    <t>Source</t>
  </si>
  <si>
    <t>Cash used to fund the deal</t>
  </si>
  <si>
    <t>New Debt Issued</t>
  </si>
  <si>
    <t>Equity Issued</t>
  </si>
  <si>
    <t>Replaced Debt</t>
  </si>
  <si>
    <t>Cash For Transaction Fee</t>
  </si>
  <si>
    <t>Total Cash Source</t>
  </si>
  <si>
    <t>Usues</t>
  </si>
  <si>
    <t>Purchased Equity Value</t>
  </si>
  <si>
    <t>Assumed Debt</t>
  </si>
  <si>
    <t>Financing Fee</t>
  </si>
  <si>
    <t>Transaction Fee</t>
  </si>
  <si>
    <t>Total Cash Used</t>
  </si>
  <si>
    <t>Maturity</t>
  </si>
  <si>
    <t>Subordinated Note</t>
  </si>
  <si>
    <t>Purchase Price Allotcation</t>
  </si>
  <si>
    <t>Goodwill Calculation</t>
  </si>
  <si>
    <t>Equity Purchase Price</t>
  </si>
  <si>
    <t>Purchase Enterprise Value</t>
  </si>
  <si>
    <t>(-)Seller Book Value</t>
  </si>
  <si>
    <t>(+)Write-off of Existing Target Goodwill</t>
  </si>
  <si>
    <t>Total Allocable Premium</t>
  </si>
  <si>
    <t>Fixed Asset Write-up</t>
  </si>
  <si>
    <t>PP&amp;E Write-up</t>
  </si>
  <si>
    <t>PP&amp;E Write-up Amount</t>
  </si>
  <si>
    <t>Depreciation Period</t>
  </si>
  <si>
    <t>Intangible Asset Write-up</t>
  </si>
  <si>
    <t>Purchase Premium</t>
  </si>
  <si>
    <t>%to Indefinite-Lived Intangible</t>
  </si>
  <si>
    <t>Indefinte Lived Intangible</t>
  </si>
  <si>
    <t>% Allocated to Definite-Lived Intangibles:</t>
  </si>
  <si>
    <t>Intangibles Write-Up Amount:</t>
  </si>
  <si>
    <t>Amortization Period (Years):</t>
  </si>
  <si>
    <t>New DTL Created</t>
  </si>
  <si>
    <t>(-)PP&amp;E Write-up</t>
  </si>
  <si>
    <t>(-)Indefinite Lived Intangible Write-up</t>
  </si>
  <si>
    <t>(-)Definite-Lived Intangible Write-up</t>
  </si>
  <si>
    <t>(-)Albertsons Pre-Merger DTL</t>
  </si>
  <si>
    <t>(+)New DTL Created</t>
  </si>
  <si>
    <t>Goodwill Created</t>
  </si>
  <si>
    <t>New Debt Schedule</t>
  </si>
  <si>
    <t>Income Statement</t>
  </si>
  <si>
    <t>Combined</t>
  </si>
  <si>
    <t>Unit:</t>
  </si>
  <si>
    <t>Benchmark Rate:</t>
  </si>
  <si>
    <t>Scheduled Amortization%Initial Value</t>
  </si>
  <si>
    <t>(-)Scheduled Amortization</t>
  </si>
  <si>
    <t>(-)Maturity Repayment</t>
  </si>
  <si>
    <t>Interest Rate:</t>
  </si>
  <si>
    <t>Fixed Rate:</t>
  </si>
  <si>
    <t>(-)Interest Expense</t>
  </si>
  <si>
    <t>Fixed Cash Rate:</t>
  </si>
  <si>
    <t>PIK Rate:</t>
  </si>
  <si>
    <t>(+)PIK Interest</t>
  </si>
  <si>
    <t>Fixed Interest Rate</t>
  </si>
  <si>
    <t>(-)Cash Interest Expense</t>
  </si>
  <si>
    <t>(-)PIK Interest Expense</t>
  </si>
  <si>
    <t>(-)Total Interest Expense</t>
  </si>
  <si>
    <t>Maximum Credit</t>
  </si>
  <si>
    <t>Before-Revolver Debt Payment and Issuace</t>
  </si>
  <si>
    <t>Total New Issuance Schedule</t>
  </si>
  <si>
    <t>(-)PIK Interest</t>
  </si>
  <si>
    <t>Principal Repayment before Revolver</t>
  </si>
  <si>
    <t>Repayment of Revolver</t>
  </si>
  <si>
    <t>Total Repayment</t>
  </si>
  <si>
    <t>Revolver Addition</t>
  </si>
  <si>
    <t>Synergy</t>
  </si>
  <si>
    <t>Pct Addition to Pre-Synergy Revenue</t>
  </si>
  <si>
    <t>Revenue</t>
  </si>
  <si>
    <t>OpEx</t>
  </si>
  <si>
    <t>Company Expected OpEx Synergy</t>
  </si>
  <si>
    <t>Assumptions</t>
  </si>
  <si>
    <t>Revenue Synergy Factor</t>
  </si>
  <si>
    <t>Times to Achieve 50% of OpEx Synergy</t>
  </si>
  <si>
    <t>Times to Achieve 75% of OpEx Synergy</t>
  </si>
  <si>
    <t>Times to Achieve 100% of OpEx Synergy</t>
  </si>
  <si>
    <t>OpEx Synergy</t>
  </si>
  <si>
    <t>Integration Cost % 100% OpEx Synergy</t>
  </si>
  <si>
    <t>Integration Distribution</t>
  </si>
  <si>
    <t>Annual Integration Cost</t>
  </si>
  <si>
    <t>(+)Kroger Revenue</t>
  </si>
  <si>
    <t>(+)Albertsons Revenue</t>
  </si>
  <si>
    <t>(+)Revenue Synergy</t>
  </si>
  <si>
    <t>(-)Cost of Sales of Kroger</t>
  </si>
  <si>
    <t>(-)Cost of Sales of Albertsons</t>
  </si>
  <si>
    <t>Total Cost of Sales</t>
  </si>
  <si>
    <t>Gross Margin</t>
  </si>
  <si>
    <t>(-)Operating Expenses</t>
  </si>
  <si>
    <t>(+)OpEx Synergy</t>
  </si>
  <si>
    <t>(-)Additional OpEx From Revenue Synergy</t>
  </si>
  <si>
    <t>(-)Additional COGS From Revenue Synergy</t>
  </si>
  <si>
    <t>(-)OpEx Synergy Integration Cost</t>
  </si>
  <si>
    <t>(+/-)Other Income(Expenses)</t>
  </si>
  <si>
    <t>(-)New Debt Interest Expenses</t>
  </si>
  <si>
    <t>(-)Depreciation of PP&amp;E Write-up</t>
  </si>
  <si>
    <t>(-)Amortization of Finite-lived Intagible Write-up</t>
  </si>
  <si>
    <t>(-)Forgone Cash Interest</t>
  </si>
  <si>
    <t>(-)Amortization of Debt Issuance Fee</t>
  </si>
  <si>
    <t>CASH FROM OPERATION</t>
  </si>
  <si>
    <t xml:space="preserve">(+)Old Depreciation and Amortization </t>
  </si>
  <si>
    <t>(+)Old Impairment Charge</t>
  </si>
  <si>
    <t>(+/-)Old Gain/Loss on PP&amp;E Sales</t>
  </si>
  <si>
    <t>(+/-)Old Gain/Loss on Investment</t>
  </si>
  <si>
    <t>(+) PIK Interest</t>
  </si>
  <si>
    <t>(+)Amortization of New Intangible</t>
  </si>
  <si>
    <t>(+)Depreciation of PP&amp;E Write-up</t>
  </si>
  <si>
    <t>(+)Amortization of Debt Issuace Fee</t>
  </si>
  <si>
    <t>(+/-)New Change in DTL</t>
  </si>
  <si>
    <t>CASH FROM INVESTMENT</t>
  </si>
  <si>
    <t>(+/-)Change in Working Capital</t>
  </si>
  <si>
    <t>(+)Cash From PP&amp;E Sale</t>
  </si>
  <si>
    <t>(-)Acquisition</t>
  </si>
  <si>
    <t>CASH FROM FINANCE</t>
  </si>
  <si>
    <t>(-)Principal Repayment of Old Debt</t>
  </si>
  <si>
    <t>(+)Equity Issuance</t>
  </si>
  <si>
    <t>Cash Flor From Finance</t>
  </si>
  <si>
    <t>(-)New Debt Principal Repayment</t>
  </si>
  <si>
    <t>(+)Addition in Revolver</t>
  </si>
  <si>
    <t>Minimum Cash</t>
  </si>
  <si>
    <t>Minimum Cash%Revenue</t>
  </si>
  <si>
    <t>Kroger-Albertsons Merger-Combined Balance Sheet Statement</t>
  </si>
  <si>
    <t>Kroger</t>
  </si>
  <si>
    <t>Pro-Forma Adjustment</t>
  </si>
  <si>
    <t>Albertsons</t>
  </si>
  <si>
    <t>LIABILITES AND EQUITIES</t>
  </si>
  <si>
    <t>Total Current Liabilities</t>
  </si>
  <si>
    <t>Combined Projected Balance Sheet</t>
  </si>
  <si>
    <t>Curent Asset</t>
  </si>
  <si>
    <t>Balance?</t>
  </si>
  <si>
    <t>Debit:</t>
  </si>
  <si>
    <t>Credit:</t>
  </si>
  <si>
    <t>Existing Debt</t>
  </si>
  <si>
    <t>Cash Change Before Revolver</t>
  </si>
  <si>
    <t>Cash After Change Before Revoler</t>
  </si>
  <si>
    <t>Cash Shortfall(Surplus)</t>
  </si>
  <si>
    <t>Beginning Cash Balance</t>
  </si>
  <si>
    <t>(-)Amortization of Finance Fee</t>
  </si>
  <si>
    <t>Total Debt Balance on Balance Sheet</t>
  </si>
  <si>
    <t>(+)Total Debt Balance Before Finance Fee Amortization</t>
  </si>
  <si>
    <t xml:space="preserve">New Debt </t>
  </si>
  <si>
    <t>(+)Depreciation and Amortizaiton:</t>
  </si>
  <si>
    <t>(+/-) Change in DTL</t>
  </si>
  <si>
    <t>Curent Liabilities</t>
  </si>
  <si>
    <t>Liabilities</t>
  </si>
  <si>
    <t>Total Non-Current Liablities</t>
  </si>
  <si>
    <t>Change in Receivables</t>
  </si>
  <si>
    <t>Change in Inventory</t>
  </si>
  <si>
    <t>Change in Other Current Asset</t>
  </si>
  <si>
    <t>Change in Account Payable</t>
  </si>
  <si>
    <t>Change in Accrued Expenses</t>
  </si>
  <si>
    <t>Change in Other Current Liabilities</t>
  </si>
  <si>
    <t xml:space="preserve">Pre-Merger Total Number of Diluted Shares </t>
  </si>
  <si>
    <t>Pre-Merger Standalone Net Income</t>
  </si>
  <si>
    <t>Pre-Merger Earnings Per Share</t>
  </si>
  <si>
    <t>Post-Merger Total Number of Diluted Shares</t>
  </si>
  <si>
    <t>Post-Merger Earnings Per Share</t>
  </si>
  <si>
    <t>Accretion/Dilution in $</t>
  </si>
  <si>
    <t>Accretion/Dilution Ratio</t>
  </si>
  <si>
    <t>Sensitivity Charts</t>
  </si>
  <si>
    <t>Revenue &amp; Expense Synergy Realization Sensitivity</t>
  </si>
  <si>
    <t>Revenue Synergy Realization Factor</t>
  </si>
  <si>
    <t>OpEx Synergy Realization Factor</t>
  </si>
  <si>
    <t>Accretion/Dilution Ratio Sensitivity by Year</t>
  </si>
  <si>
    <t>$M</t>
  </si>
  <si>
    <t># Shares</t>
  </si>
  <si>
    <t>$</t>
  </si>
  <si>
    <t>%</t>
  </si>
  <si>
    <t>Kroger Financial Model</t>
  </si>
  <si>
    <t>Kroger &amp; Albertsons Merger Model</t>
  </si>
  <si>
    <t>Prepared by</t>
  </si>
  <si>
    <t>Thomas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</si>
</sst>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FY &quot;yy"/>
    <numFmt numFmtId="165" formatCode="_(* #,##0_);_(* \(#,##0\);_(* &quot;-&quot;??_);_(@_)"/>
    <numFmt numFmtId="166" formatCode="0.0;0.0;&quot;OK!&quot;"/>
    <numFmt numFmtId="167" formatCode="0.0"/>
    <numFmt numFmtId="168" formatCode="_(* #,##0.00_);_(* \(#,##0.00\);_(* &quot;-&quot;_);_(@_)"/>
    <numFmt numFmtId="169" formatCode="0.00&quot; x&quot;"/>
    <numFmt numFmtId="170" formatCode="yyyy\-mm\-dd"/>
    <numFmt numFmtId="171" formatCode="0.000%"/>
    <numFmt numFmtId="172" formatCode="0.0;\(0.0\);&quot;OK!&quot;"/>
    <numFmt numFmtId="173" formatCode="0.00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12"/>
      <name val="Calibri"/>
      <family val="2"/>
    </font>
    <font>
      <b/>
      <i/>
      <sz val="12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</font>
    <font>
      <sz val="12"/>
      <color theme="4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2" fillId="2" borderId="0" xfId="1" applyFont="1" applyFill="1"/>
    <xf numFmtId="49" fontId="2" fillId="2" borderId="0" xfId="1" applyNumberFormat="1" applyFont="1" applyFill="1"/>
    <xf numFmtId="0" fontId="2" fillId="2" borderId="0" xfId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/>
    <xf numFmtId="0" fontId="3" fillId="0" borderId="0" xfId="0" applyFont="1" applyAlignment="1">
      <alignment horizontal="left" indent="1"/>
    </xf>
    <xf numFmtId="0" fontId="7" fillId="0" borderId="0" xfId="0" applyFont="1"/>
    <xf numFmtId="10" fontId="8" fillId="3" borderId="1" xfId="0" applyNumberFormat="1" applyFont="1" applyFill="1" applyBorder="1" applyAlignment="1">
      <alignment horizontal="center"/>
    </xf>
    <xf numFmtId="44" fontId="3" fillId="0" borderId="0" xfId="0" applyNumberFormat="1" applyFont="1"/>
    <xf numFmtId="0" fontId="2" fillId="2" borderId="3" xfId="1" applyFont="1" applyFill="1" applyBorder="1" applyAlignment="1">
      <alignment horizontal="centerContinuous"/>
    </xf>
    <xf numFmtId="0" fontId="2" fillId="2" borderId="2" xfId="1" applyFont="1" applyFill="1" applyBorder="1" applyAlignment="1">
      <alignment horizontal="centerContinuous"/>
    </xf>
    <xf numFmtId="0" fontId="2" fillId="2" borderId="4" xfId="1" applyFont="1" applyFill="1" applyBorder="1"/>
    <xf numFmtId="49" fontId="2" fillId="2" borderId="4" xfId="1" applyNumberFormat="1" applyFont="1" applyFill="1" applyBorder="1"/>
    <xf numFmtId="164" fontId="2" fillId="2" borderId="4" xfId="1" applyNumberFormat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Continuous"/>
    </xf>
    <xf numFmtId="49" fontId="10" fillId="2" borderId="4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left" indent="1"/>
    </xf>
    <xf numFmtId="42" fontId="3" fillId="0" borderId="0" xfId="0" applyNumberFormat="1" applyFont="1"/>
    <xf numFmtId="41" fontId="3" fillId="0" borderId="0" xfId="0" applyNumberFormat="1" applyFont="1"/>
    <xf numFmtId="41" fontId="3" fillId="0" borderId="4" xfId="0" applyNumberFormat="1" applyFont="1" applyBorder="1"/>
    <xf numFmtId="41" fontId="4" fillId="0" borderId="0" xfId="0" applyNumberFormat="1" applyFont="1"/>
    <xf numFmtId="0" fontId="4" fillId="0" borderId="0" xfId="0" applyFont="1" applyAlignment="1">
      <alignment horizontal="left"/>
    </xf>
    <xf numFmtId="42" fontId="4" fillId="0" borderId="0" xfId="0" applyNumberFormat="1" applyFont="1"/>
    <xf numFmtId="165" fontId="3" fillId="0" borderId="0" xfId="0" applyNumberFormat="1" applyFont="1"/>
    <xf numFmtId="165" fontId="3" fillId="0" borderId="4" xfId="0" applyNumberFormat="1" applyFont="1" applyBorder="1"/>
    <xf numFmtId="165" fontId="4" fillId="0" borderId="0" xfId="0" applyNumberFormat="1" applyFont="1"/>
    <xf numFmtId="0" fontId="3" fillId="4" borderId="7" xfId="0" applyFont="1" applyFill="1" applyBorder="1"/>
    <xf numFmtId="0" fontId="4" fillId="4" borderId="7" xfId="0" applyFont="1" applyFill="1" applyBorder="1"/>
    <xf numFmtId="166" fontId="4" fillId="0" borderId="0" xfId="0" applyNumberFormat="1" applyFont="1"/>
    <xf numFmtId="0" fontId="4" fillId="4" borderId="0" xfId="0" applyFont="1" applyFill="1"/>
    <xf numFmtId="41" fontId="4" fillId="4" borderId="0" xfId="0" applyNumberFormat="1" applyFont="1" applyFill="1"/>
    <xf numFmtId="0" fontId="3" fillId="4" borderId="0" xfId="0" applyFont="1" applyFill="1"/>
    <xf numFmtId="49" fontId="13" fillId="4" borderId="0" xfId="0" applyNumberFormat="1" applyFont="1" applyFill="1"/>
    <xf numFmtId="1" fontId="3" fillId="0" borderId="0" xfId="0" applyNumberFormat="1" applyFont="1"/>
    <xf numFmtId="10" fontId="3" fillId="0" borderId="0" xfId="0" applyNumberFormat="1" applyFont="1"/>
    <xf numFmtId="10" fontId="9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indent="2"/>
    </xf>
    <xf numFmtId="43" fontId="3" fillId="0" borderId="0" xfId="0" applyNumberFormat="1" applyFont="1"/>
    <xf numFmtId="0" fontId="3" fillId="0" borderId="0" xfId="0" applyFont="1" applyAlignment="1">
      <alignment horizontal="left"/>
    </xf>
    <xf numFmtId="41" fontId="9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3" fillId="4" borderId="0" xfId="0" applyFont="1" applyFill="1" applyAlignment="1">
      <alignment horizontal="left" indent="1"/>
    </xf>
    <xf numFmtId="43" fontId="3" fillId="4" borderId="0" xfId="0" applyNumberFormat="1" applyFont="1" applyFill="1"/>
    <xf numFmtId="41" fontId="8" fillId="3" borderId="1" xfId="0" applyNumberFormat="1" applyFont="1" applyFill="1" applyBorder="1" applyAlignment="1">
      <alignment horizontal="center"/>
    </xf>
    <xf numFmtId="41" fontId="9" fillId="3" borderId="8" xfId="0" applyNumberFormat="1" applyFont="1" applyFill="1" applyBorder="1" applyAlignment="1">
      <alignment horizontal="center"/>
    </xf>
    <xf numFmtId="44" fontId="7" fillId="3" borderId="1" xfId="0" applyNumberFormat="1" applyFont="1" applyFill="1" applyBorder="1" applyAlignment="1">
      <alignment horizontal="center"/>
    </xf>
    <xf numFmtId="39" fontId="7" fillId="3" borderId="1" xfId="0" applyNumberFormat="1" applyFont="1" applyFill="1" applyBorder="1" applyAlignment="1">
      <alignment horizontal="center"/>
    </xf>
    <xf numFmtId="43" fontId="4" fillId="0" borderId="0" xfId="0" applyNumberFormat="1" applyFont="1"/>
    <xf numFmtId="0" fontId="4" fillId="0" borderId="4" xfId="0" applyFont="1" applyBorder="1"/>
    <xf numFmtId="41" fontId="4" fillId="0" borderId="4" xfId="0" applyNumberFormat="1" applyFont="1" applyBorder="1"/>
    <xf numFmtId="0" fontId="4" fillId="0" borderId="4" xfId="0" applyFont="1" applyBorder="1" applyAlignment="1">
      <alignment horizontal="left" indent="1"/>
    </xf>
    <xf numFmtId="4" fontId="3" fillId="0" borderId="0" xfId="0" applyNumberFormat="1" applyFont="1"/>
    <xf numFmtId="41" fontId="3" fillId="4" borderId="0" xfId="0" applyNumberFormat="1" applyFont="1" applyFill="1"/>
    <xf numFmtId="1" fontId="9" fillId="3" borderId="1" xfId="0" applyNumberFormat="1" applyFont="1" applyFill="1" applyBorder="1" applyAlignment="1">
      <alignment horizontal="center"/>
    </xf>
    <xf numFmtId="167" fontId="3" fillId="0" borderId="0" xfId="0" applyNumberFormat="1" applyFont="1"/>
    <xf numFmtId="168" fontId="3" fillId="0" borderId="0" xfId="0" applyNumberFormat="1" applyFont="1"/>
    <xf numFmtId="43" fontId="9" fillId="3" borderId="1" xfId="0" applyNumberFormat="1" applyFont="1" applyFill="1" applyBorder="1" applyAlignment="1">
      <alignment horizontal="center"/>
    </xf>
    <xf numFmtId="43" fontId="3" fillId="0" borderId="4" xfId="0" applyNumberFormat="1" applyFont="1" applyBorder="1"/>
    <xf numFmtId="43" fontId="9" fillId="3" borderId="8" xfId="0" applyNumberFormat="1" applyFont="1" applyFill="1" applyBorder="1" applyAlignment="1">
      <alignment horizontal="center"/>
    </xf>
    <xf numFmtId="10" fontId="7" fillId="3" borderId="1" xfId="0" applyNumberFormat="1" applyFont="1" applyFill="1" applyBorder="1" applyAlignment="1">
      <alignment horizontal="center"/>
    </xf>
    <xf numFmtId="9" fontId="8" fillId="3" borderId="1" xfId="0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9" fontId="9" fillId="3" borderId="1" xfId="0" applyNumberFormat="1" applyFont="1" applyFill="1" applyBorder="1" applyAlignment="1">
      <alignment horizontal="center"/>
    </xf>
    <xf numFmtId="44" fontId="4" fillId="0" borderId="0" xfId="0" applyNumberFormat="1" applyFont="1"/>
    <xf numFmtId="0" fontId="4" fillId="5" borderId="0" xfId="0" applyFont="1" applyFill="1"/>
    <xf numFmtId="0" fontId="3" fillId="0" borderId="4" xfId="0" applyFont="1" applyBorder="1" applyAlignment="1">
      <alignment horizontal="left" indent="2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Continuous"/>
    </xf>
    <xf numFmtId="170" fontId="3" fillId="0" borderId="0" xfId="0" applyNumberFormat="1" applyFont="1"/>
    <xf numFmtId="164" fontId="2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Continuous"/>
    </xf>
    <xf numFmtId="0" fontId="2" fillId="2" borderId="4" xfId="1" applyFont="1" applyFill="1" applyBorder="1" applyAlignment="1">
      <alignment horizontal="center"/>
    </xf>
    <xf numFmtId="0" fontId="10" fillId="2" borderId="4" xfId="1" applyFont="1" applyFill="1" applyBorder="1" applyAlignment="1">
      <alignment horizontal="center"/>
    </xf>
    <xf numFmtId="0" fontId="4" fillId="4" borderId="0" xfId="0" applyFont="1" applyFill="1" applyAlignment="1">
      <alignment horizontal="left" indent="1"/>
    </xf>
    <xf numFmtId="0" fontId="3" fillId="6" borderId="7" xfId="0" applyFont="1" applyFill="1" applyBorder="1" applyAlignment="1">
      <alignment horizontal="left" indent="1"/>
    </xf>
    <xf numFmtId="0" fontId="14" fillId="6" borderId="7" xfId="0" applyFont="1" applyFill="1" applyBorder="1" applyAlignment="1">
      <alignment horizontal="center"/>
    </xf>
    <xf numFmtId="41" fontId="15" fillId="6" borderId="9" xfId="0" applyNumberFormat="1" applyFont="1" applyFill="1" applyBorder="1"/>
    <xf numFmtId="41" fontId="15" fillId="6" borderId="7" xfId="0" applyNumberFormat="1" applyFont="1" applyFill="1" applyBorder="1"/>
    <xf numFmtId="0" fontId="3" fillId="6" borderId="10" xfId="0" applyFont="1" applyFill="1" applyBorder="1" applyAlignment="1">
      <alignment horizontal="left" indent="1"/>
    </xf>
    <xf numFmtId="0" fontId="14" fillId="6" borderId="10" xfId="0" applyFont="1" applyFill="1" applyBorder="1" applyAlignment="1">
      <alignment horizontal="center"/>
    </xf>
    <xf numFmtId="41" fontId="15" fillId="6" borderId="10" xfId="0" applyNumberFormat="1" applyFont="1" applyFill="1" applyBorder="1"/>
    <xf numFmtId="0" fontId="3" fillId="6" borderId="4" xfId="0" applyFont="1" applyFill="1" applyBorder="1" applyAlignment="1">
      <alignment horizontal="left" indent="1"/>
    </xf>
    <xf numFmtId="0" fontId="14" fillId="6" borderId="4" xfId="0" applyFont="1" applyFill="1" applyBorder="1" applyAlignment="1">
      <alignment horizontal="center"/>
    </xf>
    <xf numFmtId="41" fontId="15" fillId="6" borderId="4" xfId="0" applyNumberFormat="1" applyFont="1" applyFill="1" applyBorder="1"/>
    <xf numFmtId="0" fontId="3" fillId="6" borderId="0" xfId="0" applyFont="1" applyFill="1" applyAlignment="1">
      <alignment horizontal="left" indent="1"/>
    </xf>
    <xf numFmtId="0" fontId="14" fillId="6" borderId="0" xfId="0" applyFont="1" applyFill="1" applyAlignment="1">
      <alignment horizontal="center"/>
    </xf>
    <xf numFmtId="41" fontId="15" fillId="6" borderId="0" xfId="0" applyNumberFormat="1" applyFont="1" applyFill="1"/>
    <xf numFmtId="0" fontId="3" fillId="0" borderId="7" xfId="0" applyFont="1" applyBorder="1" applyAlignment="1">
      <alignment horizontal="left" indent="1"/>
    </xf>
    <xf numFmtId="41" fontId="3" fillId="0" borderId="7" xfId="0" applyNumberFormat="1" applyFont="1" applyBorder="1"/>
    <xf numFmtId="0" fontId="4" fillId="0" borderId="7" xfId="0" applyFont="1" applyBorder="1"/>
    <xf numFmtId="164" fontId="2" fillId="2" borderId="12" xfId="1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Continuous"/>
    </xf>
    <xf numFmtId="164" fontId="2" fillId="2" borderId="3" xfId="1" applyNumberFormat="1" applyFont="1" applyFill="1" applyBorder="1" applyAlignment="1">
      <alignment horizontal="centerContinuous"/>
    </xf>
    <xf numFmtId="0" fontId="3" fillId="0" borderId="11" xfId="0" applyFont="1" applyBorder="1"/>
    <xf numFmtId="0" fontId="3" fillId="0" borderId="13" xfId="0" applyFont="1" applyBorder="1"/>
    <xf numFmtId="41" fontId="3" fillId="0" borderId="14" xfId="0" applyNumberFormat="1" applyFont="1" applyBorder="1"/>
    <xf numFmtId="0" fontId="3" fillId="0" borderId="12" xfId="0" applyFont="1" applyBorder="1"/>
    <xf numFmtId="0" fontId="3" fillId="0" borderId="14" xfId="0" applyFont="1" applyBorder="1"/>
    <xf numFmtId="0" fontId="4" fillId="0" borderId="11" xfId="0" applyFont="1" applyBorder="1"/>
    <xf numFmtId="0" fontId="4" fillId="0" borderId="13" xfId="0" applyFont="1" applyBorder="1"/>
    <xf numFmtId="0" fontId="2" fillId="7" borderId="7" xfId="1" applyFont="1" applyFill="1" applyBorder="1" applyAlignment="1">
      <alignment horizontal="center"/>
    </xf>
    <xf numFmtId="0" fontId="10" fillId="7" borderId="7" xfId="1" applyFont="1" applyFill="1" applyBorder="1" applyAlignment="1">
      <alignment horizontal="center"/>
    </xf>
    <xf numFmtId="164" fontId="2" fillId="7" borderId="7" xfId="1" applyNumberFormat="1" applyFont="1" applyFill="1" applyBorder="1" applyAlignment="1">
      <alignment horizontal="center"/>
    </xf>
    <xf numFmtId="164" fontId="2" fillId="7" borderId="16" xfId="1" applyNumberFormat="1" applyFont="1" applyFill="1" applyBorder="1" applyAlignment="1">
      <alignment horizontal="center"/>
    </xf>
    <xf numFmtId="164" fontId="2" fillId="7" borderId="9" xfId="1" applyNumberFormat="1" applyFont="1" applyFill="1" applyBorder="1" applyAlignment="1">
      <alignment horizontal="center"/>
    </xf>
    <xf numFmtId="0" fontId="16" fillId="7" borderId="7" xfId="1" applyFont="1" applyFill="1" applyBorder="1"/>
    <xf numFmtId="166" fontId="4" fillId="0" borderId="11" xfId="0" applyNumberFormat="1" applyFont="1" applyBorder="1"/>
    <xf numFmtId="41" fontId="15" fillId="6" borderId="17" xfId="0" applyNumberFormat="1" applyFont="1" applyFill="1" applyBorder="1"/>
    <xf numFmtId="41" fontId="15" fillId="6" borderId="14" xfId="0" applyNumberFormat="1" applyFont="1" applyFill="1" applyBorder="1"/>
    <xf numFmtId="0" fontId="3" fillId="0" borderId="17" xfId="0" applyFont="1" applyBorder="1"/>
    <xf numFmtId="41" fontId="2" fillId="7" borderId="7" xfId="1" applyNumberFormat="1" applyFont="1" applyFill="1" applyBorder="1" applyAlignment="1">
      <alignment horizontal="center"/>
    </xf>
    <xf numFmtId="41" fontId="4" fillId="0" borderId="11" xfId="0" applyNumberFormat="1" applyFont="1" applyBorder="1"/>
    <xf numFmtId="41" fontId="4" fillId="0" borderId="13" xfId="0" applyNumberFormat="1" applyFont="1" applyBorder="1"/>
    <xf numFmtId="42" fontId="4" fillId="0" borderId="13" xfId="0" applyNumberFormat="1" applyFont="1" applyBorder="1"/>
    <xf numFmtId="43" fontId="2" fillId="2" borderId="0" xfId="1" applyNumberFormat="1" applyFont="1" applyFill="1" applyAlignment="1">
      <alignment horizontal="center"/>
    </xf>
    <xf numFmtId="1" fontId="3" fillId="0" borderId="11" xfId="0" applyNumberFormat="1" applyFont="1" applyBorder="1"/>
    <xf numFmtId="42" fontId="4" fillId="0" borderId="11" xfId="0" applyNumberFormat="1" applyFont="1" applyBorder="1"/>
    <xf numFmtId="41" fontId="3" fillId="0" borderId="11" xfId="0" applyNumberFormat="1" applyFont="1" applyBorder="1"/>
    <xf numFmtId="171" fontId="4" fillId="0" borderId="0" xfId="0" applyNumberFormat="1" applyFont="1"/>
    <xf numFmtId="172" fontId="4" fillId="0" borderId="0" xfId="0" applyNumberFormat="1" applyFont="1"/>
    <xf numFmtId="173" fontId="14" fillId="6" borderId="7" xfId="0" applyNumberFormat="1" applyFont="1" applyFill="1" applyBorder="1" applyAlignment="1">
      <alignment horizontal="center"/>
    </xf>
    <xf numFmtId="173" fontId="14" fillId="6" borderId="10" xfId="0" applyNumberFormat="1" applyFont="1" applyFill="1" applyBorder="1" applyAlignment="1">
      <alignment horizontal="center"/>
    </xf>
    <xf numFmtId="173" fontId="14" fillId="6" borderId="4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left" indent="3"/>
    </xf>
    <xf numFmtId="10" fontId="4" fillId="0" borderId="0" xfId="0" applyNumberFormat="1" applyFont="1"/>
    <xf numFmtId="10" fontId="17" fillId="8" borderId="0" xfId="0" applyNumberFormat="1" applyFont="1" applyFill="1"/>
    <xf numFmtId="0" fontId="18" fillId="9" borderId="0" xfId="0" applyFont="1" applyFill="1" applyAlignment="1">
      <alignment horizontal="centerContinuous"/>
    </xf>
    <xf numFmtId="10" fontId="18" fillId="9" borderId="0" xfId="0" applyNumberFormat="1" applyFont="1" applyFill="1" applyAlignment="1">
      <alignment horizontal="centerContinuous"/>
    </xf>
    <xf numFmtId="10" fontId="4" fillId="8" borderId="0" xfId="0" applyNumberFormat="1" applyFont="1" applyFill="1"/>
    <xf numFmtId="14" fontId="8" fillId="3" borderId="1" xfId="0" applyNumberFormat="1" applyFont="1" applyFill="1" applyBorder="1" applyAlignment="1">
      <alignment horizontal="center"/>
    </xf>
    <xf numFmtId="44" fontId="8" fillId="3" borderId="1" xfId="0" applyNumberFormat="1" applyFont="1" applyFill="1" applyBorder="1" applyAlignment="1">
      <alignment horizontal="center"/>
    </xf>
    <xf numFmtId="37" fontId="8" fillId="3" borderId="1" xfId="0" applyNumberFormat="1" applyFont="1" applyFill="1" applyBorder="1" applyAlignment="1">
      <alignment horizontal="center"/>
    </xf>
    <xf numFmtId="39" fontId="8" fillId="3" borderId="1" xfId="0" applyNumberFormat="1" applyFont="1" applyFill="1" applyBorder="1" applyAlignment="1">
      <alignment horizontal="center"/>
    </xf>
    <xf numFmtId="169" fontId="8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43" fontId="8" fillId="3" borderId="1" xfId="0" applyNumberFormat="1" applyFont="1" applyFill="1" applyBorder="1" applyAlignment="1">
      <alignment horizontal="center"/>
    </xf>
    <xf numFmtId="1" fontId="19" fillId="0" borderId="0" xfId="0" applyNumberFormat="1" applyFont="1"/>
    <xf numFmtId="43" fontId="19" fillId="0" borderId="0" xfId="0" applyNumberFormat="1" applyFont="1"/>
    <xf numFmtId="42" fontId="19" fillId="0" borderId="0" xfId="0" applyNumberFormat="1" applyFont="1"/>
    <xf numFmtId="41" fontId="19" fillId="0" borderId="0" xfId="0" applyNumberFormat="1" applyFont="1"/>
    <xf numFmtId="41" fontId="19" fillId="0" borderId="4" xfId="0" applyNumberFormat="1" applyFont="1" applyBorder="1"/>
    <xf numFmtId="165" fontId="19" fillId="0" borderId="0" xfId="0" applyNumberFormat="1" applyFont="1"/>
    <xf numFmtId="165" fontId="19" fillId="0" borderId="4" xfId="0" applyNumberFormat="1" applyFont="1" applyBorder="1"/>
    <xf numFmtId="41" fontId="20" fillId="0" borderId="4" xfId="0" applyNumberFormat="1" applyFont="1" applyBorder="1"/>
    <xf numFmtId="0" fontId="19" fillId="0" borderId="0" xfId="0" applyFont="1"/>
    <xf numFmtId="42" fontId="21" fillId="0" borderId="0" xfId="0" applyNumberFormat="1" applyFont="1"/>
    <xf numFmtId="41" fontId="22" fillId="0" borderId="0" xfId="0" applyNumberFormat="1" applyFont="1"/>
    <xf numFmtId="41" fontId="22" fillId="0" borderId="4" xfId="0" applyNumberFormat="1" applyFont="1" applyBorder="1"/>
    <xf numFmtId="165" fontId="22" fillId="0" borderId="4" xfId="0" applyNumberFormat="1" applyFont="1" applyBorder="1"/>
    <xf numFmtId="165" fontId="22" fillId="0" borderId="0" xfId="0" applyNumberFormat="1" applyFont="1"/>
    <xf numFmtId="41" fontId="21" fillId="0" borderId="0" xfId="0" applyNumberFormat="1" applyFont="1"/>
    <xf numFmtId="41" fontId="21" fillId="0" borderId="4" xfId="0" applyNumberFormat="1" applyFont="1" applyBorder="1"/>
    <xf numFmtId="41" fontId="22" fillId="6" borderId="7" xfId="0" applyNumberFormat="1" applyFont="1" applyFill="1" applyBorder="1"/>
    <xf numFmtId="41" fontId="22" fillId="6" borderId="10" xfId="0" applyNumberFormat="1" applyFont="1" applyFill="1" applyBorder="1"/>
    <xf numFmtId="41" fontId="22" fillId="6" borderId="4" xfId="0" applyNumberFormat="1" applyFont="1" applyFill="1" applyBorder="1"/>
    <xf numFmtId="41" fontId="22" fillId="6" borderId="0" xfId="0" applyNumberFormat="1" applyFont="1" applyFill="1"/>
    <xf numFmtId="0" fontId="14" fillId="0" borderId="0" xfId="0" applyFont="1" applyAlignment="1">
      <alignment horizontal="center"/>
    </xf>
    <xf numFmtId="0" fontId="23" fillId="7" borderId="7" xfId="1" applyFont="1" applyFill="1" applyBorder="1" applyAlignment="1">
      <alignment horizontal="center"/>
    </xf>
    <xf numFmtId="173" fontId="23" fillId="7" borderId="7" xfId="1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23" fillId="2" borderId="0" xfId="1" applyFont="1" applyFill="1" applyAlignment="1">
      <alignment horizontal="center"/>
    </xf>
    <xf numFmtId="173" fontId="14" fillId="0" borderId="0" xfId="0" applyNumberFormat="1" applyFont="1" applyAlignment="1">
      <alignment horizontal="center"/>
    </xf>
    <xf numFmtId="173" fontId="14" fillId="0" borderId="4" xfId="0" applyNumberFormat="1" applyFont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</cellXfs>
  <cellStyles count="2">
    <cellStyle name="Normal" xfId="0" builtinId="0"/>
    <cellStyle name="Normal 2" xfId="1" xr:uid="{F65ADE3A-267C-40BE-8F03-42FB2DB346D3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403860</xdr:colOff>
      <xdr:row>8</xdr:row>
      <xdr:rowOff>103576</xdr:rowOff>
    </xdr:to>
    <xdr:pic>
      <xdr:nvPicPr>
        <xdr:cNvPr id="3" name="Picture 2" descr="Supermarket Giants Kroger And Albertsons Announce Merger | HAPPI">
          <a:extLst>
            <a:ext uri="{FF2B5EF4-FFF2-40B4-BE49-F238E27FC236}">
              <a16:creationId xmlns:a16="http://schemas.microsoft.com/office/drawing/2014/main" id="{DF8B38B4-49E2-335F-0AE8-5A3C3DB5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"/>
          <a:ext cx="2232660" cy="12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C87C-E98C-4222-98DA-A53B7E8F393B}">
  <dimension ref="C11:G18"/>
  <sheetViews>
    <sheetView showGridLines="0" topLeftCell="A5" workbookViewId="0">
      <selection activeCell="G1" sqref="G1"/>
    </sheetView>
  </sheetViews>
  <sheetFormatPr defaultRowHeight="14.4" x14ac:dyDescent="0.3"/>
  <cols>
    <col min="5" max="5" width="10.6640625" bestFit="1" customWidth="1"/>
    <col min="6" max="6" width="3.77734375" customWidth="1"/>
  </cols>
  <sheetData>
    <row r="11" spans="3:3" ht="18" x14ac:dyDescent="0.35">
      <c r="C11" s="6" t="s">
        <v>458</v>
      </c>
    </row>
    <row r="12" spans="3:3" ht="10.050000000000001" customHeight="1" x14ac:dyDescent="0.35">
      <c r="C12" s="6"/>
    </row>
    <row r="13" spans="3:3" ht="18" x14ac:dyDescent="0.35">
      <c r="C13" s="6" t="s">
        <v>151</v>
      </c>
    </row>
    <row r="14" spans="3:3" ht="10.050000000000001" customHeight="1" x14ac:dyDescent="0.35">
      <c r="C14" s="6"/>
    </row>
    <row r="15" spans="3:3" ht="18" x14ac:dyDescent="0.35">
      <c r="C15" s="6" t="s">
        <v>459</v>
      </c>
    </row>
    <row r="18" spans="5:7" ht="15.6" x14ac:dyDescent="0.3">
      <c r="E18" t="s">
        <v>460</v>
      </c>
      <c r="G18" s="5" t="s">
        <v>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57C2-F4FF-42D9-AEF5-9FE02B0FAFEE}">
  <dimension ref="A1:R385"/>
  <sheetViews>
    <sheetView showGridLines="0" tabSelected="1" topLeftCell="A168" zoomScaleNormal="100" workbookViewId="0">
      <selection activeCell="E183" sqref="E183"/>
    </sheetView>
  </sheetViews>
  <sheetFormatPr defaultColWidth="13.77734375" defaultRowHeight="15.6" x14ac:dyDescent="0.3"/>
  <cols>
    <col min="1" max="2" width="1.77734375" style="4" customWidth="1"/>
    <col min="3" max="3" width="48.44140625" style="4" bestFit="1" customWidth="1"/>
    <col min="4" max="12" width="13.77734375" style="4"/>
    <col min="13" max="13" width="14.77734375" style="4" bestFit="1" customWidth="1"/>
    <col min="14" max="16384" width="13.77734375" style="4"/>
  </cols>
  <sheetData>
    <row r="1" spans="1:13" ht="18" x14ac:dyDescent="0.35">
      <c r="A1" s="6" t="s">
        <v>240</v>
      </c>
    </row>
    <row r="3" spans="1:13" x14ac:dyDescent="0.3">
      <c r="B3" s="1" t="s">
        <v>241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C4" s="4" t="s">
        <v>242</v>
      </c>
      <c r="D4" s="140">
        <f>DATE(2023,12,31)</f>
        <v>45291</v>
      </c>
      <c r="F4" s="35" t="s">
        <v>253</v>
      </c>
      <c r="G4" s="35"/>
      <c r="H4" s="35"/>
      <c r="J4" s="73" t="s">
        <v>273</v>
      </c>
      <c r="K4" s="73"/>
      <c r="L4" s="73" t="s">
        <v>275</v>
      </c>
      <c r="M4" s="73" t="s">
        <v>274</v>
      </c>
    </row>
    <row r="5" spans="1:13" x14ac:dyDescent="0.3">
      <c r="C5" s="4" t="s">
        <v>243</v>
      </c>
      <c r="D5" s="140">
        <f>DATE(2023,8,15)</f>
        <v>45153</v>
      </c>
      <c r="F5" s="5" t="s">
        <v>254</v>
      </c>
      <c r="H5" s="72">
        <f>D13</f>
        <v>12718.157999999999</v>
      </c>
      <c r="J5" s="9" t="s">
        <v>36</v>
      </c>
      <c r="L5" s="43">
        <f>D22</f>
        <v>2397.0370323781062</v>
      </c>
      <c r="M5" s="68">
        <v>5.0000000000000001E-3</v>
      </c>
    </row>
    <row r="6" spans="1:13" x14ac:dyDescent="0.3">
      <c r="F6" s="9" t="s">
        <v>255</v>
      </c>
      <c r="H6" s="43">
        <f>-Albertsons_Financial_Model!H140</f>
        <v>-894.319937040794</v>
      </c>
      <c r="J6" s="9" t="s">
        <v>235</v>
      </c>
      <c r="L6" s="43">
        <f>D26</f>
        <v>17469.622967621894</v>
      </c>
    </row>
    <row r="7" spans="1:13" x14ac:dyDescent="0.3">
      <c r="C7" s="4" t="s">
        <v>245</v>
      </c>
      <c r="D7" s="141">
        <f>Kroger_Price</f>
        <v>47.57</v>
      </c>
      <c r="F7" s="9" t="s">
        <v>256</v>
      </c>
      <c r="H7" s="43">
        <f>Albertsons_Financial_Model!H165</f>
        <v>7392.1</v>
      </c>
      <c r="J7" s="9" t="s">
        <v>276</v>
      </c>
      <c r="L7" s="43">
        <f>D17-SUM(L5:L6)</f>
        <v>0</v>
      </c>
    </row>
    <row r="8" spans="1:13" x14ac:dyDescent="0.3">
      <c r="C8" s="4" t="s">
        <v>244</v>
      </c>
      <c r="D8" s="142">
        <f>Kroger_Shares</f>
        <v>727</v>
      </c>
      <c r="F8" s="22" t="s">
        <v>257</v>
      </c>
      <c r="G8" s="21"/>
      <c r="H8" s="66">
        <f>Albertsons_Financial_Model!H167</f>
        <v>467.11260000000004</v>
      </c>
      <c r="J8" s="74" t="s">
        <v>278</v>
      </c>
      <c r="K8" s="21"/>
      <c r="L8" s="21">
        <f>L7/D7</f>
        <v>0</v>
      </c>
      <c r="M8" s="21"/>
    </row>
    <row r="9" spans="1:13" x14ac:dyDescent="0.3">
      <c r="C9" s="4" t="s">
        <v>246</v>
      </c>
      <c r="D9" s="12">
        <f>D8*D7</f>
        <v>34583.39</v>
      </c>
      <c r="F9" s="5" t="s">
        <v>258</v>
      </c>
      <c r="G9" s="5"/>
      <c r="H9" s="72">
        <f>SUM(H5:H8)</f>
        <v>19683.050662959206</v>
      </c>
      <c r="J9" s="5" t="s">
        <v>277</v>
      </c>
      <c r="K9" s="5"/>
      <c r="L9" s="56">
        <f>SUM(L5:L7)</f>
        <v>19866.66</v>
      </c>
      <c r="M9" s="5"/>
    </row>
    <row r="10" spans="1:13" x14ac:dyDescent="0.3">
      <c r="D10" s="12"/>
    </row>
    <row r="11" spans="1:13" x14ac:dyDescent="0.3">
      <c r="C11" s="4" t="s">
        <v>247</v>
      </c>
      <c r="D11" s="141">
        <f>Albertsons_Price</f>
        <v>21.83</v>
      </c>
      <c r="F11" s="4" t="s">
        <v>266</v>
      </c>
      <c r="H11" s="11">
        <v>0.01</v>
      </c>
    </row>
    <row r="12" spans="1:13" x14ac:dyDescent="0.3">
      <c r="C12" s="4" t="s">
        <v>248</v>
      </c>
      <c r="D12" s="143">
        <f>Albertsons_Diluted_Share_Counts</f>
        <v>582.6</v>
      </c>
      <c r="F12" s="4" t="s">
        <v>267</v>
      </c>
      <c r="H12" s="11">
        <v>0.03</v>
      </c>
    </row>
    <row r="13" spans="1:13" x14ac:dyDescent="0.3">
      <c r="C13" s="4" t="s">
        <v>249</v>
      </c>
      <c r="D13" s="12">
        <f>D12*D11</f>
        <v>12718.157999999999</v>
      </c>
      <c r="F13" s="4" t="s">
        <v>268</v>
      </c>
      <c r="H13" s="141">
        <v>80</v>
      </c>
    </row>
    <row r="14" spans="1:13" x14ac:dyDescent="0.3">
      <c r="F14" s="4" t="s">
        <v>269</v>
      </c>
      <c r="H14" s="142">
        <v>1</v>
      </c>
    </row>
    <row r="15" spans="1:13" x14ac:dyDescent="0.3">
      <c r="C15" s="4" t="s">
        <v>250</v>
      </c>
      <c r="D15" s="11">
        <v>0.56207054512139276</v>
      </c>
      <c r="E15" s="40"/>
      <c r="F15" s="4" t="s">
        <v>270</v>
      </c>
      <c r="H15" s="142">
        <v>1</v>
      </c>
    </row>
    <row r="16" spans="1:13" x14ac:dyDescent="0.3">
      <c r="C16" s="4" t="s">
        <v>251</v>
      </c>
      <c r="D16" s="12">
        <f>D11*(D15+1)</f>
        <v>34.1</v>
      </c>
      <c r="F16" s="9" t="s">
        <v>271</v>
      </c>
    </row>
    <row r="17" spans="2:13" x14ac:dyDescent="0.3">
      <c r="C17" s="4" t="s">
        <v>252</v>
      </c>
      <c r="D17" s="12">
        <f>D16*D12</f>
        <v>19866.66</v>
      </c>
      <c r="F17" s="4" t="s">
        <v>363</v>
      </c>
      <c r="H17" s="11">
        <v>1</v>
      </c>
    </row>
    <row r="18" spans="2:13" x14ac:dyDescent="0.3">
      <c r="C18" s="4" t="s">
        <v>309</v>
      </c>
      <c r="D18" s="12">
        <f>D17+SUM(H6:H8)</f>
        <v>26831.552662959206</v>
      </c>
      <c r="F18" s="4" t="s">
        <v>272</v>
      </c>
      <c r="H18" s="11">
        <v>1</v>
      </c>
    </row>
    <row r="19" spans="2:13" x14ac:dyDescent="0.3">
      <c r="F19" s="12"/>
    </row>
    <row r="20" spans="2:13" x14ac:dyDescent="0.3">
      <c r="C20" s="4" t="s">
        <v>259</v>
      </c>
      <c r="D20" s="141">
        <f>D21-D22</f>
        <v>3595.7700896920969</v>
      </c>
      <c r="F20" s="73"/>
      <c r="G20" s="75" t="s">
        <v>280</v>
      </c>
      <c r="H20" s="75" t="s">
        <v>280</v>
      </c>
      <c r="I20" s="75"/>
      <c r="J20" s="75"/>
      <c r="K20" s="75"/>
      <c r="L20" s="75"/>
      <c r="M20" s="75"/>
    </row>
    <row r="21" spans="2:13" x14ac:dyDescent="0.3">
      <c r="C21" s="4" t="s">
        <v>260</v>
      </c>
      <c r="D21" s="23">
        <f>Kroger_Financial_Model!I142+Albertsons_Financial_Model!H140</f>
        <v>5992.8071220702031</v>
      </c>
      <c r="F21" s="73" t="s">
        <v>279</v>
      </c>
      <c r="G21" s="75" t="s">
        <v>281</v>
      </c>
      <c r="H21" s="75" t="s">
        <v>282</v>
      </c>
      <c r="I21" s="75" t="s">
        <v>283</v>
      </c>
      <c r="J21" s="75" t="s">
        <v>284</v>
      </c>
      <c r="K21" s="75" t="s">
        <v>285</v>
      </c>
      <c r="L21" s="75" t="s">
        <v>275</v>
      </c>
      <c r="M21" s="75" t="s">
        <v>304</v>
      </c>
    </row>
    <row r="22" spans="2:13" x14ac:dyDescent="0.3">
      <c r="C22" s="4" t="s">
        <v>261</v>
      </c>
      <c r="D22" s="23">
        <f>D17-D26</f>
        <v>2397.0370323781062</v>
      </c>
      <c r="F22" s="4" t="s">
        <v>286</v>
      </c>
      <c r="G22" s="11">
        <v>1.4999999999999999E-2</v>
      </c>
      <c r="H22" s="11">
        <v>0.05</v>
      </c>
      <c r="K22" s="11">
        <v>0.3</v>
      </c>
      <c r="L22" s="12">
        <f>K22*$D$26</f>
        <v>5240.8868902865679</v>
      </c>
      <c r="M22" s="77">
        <f>EOMONTH(D4,12*10)</f>
        <v>48944</v>
      </c>
    </row>
    <row r="23" spans="2:13" x14ac:dyDescent="0.3">
      <c r="F23" s="4" t="s">
        <v>287</v>
      </c>
      <c r="I23" s="11">
        <v>7.0000000000000007E-2</v>
      </c>
      <c r="K23" s="11">
        <v>0.3</v>
      </c>
      <c r="L23" s="12">
        <f t="shared" ref="L23" si="0">K23*$D$26</f>
        <v>5240.8868902865679</v>
      </c>
      <c r="M23" s="77">
        <f>EOMONTH($D$4,12*10)</f>
        <v>48944</v>
      </c>
    </row>
    <row r="24" spans="2:13" x14ac:dyDescent="0.3">
      <c r="C24" s="4" t="s">
        <v>262</v>
      </c>
      <c r="D24" s="144">
        <v>2.77</v>
      </c>
      <c r="E24" s="12"/>
      <c r="F24" s="4" t="s">
        <v>288</v>
      </c>
      <c r="I24" s="11">
        <v>4.4999999999999998E-2</v>
      </c>
      <c r="J24" s="11">
        <v>0.03</v>
      </c>
      <c r="K24" s="11">
        <v>0.3</v>
      </c>
      <c r="L24" s="12">
        <f>K24*$D$26</f>
        <v>5240.8868902865679</v>
      </c>
      <c r="M24" s="77">
        <f>EOMONTH($D$4,15*12)</f>
        <v>50770</v>
      </c>
    </row>
    <row r="25" spans="2:13" x14ac:dyDescent="0.3">
      <c r="C25" s="4" t="s">
        <v>264</v>
      </c>
      <c r="D25" s="54">
        <f>D24*(Kroger_Financial_Model!I136+Albertsons_Financial_Model!H134)</f>
        <v>35000.722967621892</v>
      </c>
      <c r="F25" s="4" t="s">
        <v>305</v>
      </c>
      <c r="I25" s="11">
        <v>6.8000000000000005E-2</v>
      </c>
      <c r="K25" s="11">
        <f>1-SUM(K22:K24)</f>
        <v>0.10000000000000009</v>
      </c>
      <c r="L25" s="12">
        <f>K25*$D$26</f>
        <v>1746.9622967621908</v>
      </c>
      <c r="M25" s="77">
        <f>EOMONTH($D$4,5*12)</f>
        <v>47118</v>
      </c>
    </row>
    <row r="26" spans="2:13" x14ac:dyDescent="0.3">
      <c r="C26" s="4" t="s">
        <v>265</v>
      </c>
      <c r="D26" s="12">
        <f>D25-H7-Kroger_Financial_Model!I167</f>
        <v>17469.622967621894</v>
      </c>
      <c r="F26" s="4" t="s">
        <v>289</v>
      </c>
      <c r="I26" s="11">
        <v>0.06</v>
      </c>
    </row>
    <row r="28" spans="2:13" x14ac:dyDescent="0.3">
      <c r="B28" s="1" t="s">
        <v>290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30" spans="2:13" x14ac:dyDescent="0.3">
      <c r="C30" s="76" t="s">
        <v>291</v>
      </c>
      <c r="D30" s="76"/>
      <c r="E30" s="76"/>
      <c r="H30" s="76" t="s">
        <v>298</v>
      </c>
      <c r="I30" s="76"/>
      <c r="J30" s="76"/>
      <c r="K30" s="76"/>
      <c r="L30" s="76"/>
    </row>
    <row r="31" spans="2:13" x14ac:dyDescent="0.3">
      <c r="C31" s="9" t="s">
        <v>292</v>
      </c>
      <c r="E31" s="43">
        <f>D22</f>
        <v>2397.0370323781062</v>
      </c>
      <c r="H31" s="9" t="s">
        <v>299</v>
      </c>
      <c r="L31" s="12">
        <f>D17</f>
        <v>19866.66</v>
      </c>
    </row>
    <row r="32" spans="2:13" x14ac:dyDescent="0.3">
      <c r="C32" s="9" t="s">
        <v>293</v>
      </c>
      <c r="E32" s="43">
        <f>D26</f>
        <v>17469.622967621894</v>
      </c>
      <c r="H32" s="9" t="s">
        <v>300</v>
      </c>
      <c r="L32" s="43">
        <f>H7</f>
        <v>7392.1</v>
      </c>
    </row>
    <row r="33" spans="2:13" x14ac:dyDescent="0.3">
      <c r="C33" s="9" t="s">
        <v>294</v>
      </c>
      <c r="E33" s="43">
        <f>L7</f>
        <v>0</v>
      </c>
      <c r="H33" s="9" t="s">
        <v>301</v>
      </c>
      <c r="L33" s="43">
        <f>E32*$H$12</f>
        <v>524.08868902865674</v>
      </c>
    </row>
    <row r="34" spans="2:13" x14ac:dyDescent="0.3">
      <c r="C34" s="9" t="s">
        <v>295</v>
      </c>
      <c r="E34" s="43">
        <f>H7</f>
        <v>7392.1</v>
      </c>
      <c r="H34" s="22" t="s">
        <v>302</v>
      </c>
      <c r="I34" s="21"/>
      <c r="J34" s="21"/>
      <c r="K34" s="21"/>
      <c r="L34" s="66">
        <f>H13+D17*H11</f>
        <v>278.66660000000002</v>
      </c>
    </row>
    <row r="35" spans="2:13" x14ac:dyDescent="0.3">
      <c r="C35" s="22" t="s">
        <v>296</v>
      </c>
      <c r="D35" s="21"/>
      <c r="E35" s="66">
        <f>L34+L33</f>
        <v>802.75528902865676</v>
      </c>
      <c r="H35" s="5" t="s">
        <v>303</v>
      </c>
      <c r="I35" s="5"/>
      <c r="J35" s="5"/>
      <c r="K35" s="5"/>
      <c r="L35" s="72">
        <f>SUM(L31:L34)</f>
        <v>28061.515289028659</v>
      </c>
    </row>
    <row r="36" spans="2:13" x14ac:dyDescent="0.3">
      <c r="C36" s="5" t="s">
        <v>297</v>
      </c>
      <c r="D36" s="5"/>
      <c r="E36" s="72">
        <f>SUM(E31:E35)</f>
        <v>28061.515289028659</v>
      </c>
    </row>
    <row r="39" spans="2:13" x14ac:dyDescent="0.3">
      <c r="B39" s="1" t="s">
        <v>306</v>
      </c>
      <c r="C39" s="3"/>
      <c r="D39" s="3"/>
      <c r="E39" s="125"/>
      <c r="F39" s="3"/>
      <c r="G39" s="3"/>
      <c r="H39" s="3"/>
      <c r="I39" s="3"/>
      <c r="J39" s="3"/>
      <c r="K39" s="3"/>
      <c r="L39" s="3"/>
      <c r="M39" s="3"/>
    </row>
    <row r="41" spans="2:13" x14ac:dyDescent="0.3">
      <c r="C41" s="76" t="s">
        <v>307</v>
      </c>
      <c r="D41" s="76"/>
      <c r="E41" s="76"/>
      <c r="H41" s="76" t="s">
        <v>313</v>
      </c>
      <c r="I41" s="76"/>
      <c r="J41" s="76"/>
      <c r="K41" s="76"/>
      <c r="L41" s="76"/>
    </row>
    <row r="42" spans="2:13" x14ac:dyDescent="0.3">
      <c r="C42" s="5" t="s">
        <v>308</v>
      </c>
      <c r="E42" s="12">
        <f>$D$17</f>
        <v>19866.66</v>
      </c>
      <c r="H42" s="4" t="s">
        <v>314</v>
      </c>
      <c r="L42" s="11">
        <v>0.1</v>
      </c>
    </row>
    <row r="43" spans="2:13" x14ac:dyDescent="0.3">
      <c r="C43" s="9" t="s">
        <v>310</v>
      </c>
      <c r="E43" s="24">
        <f>-Albertsons_Financial_Model!H172</f>
        <v>-3117.8070755516028</v>
      </c>
      <c r="H43" s="4" t="s">
        <v>315</v>
      </c>
      <c r="L43" s="43">
        <f>L42*Albertsons_Financial_Model!H147</f>
        <v>922.39702817081024</v>
      </c>
    </row>
    <row r="44" spans="2:13" x14ac:dyDescent="0.3">
      <c r="C44" s="22" t="s">
        <v>311</v>
      </c>
      <c r="D44" s="21"/>
      <c r="E44" s="25">
        <f>Albertsons_Financial_Model!H151</f>
        <v>1201</v>
      </c>
      <c r="H44" s="4" t="s">
        <v>316</v>
      </c>
      <c r="L44" s="145">
        <v>15</v>
      </c>
    </row>
    <row r="45" spans="2:13" x14ac:dyDescent="0.3">
      <c r="C45" s="5" t="s">
        <v>312</v>
      </c>
      <c r="E45" s="72">
        <f>SUM(E42:E44)</f>
        <v>17949.852924448398</v>
      </c>
    </row>
    <row r="46" spans="2:13" x14ac:dyDescent="0.3">
      <c r="H46" s="76" t="s">
        <v>317</v>
      </c>
      <c r="I46" s="76"/>
      <c r="J46" s="76"/>
      <c r="K46" s="76"/>
      <c r="L46" s="76"/>
    </row>
    <row r="47" spans="2:13" x14ac:dyDescent="0.3">
      <c r="C47" s="9" t="s">
        <v>325</v>
      </c>
      <c r="E47" s="43">
        <f>-L43</f>
        <v>-922.39702817081024</v>
      </c>
      <c r="H47" s="4" t="s">
        <v>318</v>
      </c>
      <c r="L47" s="43">
        <f>E45</f>
        <v>17949.852924448398</v>
      </c>
    </row>
    <row r="48" spans="2:13" x14ac:dyDescent="0.3">
      <c r="C48" s="9" t="s">
        <v>326</v>
      </c>
      <c r="E48" s="43">
        <f>-L49</f>
        <v>-5384.9558773345188</v>
      </c>
      <c r="H48" s="4" t="s">
        <v>319</v>
      </c>
      <c r="L48" s="11">
        <v>0.3</v>
      </c>
    </row>
    <row r="49" spans="2:13" x14ac:dyDescent="0.3">
      <c r="C49" s="9" t="s">
        <v>327</v>
      </c>
      <c r="E49" s="43">
        <f>-L52</f>
        <v>-4487.4632311120995</v>
      </c>
      <c r="H49" s="4" t="s">
        <v>320</v>
      </c>
      <c r="L49" s="43">
        <f>L47*L48</f>
        <v>5384.9558773345188</v>
      </c>
    </row>
    <row r="50" spans="2:13" x14ac:dyDescent="0.3">
      <c r="C50" s="9" t="s">
        <v>328</v>
      </c>
      <c r="E50" s="24">
        <f>-Albertsons_Financial_Model!H168</f>
        <v>-1248.5534086619787</v>
      </c>
    </row>
    <row r="51" spans="2:13" x14ac:dyDescent="0.3">
      <c r="C51" s="22" t="s">
        <v>329</v>
      </c>
      <c r="D51" s="21"/>
      <c r="E51" s="66">
        <f>L55</f>
        <v>4752.0474244238148</v>
      </c>
      <c r="H51" s="4" t="s">
        <v>321</v>
      </c>
      <c r="L51" s="11">
        <v>0.25</v>
      </c>
    </row>
    <row r="52" spans="2:13" x14ac:dyDescent="0.3">
      <c r="C52" s="5" t="s">
        <v>330</v>
      </c>
      <c r="D52" s="5"/>
      <c r="E52" s="72">
        <f>SUM(E47:E51)+E45</f>
        <v>10658.530803592806</v>
      </c>
      <c r="H52" s="4" t="s">
        <v>322</v>
      </c>
      <c r="L52" s="43">
        <f>L51*E45</f>
        <v>4487.4632311120995</v>
      </c>
    </row>
    <row r="53" spans="2:13" x14ac:dyDescent="0.3">
      <c r="H53" s="4" t="s">
        <v>323</v>
      </c>
      <c r="L53" s="145">
        <v>5</v>
      </c>
    </row>
    <row r="55" spans="2:13" x14ac:dyDescent="0.3">
      <c r="H55" s="4" t="s">
        <v>324</v>
      </c>
      <c r="L55" s="43">
        <f>(L52+L47+L43)*Kroger_Tax_Rate</f>
        <v>4752.0474244238148</v>
      </c>
    </row>
    <row r="57" spans="2:13" x14ac:dyDescent="0.3">
      <c r="B57" s="1" t="s">
        <v>331</v>
      </c>
      <c r="C57" s="3"/>
      <c r="D57" s="3"/>
      <c r="E57" s="78">
        <f t="shared" ref="E57:M57" si="1">E147</f>
        <v>45657</v>
      </c>
      <c r="F57" s="78">
        <f t="shared" si="1"/>
        <v>46022</v>
      </c>
      <c r="G57" s="78">
        <f t="shared" si="1"/>
        <v>46387</v>
      </c>
      <c r="H57" s="78">
        <f t="shared" si="1"/>
        <v>46752</v>
      </c>
      <c r="I57" s="78">
        <f t="shared" si="1"/>
        <v>47118</v>
      </c>
      <c r="J57" s="78">
        <f t="shared" si="1"/>
        <v>47483</v>
      </c>
      <c r="K57" s="78">
        <f t="shared" si="1"/>
        <v>47848</v>
      </c>
      <c r="L57" s="78">
        <f t="shared" si="1"/>
        <v>48213</v>
      </c>
      <c r="M57" s="78">
        <f t="shared" si="1"/>
        <v>48579</v>
      </c>
    </row>
    <row r="58" spans="2:13" x14ac:dyDescent="0.3">
      <c r="B58" s="82" t="s">
        <v>286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2:13" x14ac:dyDescent="0.3">
      <c r="C59" s="5" t="s">
        <v>335</v>
      </c>
      <c r="E59" s="11">
        <v>4.2500000000000003E-2</v>
      </c>
      <c r="F59" s="11">
        <v>0.04</v>
      </c>
      <c r="G59" s="11">
        <v>3.5000000000000003E-2</v>
      </c>
      <c r="H59" s="11">
        <v>0.03</v>
      </c>
      <c r="I59" s="11">
        <v>2.5000000000000001E-2</v>
      </c>
      <c r="J59" s="11">
        <v>0.02</v>
      </c>
      <c r="K59" s="11">
        <v>1.4999999999999999E-2</v>
      </c>
      <c r="L59" s="11">
        <v>1.4999999999999999E-2</v>
      </c>
      <c r="M59" s="11">
        <f t="shared" ref="M59" si="2">L59</f>
        <v>1.4999999999999999E-2</v>
      </c>
    </row>
    <row r="60" spans="2:13" x14ac:dyDescent="0.3">
      <c r="C60" s="5" t="s">
        <v>339</v>
      </c>
      <c r="E60" s="68">
        <f>MAX(E59,$G$22)+$H$22</f>
        <v>9.2499999999999999E-2</v>
      </c>
      <c r="F60" s="68">
        <f t="shared" ref="F60:M60" si="3">MAX(F59,$G$22)+$H$22</f>
        <v>0.09</v>
      </c>
      <c r="G60" s="68">
        <f t="shared" si="3"/>
        <v>8.5000000000000006E-2</v>
      </c>
      <c r="H60" s="68">
        <f t="shared" si="3"/>
        <v>0.08</v>
      </c>
      <c r="I60" s="68">
        <f t="shared" si="3"/>
        <v>7.5000000000000011E-2</v>
      </c>
      <c r="J60" s="68">
        <f t="shared" si="3"/>
        <v>7.0000000000000007E-2</v>
      </c>
      <c r="K60" s="68">
        <f t="shared" si="3"/>
        <v>6.5000000000000002E-2</v>
      </c>
      <c r="L60" s="68">
        <f t="shared" si="3"/>
        <v>6.5000000000000002E-2</v>
      </c>
      <c r="M60" s="68">
        <f t="shared" si="3"/>
        <v>6.5000000000000002E-2</v>
      </c>
    </row>
    <row r="62" spans="2:13" x14ac:dyDescent="0.3">
      <c r="C62" s="4" t="s">
        <v>336</v>
      </c>
      <c r="E62" s="68">
        <v>0.02</v>
      </c>
      <c r="F62" s="68">
        <v>0.03</v>
      </c>
      <c r="G62" s="68">
        <v>0.04</v>
      </c>
      <c r="H62" s="68">
        <v>0.05</v>
      </c>
      <c r="I62" s="68">
        <v>0.06</v>
      </c>
      <c r="J62" s="68">
        <v>0.08</v>
      </c>
      <c r="K62" s="68">
        <v>0.08</v>
      </c>
      <c r="L62" s="68">
        <v>0.09</v>
      </c>
      <c r="M62" s="68">
        <v>0.1</v>
      </c>
    </row>
    <row r="64" spans="2:13" x14ac:dyDescent="0.3">
      <c r="C64" s="5" t="s">
        <v>111</v>
      </c>
      <c r="E64" s="43">
        <f>L22</f>
        <v>5240.8868902865679</v>
      </c>
      <c r="F64" s="43">
        <f>E67</f>
        <v>5136.0691524808362</v>
      </c>
      <c r="G64" s="43">
        <f t="shared" ref="G64:M64" si="4">F67</f>
        <v>4978.8425457722396</v>
      </c>
      <c r="H64" s="43">
        <f t="shared" si="4"/>
        <v>4769.2070701607772</v>
      </c>
      <c r="I64" s="43">
        <f t="shared" si="4"/>
        <v>4507.162725646449</v>
      </c>
      <c r="J64" s="43">
        <f t="shared" si="4"/>
        <v>4192.7095122292549</v>
      </c>
      <c r="K64" s="43">
        <f t="shared" si="4"/>
        <v>3773.4385610063296</v>
      </c>
      <c r="L64" s="43">
        <f t="shared" si="4"/>
        <v>3354.1676097834043</v>
      </c>
      <c r="M64" s="43">
        <f t="shared" si="4"/>
        <v>2882.4877896576131</v>
      </c>
    </row>
    <row r="65" spans="2:13" x14ac:dyDescent="0.3">
      <c r="C65" s="9" t="s">
        <v>337</v>
      </c>
      <c r="E65" s="43">
        <f t="shared" ref="E65:M65" si="5">-$E$64*E62</f>
        <v>-104.81773780573135</v>
      </c>
      <c r="F65" s="43">
        <f t="shared" si="5"/>
        <v>-157.22660670859702</v>
      </c>
      <c r="G65" s="43">
        <f t="shared" si="5"/>
        <v>-209.63547561146271</v>
      </c>
      <c r="H65" s="43">
        <f t="shared" si="5"/>
        <v>-262.04434451432843</v>
      </c>
      <c r="I65" s="43">
        <f t="shared" si="5"/>
        <v>-314.45321341719404</v>
      </c>
      <c r="J65" s="43">
        <f t="shared" si="5"/>
        <v>-419.27095122292542</v>
      </c>
      <c r="K65" s="43">
        <f t="shared" si="5"/>
        <v>-419.27095122292542</v>
      </c>
      <c r="L65" s="43">
        <f t="shared" si="5"/>
        <v>-471.67982012579108</v>
      </c>
      <c r="M65" s="43">
        <f t="shared" si="5"/>
        <v>-524.08868902865686</v>
      </c>
    </row>
    <row r="66" spans="2:13" x14ac:dyDescent="0.3">
      <c r="C66" s="9" t="s">
        <v>338</v>
      </c>
      <c r="E66" s="43">
        <f>IF(E57=$M$22,-MAX(SUM(E64:E65),0),0)</f>
        <v>0</v>
      </c>
      <c r="F66" s="43">
        <f t="shared" ref="F66:M66" si="6">IF(F57=$M$22,-MAX(SUM(F64:F65),0),0)</f>
        <v>0</v>
      </c>
      <c r="G66" s="43">
        <f t="shared" si="6"/>
        <v>0</v>
      </c>
      <c r="H66" s="43">
        <f t="shared" si="6"/>
        <v>0</v>
      </c>
      <c r="I66" s="43">
        <f t="shared" si="6"/>
        <v>0</v>
      </c>
      <c r="J66" s="43">
        <f t="shared" si="6"/>
        <v>0</v>
      </c>
      <c r="K66" s="43">
        <f t="shared" si="6"/>
        <v>0</v>
      </c>
      <c r="L66" s="43">
        <f t="shared" si="6"/>
        <v>0</v>
      </c>
      <c r="M66" s="43">
        <f t="shared" si="6"/>
        <v>0</v>
      </c>
    </row>
    <row r="67" spans="2:13" x14ac:dyDescent="0.3">
      <c r="C67" s="5" t="s">
        <v>127</v>
      </c>
      <c r="E67" s="43">
        <f>SUM(E64:E66)</f>
        <v>5136.0691524808362</v>
      </c>
      <c r="F67" s="43">
        <f>SUM(F64:F66)</f>
        <v>4978.8425457722396</v>
      </c>
      <c r="G67" s="43">
        <f t="shared" ref="G67:M67" si="7">SUM(G64:G66)</f>
        <v>4769.2070701607772</v>
      </c>
      <c r="H67" s="43">
        <f t="shared" si="7"/>
        <v>4507.162725646449</v>
      </c>
      <c r="I67" s="43">
        <f t="shared" si="7"/>
        <v>4192.7095122292549</v>
      </c>
      <c r="J67" s="43">
        <f t="shared" si="7"/>
        <v>3773.4385610063296</v>
      </c>
      <c r="K67" s="43">
        <f t="shared" si="7"/>
        <v>3354.1676097834043</v>
      </c>
      <c r="L67" s="43">
        <f t="shared" si="7"/>
        <v>2882.4877896576131</v>
      </c>
      <c r="M67" s="43">
        <f t="shared" si="7"/>
        <v>2358.3991006289561</v>
      </c>
    </row>
    <row r="69" spans="2:13" x14ac:dyDescent="0.3">
      <c r="C69" s="5" t="s">
        <v>341</v>
      </c>
      <c r="E69" s="56">
        <f>-E64*E59</f>
        <v>-222.73769283717914</v>
      </c>
      <c r="F69" s="56">
        <f t="shared" ref="F69:M69" si="8">-F64*F59</f>
        <v>-205.44276609923347</v>
      </c>
      <c r="G69" s="56">
        <f t="shared" si="8"/>
        <v>-174.2594891020284</v>
      </c>
      <c r="H69" s="56">
        <f t="shared" si="8"/>
        <v>-143.0762121048233</v>
      </c>
      <c r="I69" s="56">
        <f t="shared" si="8"/>
        <v>-112.67906814116122</v>
      </c>
      <c r="J69" s="56">
        <f t="shared" si="8"/>
        <v>-83.854190244585098</v>
      </c>
      <c r="K69" s="56">
        <f t="shared" si="8"/>
        <v>-56.601578415094941</v>
      </c>
      <c r="L69" s="56">
        <f t="shared" si="8"/>
        <v>-50.312514146751063</v>
      </c>
      <c r="M69" s="56">
        <f t="shared" si="8"/>
        <v>-43.237316844864196</v>
      </c>
    </row>
    <row r="71" spans="2:13" x14ac:dyDescent="0.3">
      <c r="B71" s="82" t="s">
        <v>287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2:13" x14ac:dyDescent="0.3">
      <c r="C72" s="5" t="s">
        <v>340</v>
      </c>
      <c r="E72" s="11">
        <f>$I$23</f>
        <v>7.0000000000000007E-2</v>
      </c>
    </row>
    <row r="74" spans="2:13" x14ac:dyDescent="0.3">
      <c r="C74" s="4" t="s">
        <v>336</v>
      </c>
      <c r="E74" s="11">
        <v>0.05</v>
      </c>
      <c r="F74" s="11">
        <v>0.05</v>
      </c>
      <c r="G74" s="11">
        <v>0.05</v>
      </c>
      <c r="H74" s="11">
        <v>0.55000000000000004</v>
      </c>
      <c r="I74" s="11">
        <v>0.05</v>
      </c>
      <c r="J74" s="11">
        <v>0.05</v>
      </c>
      <c r="K74" s="11">
        <v>0.05</v>
      </c>
      <c r="L74" s="11">
        <v>0.05</v>
      </c>
      <c r="M74" s="11">
        <v>0.05</v>
      </c>
    </row>
    <row r="76" spans="2:13" x14ac:dyDescent="0.3">
      <c r="C76" s="5" t="s">
        <v>111</v>
      </c>
      <c r="E76" s="43">
        <f>L23</f>
        <v>5240.8868902865679</v>
      </c>
      <c r="F76" s="43">
        <f>E79</f>
        <v>4978.8425457722396</v>
      </c>
      <c r="G76" s="43">
        <f t="shared" ref="G76:M76" si="9">F79</f>
        <v>4729.9004184836276</v>
      </c>
      <c r="H76" s="43">
        <f t="shared" si="9"/>
        <v>4493.4053975594461</v>
      </c>
      <c r="I76" s="43">
        <f t="shared" si="9"/>
        <v>2022.0324289017503</v>
      </c>
      <c r="J76" s="43">
        <f t="shared" si="9"/>
        <v>1920.9308074566629</v>
      </c>
      <c r="K76" s="43">
        <f t="shared" si="9"/>
        <v>1824.8842670838299</v>
      </c>
      <c r="L76" s="43">
        <f t="shared" si="9"/>
        <v>1733.6400537296383</v>
      </c>
      <c r="M76" s="43">
        <f t="shared" si="9"/>
        <v>1646.9580510431565</v>
      </c>
    </row>
    <row r="77" spans="2:13" x14ac:dyDescent="0.3">
      <c r="C77" s="9" t="s">
        <v>337</v>
      </c>
      <c r="E77" s="43">
        <f>-E76*E74</f>
        <v>-262.04434451432843</v>
      </c>
      <c r="F77" s="43">
        <f>-F76*F74</f>
        <v>-248.942127288612</v>
      </c>
      <c r="G77" s="43">
        <f t="shared" ref="G77:M77" si="10">-G76*G74</f>
        <v>-236.4950209241814</v>
      </c>
      <c r="H77" s="43">
        <f t="shared" si="10"/>
        <v>-2471.3729686576958</v>
      </c>
      <c r="I77" s="43">
        <f t="shared" si="10"/>
        <v>-101.10162144508752</v>
      </c>
      <c r="J77" s="43">
        <f t="shared" si="10"/>
        <v>-96.046540372833149</v>
      </c>
      <c r="K77" s="43">
        <f t="shared" si="10"/>
        <v>-91.244213354191501</v>
      </c>
      <c r="L77" s="43">
        <f t="shared" si="10"/>
        <v>-86.682002686481923</v>
      </c>
      <c r="M77" s="43">
        <f t="shared" si="10"/>
        <v>-82.347902552157834</v>
      </c>
    </row>
    <row r="78" spans="2:13" x14ac:dyDescent="0.3">
      <c r="C78" s="9" t="s">
        <v>338</v>
      </c>
      <c r="E78" s="43">
        <f>IF(E$57=$M$23,-MAX(SUM(E76:E77),0),0)</f>
        <v>0</v>
      </c>
      <c r="F78" s="43">
        <f t="shared" ref="F78:M78" si="11">IF(F$57=$M$23,-MAX(SUM(F76:F77),0),0)</f>
        <v>0</v>
      </c>
      <c r="G78" s="43">
        <f t="shared" si="11"/>
        <v>0</v>
      </c>
      <c r="H78" s="43">
        <f t="shared" si="11"/>
        <v>0</v>
      </c>
      <c r="I78" s="43">
        <f t="shared" si="11"/>
        <v>0</v>
      </c>
      <c r="J78" s="43">
        <f t="shared" si="11"/>
        <v>0</v>
      </c>
      <c r="K78" s="43">
        <f t="shared" si="11"/>
        <v>0</v>
      </c>
      <c r="L78" s="43">
        <f t="shared" si="11"/>
        <v>0</v>
      </c>
      <c r="M78" s="43">
        <f t="shared" si="11"/>
        <v>0</v>
      </c>
    </row>
    <row r="79" spans="2:13" x14ac:dyDescent="0.3">
      <c r="C79" s="5" t="s">
        <v>127</v>
      </c>
      <c r="E79" s="43">
        <f>SUM(E76:E78)</f>
        <v>4978.8425457722396</v>
      </c>
      <c r="F79" s="43">
        <f>SUM(F76:F78)</f>
        <v>4729.9004184836276</v>
      </c>
      <c r="G79" s="43">
        <f t="shared" ref="G79:M79" si="12">SUM(G76:G78)</f>
        <v>4493.4053975594461</v>
      </c>
      <c r="H79" s="43">
        <f t="shared" si="12"/>
        <v>2022.0324289017503</v>
      </c>
      <c r="I79" s="43">
        <f t="shared" si="12"/>
        <v>1920.9308074566629</v>
      </c>
      <c r="J79" s="43">
        <f t="shared" si="12"/>
        <v>1824.8842670838299</v>
      </c>
      <c r="K79" s="43">
        <f t="shared" si="12"/>
        <v>1733.6400537296383</v>
      </c>
      <c r="L79" s="43">
        <f t="shared" si="12"/>
        <v>1646.9580510431565</v>
      </c>
      <c r="M79" s="43">
        <f t="shared" si="12"/>
        <v>1564.6101484909987</v>
      </c>
    </row>
    <row r="81" spans="2:13" x14ac:dyDescent="0.3">
      <c r="C81" s="5" t="s">
        <v>341</v>
      </c>
      <c r="E81" s="56">
        <f>-E76*$E$72</f>
        <v>-366.86208232005981</v>
      </c>
      <c r="F81" s="56">
        <f t="shared" ref="F81:M81" si="13">-F76*$E$72</f>
        <v>-348.51897820405679</v>
      </c>
      <c r="G81" s="56">
        <f t="shared" si="13"/>
        <v>-331.09302929385399</v>
      </c>
      <c r="H81" s="56">
        <f t="shared" si="13"/>
        <v>-314.53837782916128</v>
      </c>
      <c r="I81" s="56">
        <f t="shared" si="13"/>
        <v>-141.54227002312254</v>
      </c>
      <c r="J81" s="56">
        <f t="shared" si="13"/>
        <v>-134.46515652196641</v>
      </c>
      <c r="K81" s="56">
        <f t="shared" si="13"/>
        <v>-127.7418986958681</v>
      </c>
      <c r="L81" s="56">
        <f t="shared" si="13"/>
        <v>-121.35480376107469</v>
      </c>
      <c r="M81" s="56">
        <f t="shared" si="13"/>
        <v>-115.28706357302097</v>
      </c>
    </row>
    <row r="83" spans="2:13" x14ac:dyDescent="0.3">
      <c r="B83" s="82" t="s">
        <v>288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</row>
    <row r="84" spans="2:13" x14ac:dyDescent="0.3">
      <c r="C84" s="5" t="s">
        <v>342</v>
      </c>
      <c r="E84" s="68">
        <f>I24</f>
        <v>4.4999999999999998E-2</v>
      </c>
    </row>
    <row r="85" spans="2:13" x14ac:dyDescent="0.3">
      <c r="C85" s="5" t="s">
        <v>343</v>
      </c>
      <c r="E85" s="68">
        <f>J24</f>
        <v>0.03</v>
      </c>
    </row>
    <row r="87" spans="2:13" x14ac:dyDescent="0.3">
      <c r="C87" s="4" t="s">
        <v>336</v>
      </c>
      <c r="E87" s="11">
        <v>0.05</v>
      </c>
      <c r="F87" s="11">
        <v>0.05</v>
      </c>
      <c r="G87" s="11">
        <v>0.05</v>
      </c>
      <c r="H87" s="11">
        <v>0.05</v>
      </c>
      <c r="I87" s="11">
        <v>0.05</v>
      </c>
      <c r="J87" s="11">
        <v>0.05</v>
      </c>
      <c r="K87" s="11">
        <v>0.05</v>
      </c>
      <c r="L87" s="11">
        <v>0.05</v>
      </c>
      <c r="M87" s="11">
        <v>0.05</v>
      </c>
    </row>
    <row r="89" spans="2:13" x14ac:dyDescent="0.3">
      <c r="C89" s="5" t="s">
        <v>111</v>
      </c>
      <c r="E89" s="43">
        <f>L24</f>
        <v>5240.8868902865679</v>
      </c>
      <c r="F89" s="43">
        <f>E93</f>
        <v>5136.0691524808362</v>
      </c>
      <c r="G89" s="43">
        <f t="shared" ref="G89:M89" si="14">F93</f>
        <v>5033.3477694312196</v>
      </c>
      <c r="H89" s="43">
        <f t="shared" si="14"/>
        <v>4932.6808140425956</v>
      </c>
      <c r="I89" s="43">
        <f t="shared" si="14"/>
        <v>4834.027197761744</v>
      </c>
      <c r="J89" s="43">
        <f t="shared" si="14"/>
        <v>4737.3466538065086</v>
      </c>
      <c r="K89" s="43">
        <f t="shared" si="14"/>
        <v>4642.5997207303781</v>
      </c>
      <c r="L89" s="43">
        <f t="shared" si="14"/>
        <v>4549.7477263157707</v>
      </c>
      <c r="M89" s="43">
        <f t="shared" si="14"/>
        <v>4458.7527717894554</v>
      </c>
    </row>
    <row r="90" spans="2:13" x14ac:dyDescent="0.3">
      <c r="C90" s="9" t="s">
        <v>337</v>
      </c>
      <c r="E90" s="43">
        <f>-E89*E87</f>
        <v>-262.04434451432843</v>
      </c>
      <c r="F90" s="43">
        <f t="shared" ref="F90:M90" si="15">-F89*F87</f>
        <v>-256.80345762404181</v>
      </c>
      <c r="G90" s="43">
        <f t="shared" si="15"/>
        <v>-251.667388471561</v>
      </c>
      <c r="H90" s="43">
        <f t="shared" si="15"/>
        <v>-246.63404070212979</v>
      </c>
      <c r="I90" s="43">
        <f t="shared" si="15"/>
        <v>-241.70135988808721</v>
      </c>
      <c r="J90" s="43">
        <f t="shared" si="15"/>
        <v>-236.86733269032544</v>
      </c>
      <c r="K90" s="43">
        <f t="shared" si="15"/>
        <v>-232.12998603651891</v>
      </c>
      <c r="L90" s="43">
        <f t="shared" si="15"/>
        <v>-227.48738631578854</v>
      </c>
      <c r="M90" s="43">
        <f t="shared" si="15"/>
        <v>-222.93763858947278</v>
      </c>
    </row>
    <row r="91" spans="2:13" x14ac:dyDescent="0.3">
      <c r="C91" s="9" t="s">
        <v>344</v>
      </c>
      <c r="E91" s="43">
        <f t="shared" ref="E91:M91" si="16">$E$85*E89</f>
        <v>157.22660670859702</v>
      </c>
      <c r="F91" s="43">
        <f t="shared" si="16"/>
        <v>154.08207457442509</v>
      </c>
      <c r="G91" s="43">
        <f t="shared" si="16"/>
        <v>151.00043308293658</v>
      </c>
      <c r="H91" s="43">
        <f t="shared" si="16"/>
        <v>147.98042442127786</v>
      </c>
      <c r="I91" s="43">
        <f t="shared" si="16"/>
        <v>145.02081593285232</v>
      </c>
      <c r="J91" s="43">
        <f t="shared" si="16"/>
        <v>142.12039961419526</v>
      </c>
      <c r="K91" s="43">
        <f t="shared" si="16"/>
        <v>139.27799162191133</v>
      </c>
      <c r="L91" s="43">
        <f t="shared" si="16"/>
        <v>136.49243178947313</v>
      </c>
      <c r="M91" s="43">
        <f t="shared" si="16"/>
        <v>133.76258315368366</v>
      </c>
    </row>
    <row r="92" spans="2:13" x14ac:dyDescent="0.3">
      <c r="C92" s="9" t="s">
        <v>338</v>
      </c>
      <c r="E92" s="43">
        <f>IF(E$57=$M$24,-MAX(SUM(E89:E91),0),0)</f>
        <v>0</v>
      </c>
      <c r="F92" s="43">
        <f t="shared" ref="F92:M92" si="17">IF(F$57=$M$24,-MAX(SUM(F89:F91),0),0)</f>
        <v>0</v>
      </c>
      <c r="G92" s="43">
        <f t="shared" si="17"/>
        <v>0</v>
      </c>
      <c r="H92" s="43">
        <f t="shared" si="17"/>
        <v>0</v>
      </c>
      <c r="I92" s="43">
        <f t="shared" si="17"/>
        <v>0</v>
      </c>
      <c r="J92" s="43">
        <f t="shared" si="17"/>
        <v>0</v>
      </c>
      <c r="K92" s="43">
        <f t="shared" si="17"/>
        <v>0</v>
      </c>
      <c r="L92" s="43">
        <f t="shared" si="17"/>
        <v>0</v>
      </c>
      <c r="M92" s="43">
        <f t="shared" si="17"/>
        <v>0</v>
      </c>
    </row>
    <row r="93" spans="2:13" x14ac:dyDescent="0.3">
      <c r="C93" s="5" t="s">
        <v>127</v>
      </c>
      <c r="E93" s="43">
        <f t="shared" ref="E93:M93" si="18">SUM(E89:E92)</f>
        <v>5136.0691524808362</v>
      </c>
      <c r="F93" s="43">
        <f t="shared" si="18"/>
        <v>5033.3477694312196</v>
      </c>
      <c r="G93" s="43">
        <f t="shared" si="18"/>
        <v>4932.6808140425956</v>
      </c>
      <c r="H93" s="43">
        <f t="shared" si="18"/>
        <v>4834.027197761744</v>
      </c>
      <c r="I93" s="43">
        <f t="shared" si="18"/>
        <v>4737.3466538065086</v>
      </c>
      <c r="J93" s="43">
        <f t="shared" si="18"/>
        <v>4642.5997207303781</v>
      </c>
      <c r="K93" s="43">
        <f t="shared" si="18"/>
        <v>4549.7477263157707</v>
      </c>
      <c r="L93" s="43">
        <f t="shared" si="18"/>
        <v>4458.7527717894554</v>
      </c>
      <c r="M93" s="43">
        <f t="shared" si="18"/>
        <v>4369.5777163536659</v>
      </c>
    </row>
    <row r="95" spans="2:13" x14ac:dyDescent="0.3">
      <c r="C95" s="5" t="s">
        <v>346</v>
      </c>
      <c r="D95" s="5"/>
      <c r="E95" s="43">
        <f>-E89*$E$84</f>
        <v>-235.83991006289554</v>
      </c>
      <c r="F95" s="43">
        <f t="shared" ref="F95:M95" si="19">-F89*$E$84</f>
        <v>-231.12311186163762</v>
      </c>
      <c r="G95" s="43">
        <f t="shared" si="19"/>
        <v>-226.50064962440487</v>
      </c>
      <c r="H95" s="43">
        <f t="shared" si="19"/>
        <v>-221.97063663191679</v>
      </c>
      <c r="I95" s="43">
        <f t="shared" si="19"/>
        <v>-217.53122389927847</v>
      </c>
      <c r="J95" s="43">
        <f t="shared" si="19"/>
        <v>-213.18059942129287</v>
      </c>
      <c r="K95" s="43">
        <f t="shared" si="19"/>
        <v>-208.91698743286702</v>
      </c>
      <c r="L95" s="43">
        <f t="shared" si="19"/>
        <v>-204.73864768420967</v>
      </c>
      <c r="M95" s="43">
        <f t="shared" si="19"/>
        <v>-200.64387473052548</v>
      </c>
    </row>
    <row r="96" spans="2:13" x14ac:dyDescent="0.3">
      <c r="C96" s="5" t="s">
        <v>347</v>
      </c>
      <c r="D96" s="5"/>
      <c r="E96" s="43">
        <f>-E91</f>
        <v>-157.22660670859702</v>
      </c>
      <c r="F96" s="43">
        <f t="shared" ref="F96:M96" si="20">-F91</f>
        <v>-154.08207457442509</v>
      </c>
      <c r="G96" s="43">
        <f t="shared" si="20"/>
        <v>-151.00043308293658</v>
      </c>
      <c r="H96" s="43">
        <f t="shared" si="20"/>
        <v>-147.98042442127786</v>
      </c>
      <c r="I96" s="43">
        <f t="shared" si="20"/>
        <v>-145.02081593285232</v>
      </c>
      <c r="J96" s="43">
        <f t="shared" si="20"/>
        <v>-142.12039961419526</v>
      </c>
      <c r="K96" s="43">
        <f t="shared" si="20"/>
        <v>-139.27799162191133</v>
      </c>
      <c r="L96" s="43">
        <f t="shared" si="20"/>
        <v>-136.49243178947313</v>
      </c>
      <c r="M96" s="43">
        <f t="shared" si="20"/>
        <v>-133.76258315368366</v>
      </c>
    </row>
    <row r="97" spans="2:13" s="5" customFormat="1" x14ac:dyDescent="0.3">
      <c r="C97" s="5" t="s">
        <v>348</v>
      </c>
      <c r="E97" s="56">
        <f>E96+E95</f>
        <v>-393.06651677149256</v>
      </c>
      <c r="F97" s="56">
        <f t="shared" ref="F97:M97" si="21">F96+F95</f>
        <v>-385.20518643606272</v>
      </c>
      <c r="G97" s="56">
        <f t="shared" si="21"/>
        <v>-377.50108270734142</v>
      </c>
      <c r="H97" s="56">
        <f t="shared" si="21"/>
        <v>-369.95106105319462</v>
      </c>
      <c r="I97" s="56">
        <f t="shared" si="21"/>
        <v>-362.55203983213079</v>
      </c>
      <c r="J97" s="56">
        <f t="shared" si="21"/>
        <v>-355.30099903548813</v>
      </c>
      <c r="K97" s="56">
        <f t="shared" si="21"/>
        <v>-348.19497905477834</v>
      </c>
      <c r="L97" s="56">
        <f t="shared" si="21"/>
        <v>-341.23107947368283</v>
      </c>
      <c r="M97" s="56">
        <f t="shared" si="21"/>
        <v>-334.40645788420915</v>
      </c>
    </row>
    <row r="99" spans="2:13" x14ac:dyDescent="0.3">
      <c r="B99" s="82" t="s">
        <v>305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</row>
    <row r="100" spans="2:13" x14ac:dyDescent="0.3">
      <c r="C100" s="5" t="s">
        <v>345</v>
      </c>
      <c r="E100" s="68">
        <f>I25</f>
        <v>6.8000000000000005E-2</v>
      </c>
    </row>
    <row r="102" spans="2:13" x14ac:dyDescent="0.3">
      <c r="C102" s="4" t="s">
        <v>336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</row>
    <row r="104" spans="2:13" x14ac:dyDescent="0.3">
      <c r="C104" s="5" t="s">
        <v>111</v>
      </c>
      <c r="E104" s="43">
        <f>L25</f>
        <v>1746.9622967621908</v>
      </c>
      <c r="F104" s="43">
        <f>E107</f>
        <v>1746.9622967621908</v>
      </c>
      <c r="G104" s="43">
        <f t="shared" ref="G104:I104" si="22">F107</f>
        <v>1746.9622967621908</v>
      </c>
      <c r="H104" s="43">
        <f t="shared" si="22"/>
        <v>1746.9622967621908</v>
      </c>
      <c r="I104" s="43">
        <f t="shared" si="22"/>
        <v>1746.9622967621908</v>
      </c>
      <c r="J104" s="43"/>
      <c r="K104" s="43"/>
      <c r="L104" s="43"/>
      <c r="M104" s="43"/>
    </row>
    <row r="105" spans="2:13" x14ac:dyDescent="0.3">
      <c r="C105" s="9" t="s">
        <v>337</v>
      </c>
      <c r="E105" s="43">
        <f>-E102*E104</f>
        <v>0</v>
      </c>
      <c r="F105" s="43">
        <f>-F102*F104</f>
        <v>0</v>
      </c>
      <c r="G105" s="43">
        <f t="shared" ref="G105:I105" si="23">-G102*G104</f>
        <v>0</v>
      </c>
      <c r="H105" s="43">
        <f t="shared" si="23"/>
        <v>0</v>
      </c>
      <c r="I105" s="43">
        <f t="shared" si="23"/>
        <v>0</v>
      </c>
      <c r="J105" s="43"/>
      <c r="K105" s="43"/>
      <c r="L105" s="43"/>
      <c r="M105" s="43"/>
    </row>
    <row r="106" spans="2:13" x14ac:dyDescent="0.3">
      <c r="C106" s="9" t="s">
        <v>338</v>
      </c>
      <c r="E106" s="43">
        <f>IF(E$57=$M$25,-MAX(E104,0),0)</f>
        <v>0</v>
      </c>
      <c r="F106" s="43">
        <f t="shared" ref="F106:I106" si="24">IF(F$57=$M$25,-MAX(F104,0),0)</f>
        <v>0</v>
      </c>
      <c r="G106" s="43">
        <f t="shared" si="24"/>
        <v>0</v>
      </c>
      <c r="H106" s="43">
        <f t="shared" si="24"/>
        <v>0</v>
      </c>
      <c r="I106" s="43">
        <f t="shared" si="24"/>
        <v>-1746.9622967621908</v>
      </c>
      <c r="J106" s="43"/>
      <c r="K106" s="43"/>
      <c r="L106" s="43"/>
      <c r="M106" s="43"/>
    </row>
    <row r="107" spans="2:13" x14ac:dyDescent="0.3">
      <c r="C107" s="5" t="s">
        <v>127</v>
      </c>
      <c r="E107" s="43">
        <f>SUM(E104:E106)</f>
        <v>1746.9622967621908</v>
      </c>
      <c r="F107" s="43">
        <f>SUM(F104:F106)</f>
        <v>1746.9622967621908</v>
      </c>
      <c r="G107" s="43">
        <f t="shared" ref="G107:I107" si="25">SUM(G104:G106)</f>
        <v>1746.9622967621908</v>
      </c>
      <c r="H107" s="43">
        <f t="shared" si="25"/>
        <v>1746.9622967621908</v>
      </c>
      <c r="I107" s="43">
        <f t="shared" si="25"/>
        <v>0</v>
      </c>
      <c r="J107" s="43"/>
      <c r="K107" s="43"/>
      <c r="L107" s="43"/>
      <c r="M107" s="43"/>
    </row>
    <row r="108" spans="2:13" x14ac:dyDescent="0.3">
      <c r="C108" s="5"/>
    </row>
    <row r="109" spans="2:13" x14ac:dyDescent="0.3">
      <c r="C109" s="5" t="s">
        <v>341</v>
      </c>
      <c r="E109" s="56">
        <f>-E104*$E$100</f>
        <v>-118.79343617982899</v>
      </c>
      <c r="F109" s="56">
        <f t="shared" ref="F109:I109" si="26">-F104*$E$100</f>
        <v>-118.79343617982899</v>
      </c>
      <c r="G109" s="56">
        <f t="shared" si="26"/>
        <v>-118.79343617982899</v>
      </c>
      <c r="H109" s="56">
        <f t="shared" si="26"/>
        <v>-118.79343617982899</v>
      </c>
      <c r="I109" s="56">
        <f t="shared" si="26"/>
        <v>-118.79343617982899</v>
      </c>
    </row>
    <row r="110" spans="2:13" x14ac:dyDescent="0.3">
      <c r="C110" s="5"/>
    </row>
    <row r="111" spans="2:13" x14ac:dyDescent="0.3">
      <c r="B111" s="82" t="s">
        <v>289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</row>
    <row r="112" spans="2:13" x14ac:dyDescent="0.3">
      <c r="C112" s="5" t="s">
        <v>345</v>
      </c>
      <c r="E112" s="68">
        <f>I26</f>
        <v>0.06</v>
      </c>
    </row>
    <row r="113" spans="1:13" x14ac:dyDescent="0.3">
      <c r="C113" s="5" t="s">
        <v>349</v>
      </c>
      <c r="E113" s="52">
        <v>1500</v>
      </c>
    </row>
    <row r="114" spans="1:13" x14ac:dyDescent="0.3">
      <c r="C114" s="5" t="s">
        <v>410</v>
      </c>
      <c r="E114" s="11">
        <v>3.5000000000000003E-2</v>
      </c>
      <c r="F114" s="11">
        <v>3.5000000000000003E-2</v>
      </c>
      <c r="G114" s="11">
        <v>3.5000000000000003E-2</v>
      </c>
      <c r="H114" s="11">
        <v>3.5000000000000003E-2</v>
      </c>
      <c r="I114" s="11">
        <v>3.5000000000000003E-2</v>
      </c>
      <c r="J114" s="11">
        <v>3.5000000000000003E-2</v>
      </c>
      <c r="K114" s="11">
        <v>3.5000000000000003E-2</v>
      </c>
      <c r="L114" s="11">
        <v>3.5000000000000003E-2</v>
      </c>
      <c r="M114" s="11">
        <v>3.5000000000000003E-2</v>
      </c>
    </row>
    <row r="115" spans="1:13" x14ac:dyDescent="0.3">
      <c r="C115" s="5" t="s">
        <v>409</v>
      </c>
      <c r="E115" s="24">
        <f t="shared" ref="E115:M115" si="27">E114*E151</f>
        <v>8863.4828972391824</v>
      </c>
      <c r="F115" s="24">
        <f t="shared" si="27"/>
        <v>9504.5542524897883</v>
      </c>
      <c r="G115" s="24">
        <f t="shared" si="27"/>
        <v>10170.457727337203</v>
      </c>
      <c r="H115" s="24">
        <f t="shared" si="27"/>
        <v>10802.601578834514</v>
      </c>
      <c r="I115" s="24">
        <f t="shared" si="27"/>
        <v>11363.944183912199</v>
      </c>
      <c r="J115" s="24">
        <f t="shared" si="27"/>
        <v>11913.285442867966</v>
      </c>
      <c r="K115" s="24">
        <f t="shared" si="27"/>
        <v>12461.98131614568</v>
      </c>
      <c r="L115" s="24">
        <f t="shared" si="27"/>
        <v>12949.397672617039</v>
      </c>
      <c r="M115" s="24">
        <f t="shared" si="27"/>
        <v>13319.002039103723</v>
      </c>
    </row>
    <row r="116" spans="1:13" x14ac:dyDescent="0.3">
      <c r="C116" s="5"/>
      <c r="E116" s="26"/>
    </row>
    <row r="117" spans="1:13" x14ac:dyDescent="0.3">
      <c r="C117" s="5" t="s">
        <v>426</v>
      </c>
      <c r="E117" s="24">
        <f>Combined_BS!I7</f>
        <v>2793.0148006634399</v>
      </c>
      <c r="F117" s="24">
        <f>Combined_BS!J7</f>
        <v>8863.4828972391806</v>
      </c>
      <c r="G117" s="24">
        <f>Combined_BS!K7</f>
        <v>13650.429997733343</v>
      </c>
      <c r="H117" s="24">
        <f>Combined_BS!L7</f>
        <v>16426.528656224564</v>
      </c>
      <c r="I117" s="24">
        <f>Combined_BS!M7</f>
        <v>19577.574130526424</v>
      </c>
      <c r="J117" s="24">
        <f>Combined_BS!N7</f>
        <v>25744.614379610146</v>
      </c>
      <c r="K117" s="24">
        <f>Combined_BS!O7</f>
        <v>34565.986049532119</v>
      </c>
      <c r="L117" s="24">
        <f>Combined_BS!P7</f>
        <v>44227.158009029372</v>
      </c>
      <c r="M117" s="24">
        <f>Combined_BS!Q7</f>
        <v>54329.839633816009</v>
      </c>
    </row>
    <row r="118" spans="1:13" x14ac:dyDescent="0.3">
      <c r="C118" s="5" t="s">
        <v>350</v>
      </c>
      <c r="E118" s="43">
        <f>E106+E105+E90+E92+E78+E77+E65+E66</f>
        <v>-628.90642683438818</v>
      </c>
      <c r="F118" s="43">
        <f t="shared" ref="F118:M118" si="28">F106+F105+F90+F92+F78+F77+F65+F66</f>
        <v>-662.97219162125089</v>
      </c>
      <c r="G118" s="43">
        <f t="shared" si="28"/>
        <v>-697.7978850072052</v>
      </c>
      <c r="H118" s="43">
        <f t="shared" si="28"/>
        <v>-2980.0513538741538</v>
      </c>
      <c r="I118" s="43">
        <f t="shared" si="28"/>
        <v>-2404.2184915125595</v>
      </c>
      <c r="J118" s="43">
        <f t="shared" si="28"/>
        <v>-752.18482428608399</v>
      </c>
      <c r="K118" s="43">
        <f t="shared" si="28"/>
        <v>-742.64515061363591</v>
      </c>
      <c r="L118" s="43">
        <f t="shared" si="28"/>
        <v>-785.8492091280616</v>
      </c>
      <c r="M118" s="43">
        <f t="shared" si="28"/>
        <v>-829.37423017028755</v>
      </c>
    </row>
    <row r="119" spans="1:13" x14ac:dyDescent="0.3">
      <c r="C119" s="5" t="s">
        <v>423</v>
      </c>
      <c r="E119" s="43">
        <f t="shared" ref="E119:M119" si="29">E250+E257+E260+SUM(E262:E264)+E261+E118</f>
        <v>4831.0864283111514</v>
      </c>
      <c r="F119" s="43">
        <f t="shared" si="29"/>
        <v>6026.3287687587535</v>
      </c>
      <c r="G119" s="43">
        <f t="shared" si="29"/>
        <v>2776.0986584912216</v>
      </c>
      <c r="H119" s="43">
        <f t="shared" si="29"/>
        <v>3151.0454743018604</v>
      </c>
      <c r="I119" s="43">
        <f t="shared" si="29"/>
        <v>6167.0402490837187</v>
      </c>
      <c r="J119" s="43">
        <f t="shared" si="29"/>
        <v>8821.3716699219731</v>
      </c>
      <c r="K119" s="43">
        <f t="shared" si="29"/>
        <v>9661.1719594972528</v>
      </c>
      <c r="L119" s="43">
        <f t="shared" si="29"/>
        <v>10102.681624786632</v>
      </c>
      <c r="M119" s="43">
        <f t="shared" si="29"/>
        <v>10816.578161226795</v>
      </c>
    </row>
    <row r="120" spans="1:13" x14ac:dyDescent="0.3">
      <c r="C120" s="5" t="s">
        <v>424</v>
      </c>
      <c r="E120" s="43">
        <f>E119+E117</f>
        <v>7624.1012289745913</v>
      </c>
      <c r="F120" s="43">
        <f t="shared" ref="F120:M120" si="30">F119+F117</f>
        <v>14889.811665997935</v>
      </c>
      <c r="G120" s="43">
        <f t="shared" si="30"/>
        <v>16426.528656224564</v>
      </c>
      <c r="H120" s="43">
        <f t="shared" si="30"/>
        <v>19577.574130526424</v>
      </c>
      <c r="I120" s="43">
        <f t="shared" si="30"/>
        <v>25744.614379610142</v>
      </c>
      <c r="J120" s="43">
        <f t="shared" si="30"/>
        <v>34565.986049532119</v>
      </c>
      <c r="K120" s="43">
        <f t="shared" si="30"/>
        <v>44227.158009029372</v>
      </c>
      <c r="L120" s="43">
        <f t="shared" si="30"/>
        <v>54329.839633816002</v>
      </c>
      <c r="M120" s="43">
        <f t="shared" si="30"/>
        <v>65146.417795042806</v>
      </c>
    </row>
    <row r="121" spans="1:13" x14ac:dyDescent="0.3">
      <c r="C121" s="5" t="s">
        <v>425</v>
      </c>
      <c r="E121" s="43">
        <f>E115-E120</f>
        <v>1239.3816682645911</v>
      </c>
      <c r="F121" s="43">
        <f t="shared" ref="F121:M121" si="31">F115-F120</f>
        <v>-5385.2574135081468</v>
      </c>
      <c r="G121" s="43">
        <f t="shared" si="31"/>
        <v>-6256.0709288873604</v>
      </c>
      <c r="H121" s="43">
        <f t="shared" si="31"/>
        <v>-8774.9725516919098</v>
      </c>
      <c r="I121" s="43">
        <f t="shared" si="31"/>
        <v>-14380.670195697943</v>
      </c>
      <c r="J121" s="43">
        <f t="shared" si="31"/>
        <v>-22652.700606664155</v>
      </c>
      <c r="K121" s="43">
        <f t="shared" si="31"/>
        <v>-31765.176692883691</v>
      </c>
      <c r="L121" s="43">
        <f t="shared" si="31"/>
        <v>-41380.441961198965</v>
      </c>
      <c r="M121" s="43">
        <f t="shared" si="31"/>
        <v>-51827.415755939081</v>
      </c>
    </row>
    <row r="123" spans="1:13" s="43" customFormat="1" x14ac:dyDescent="0.3">
      <c r="A123" s="4"/>
      <c r="B123" s="4"/>
      <c r="C123" s="5" t="s">
        <v>111</v>
      </c>
      <c r="D123" s="4"/>
      <c r="E123" s="43">
        <v>0</v>
      </c>
      <c r="F123" s="43">
        <f>E126</f>
        <v>1239.3816682645911</v>
      </c>
      <c r="G123" s="43">
        <f t="shared" ref="G123:M123" si="32">F126</f>
        <v>0</v>
      </c>
      <c r="H123" s="43">
        <f t="shared" si="32"/>
        <v>0</v>
      </c>
      <c r="I123" s="43">
        <f t="shared" si="32"/>
        <v>0</v>
      </c>
      <c r="J123" s="43">
        <f t="shared" si="32"/>
        <v>0</v>
      </c>
      <c r="K123" s="43">
        <f t="shared" si="32"/>
        <v>0</v>
      </c>
      <c r="L123" s="43">
        <f t="shared" si="32"/>
        <v>0</v>
      </c>
      <c r="M123" s="43">
        <f t="shared" si="32"/>
        <v>0</v>
      </c>
    </row>
    <row r="124" spans="1:13" s="43" customFormat="1" x14ac:dyDescent="0.3">
      <c r="A124" s="4"/>
      <c r="B124" s="4"/>
      <c r="C124" s="9" t="s">
        <v>139</v>
      </c>
      <c r="D124" s="4"/>
      <c r="E124" s="43">
        <f>-MAX(MIN(E123,-E121),0)</f>
        <v>0</v>
      </c>
      <c r="F124" s="43">
        <f>-MAX(MIN(F123,-F121),0)</f>
        <v>-1239.3816682645911</v>
      </c>
      <c r="G124" s="43">
        <f t="shared" ref="G124:M124" si="33">-MAX(MIN(G123,-G121),0)</f>
        <v>0</v>
      </c>
      <c r="H124" s="43">
        <f t="shared" si="33"/>
        <v>0</v>
      </c>
      <c r="I124" s="43">
        <f t="shared" si="33"/>
        <v>0</v>
      </c>
      <c r="J124" s="43">
        <f t="shared" si="33"/>
        <v>0</v>
      </c>
      <c r="K124" s="43">
        <f t="shared" si="33"/>
        <v>0</v>
      </c>
      <c r="L124" s="43">
        <f t="shared" si="33"/>
        <v>0</v>
      </c>
      <c r="M124" s="43">
        <f t="shared" si="33"/>
        <v>0</v>
      </c>
    </row>
    <row r="125" spans="1:13" s="43" customFormat="1" x14ac:dyDescent="0.3">
      <c r="A125" s="4"/>
      <c r="B125" s="4"/>
      <c r="C125" s="9" t="s">
        <v>217</v>
      </c>
      <c r="D125" s="4"/>
      <c r="E125" s="43">
        <f>MAX(IF(E123+E124&lt;$E$113,MIN($E$113-E124-E123,E121),0),0)</f>
        <v>1239.3816682645911</v>
      </c>
      <c r="F125" s="43">
        <f>MAX(IF(F123+F124&lt;$E$113,MIN($E$113-F124-F123,F121),0),0)</f>
        <v>0</v>
      </c>
      <c r="G125" s="43">
        <f t="shared" ref="G125:M125" si="34">MAX(IF(G123+G124&lt;$E$113,MIN($E$113-G124-G123,G121),0),0)</f>
        <v>0</v>
      </c>
      <c r="H125" s="43">
        <f t="shared" si="34"/>
        <v>0</v>
      </c>
      <c r="I125" s="43">
        <f t="shared" si="34"/>
        <v>0</v>
      </c>
      <c r="J125" s="43">
        <f t="shared" si="34"/>
        <v>0</v>
      </c>
      <c r="K125" s="43">
        <f t="shared" si="34"/>
        <v>0</v>
      </c>
      <c r="L125" s="43">
        <f t="shared" si="34"/>
        <v>0</v>
      </c>
      <c r="M125" s="43">
        <f t="shared" si="34"/>
        <v>0</v>
      </c>
    </row>
    <row r="126" spans="1:13" s="43" customFormat="1" x14ac:dyDescent="0.3">
      <c r="A126" s="4"/>
      <c r="B126" s="4"/>
      <c r="C126" s="5" t="s">
        <v>127</v>
      </c>
      <c r="D126" s="4"/>
      <c r="E126" s="43">
        <f>SUM(E123:E125)</f>
        <v>1239.3816682645911</v>
      </c>
      <c r="F126" s="43">
        <f>SUM(F123:F125)</f>
        <v>0</v>
      </c>
      <c r="G126" s="43">
        <f t="shared" ref="G126:M126" si="35">SUM(G123:G125)</f>
        <v>0</v>
      </c>
      <c r="H126" s="43">
        <f t="shared" si="35"/>
        <v>0</v>
      </c>
      <c r="I126" s="43">
        <f t="shared" si="35"/>
        <v>0</v>
      </c>
      <c r="J126" s="43">
        <f t="shared" si="35"/>
        <v>0</v>
      </c>
      <c r="K126" s="43">
        <f t="shared" si="35"/>
        <v>0</v>
      </c>
      <c r="L126" s="43">
        <f t="shared" si="35"/>
        <v>0</v>
      </c>
      <c r="M126" s="43">
        <f t="shared" si="35"/>
        <v>0</v>
      </c>
    </row>
    <row r="127" spans="1:13" x14ac:dyDescent="0.3">
      <c r="C127" s="5"/>
    </row>
    <row r="128" spans="1:13" x14ac:dyDescent="0.3">
      <c r="C128" s="5" t="s">
        <v>341</v>
      </c>
      <c r="E128" s="43">
        <f>-E123*$E$112</f>
        <v>0</v>
      </c>
      <c r="F128" s="43">
        <f t="shared" ref="F128:M128" si="36">-F123*$E$112</f>
        <v>-74.36290009587546</v>
      </c>
      <c r="G128" s="43">
        <f t="shared" si="36"/>
        <v>0</v>
      </c>
      <c r="H128" s="43">
        <f t="shared" si="36"/>
        <v>0</v>
      </c>
      <c r="I128" s="43">
        <f t="shared" si="36"/>
        <v>0</v>
      </c>
      <c r="J128" s="43">
        <f t="shared" si="36"/>
        <v>0</v>
      </c>
      <c r="K128" s="43">
        <f t="shared" si="36"/>
        <v>0</v>
      </c>
      <c r="L128" s="43">
        <f t="shared" si="36"/>
        <v>0</v>
      </c>
      <c r="M128" s="43">
        <f t="shared" si="36"/>
        <v>0</v>
      </c>
    </row>
    <row r="129" spans="2:13" x14ac:dyDescent="0.3">
      <c r="C129" s="5"/>
    </row>
    <row r="130" spans="2:13" x14ac:dyDescent="0.3">
      <c r="B130" s="82" t="s">
        <v>351</v>
      </c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</row>
    <row r="131" spans="2:13" x14ac:dyDescent="0.3">
      <c r="C131" s="5"/>
    </row>
    <row r="132" spans="2:13" x14ac:dyDescent="0.3">
      <c r="C132" s="9" t="s">
        <v>346</v>
      </c>
      <c r="E132" s="43">
        <f>E128+E109+E95+E81+E69</f>
        <v>-944.23312139996347</v>
      </c>
      <c r="F132" s="43">
        <f t="shared" ref="F132:M132" si="37">F128+F109+F95+F81+F69</f>
        <v>-978.2411924406324</v>
      </c>
      <c r="G132" s="43">
        <f t="shared" si="37"/>
        <v>-850.64660420011626</v>
      </c>
      <c r="H132" s="43">
        <f t="shared" si="37"/>
        <v>-798.37866274573037</v>
      </c>
      <c r="I132" s="43">
        <f t="shared" si="37"/>
        <v>-590.54599824339118</v>
      </c>
      <c r="J132" s="43">
        <f t="shared" si="37"/>
        <v>-431.49994618784433</v>
      </c>
      <c r="K132" s="43">
        <f t="shared" si="37"/>
        <v>-393.26046454383004</v>
      </c>
      <c r="L132" s="43">
        <f t="shared" si="37"/>
        <v>-376.40596559203544</v>
      </c>
      <c r="M132" s="43">
        <f t="shared" si="37"/>
        <v>-359.16825514841065</v>
      </c>
    </row>
    <row r="133" spans="2:13" x14ac:dyDescent="0.3">
      <c r="C133" s="22" t="s">
        <v>352</v>
      </c>
      <c r="D133" s="21"/>
      <c r="E133" s="66">
        <f>E96</f>
        <v>-157.22660670859702</v>
      </c>
      <c r="F133" s="66">
        <f t="shared" ref="F133:M133" si="38">F96</f>
        <v>-154.08207457442509</v>
      </c>
      <c r="G133" s="66">
        <f t="shared" si="38"/>
        <v>-151.00043308293658</v>
      </c>
      <c r="H133" s="66">
        <f t="shared" si="38"/>
        <v>-147.98042442127786</v>
      </c>
      <c r="I133" s="66">
        <f t="shared" si="38"/>
        <v>-145.02081593285232</v>
      </c>
      <c r="J133" s="66">
        <f t="shared" si="38"/>
        <v>-142.12039961419526</v>
      </c>
      <c r="K133" s="66">
        <f t="shared" si="38"/>
        <v>-139.27799162191133</v>
      </c>
      <c r="L133" s="66">
        <f t="shared" si="38"/>
        <v>-136.49243178947313</v>
      </c>
      <c r="M133" s="66">
        <f t="shared" si="38"/>
        <v>-133.76258315368366</v>
      </c>
    </row>
    <row r="134" spans="2:13" s="5" customFormat="1" x14ac:dyDescent="0.3">
      <c r="C134" s="5" t="s">
        <v>143</v>
      </c>
      <c r="E134" s="56">
        <f>E133+E132</f>
        <v>-1101.4597281085605</v>
      </c>
      <c r="F134" s="56">
        <f t="shared" ref="F134:M134" si="39">F133+F132</f>
        <v>-1132.3232670150576</v>
      </c>
      <c r="G134" s="56">
        <f t="shared" si="39"/>
        <v>-1001.6470372830529</v>
      </c>
      <c r="H134" s="56">
        <f t="shared" si="39"/>
        <v>-946.35908716700828</v>
      </c>
      <c r="I134" s="56">
        <f t="shared" si="39"/>
        <v>-735.5668141762435</v>
      </c>
      <c r="J134" s="56">
        <f t="shared" si="39"/>
        <v>-573.62034580203954</v>
      </c>
      <c r="K134" s="56">
        <f t="shared" si="39"/>
        <v>-532.53845616574131</v>
      </c>
      <c r="L134" s="56">
        <f t="shared" si="39"/>
        <v>-512.89839738150863</v>
      </c>
      <c r="M134" s="56">
        <f t="shared" si="39"/>
        <v>-492.93083830209434</v>
      </c>
    </row>
    <row r="136" spans="2:13" x14ac:dyDescent="0.3">
      <c r="C136" s="9" t="s">
        <v>353</v>
      </c>
      <c r="E136" s="43">
        <f>E106+E105+E92+E90+E78+E77+E66+E65</f>
        <v>-628.90642683438818</v>
      </c>
      <c r="F136" s="43">
        <f t="shared" ref="F136:M136" si="40">F106+F105+F92+F90+F78+F77+F66+F65</f>
        <v>-662.97219162125089</v>
      </c>
      <c r="G136" s="43">
        <f t="shared" si="40"/>
        <v>-697.7978850072052</v>
      </c>
      <c r="H136" s="43">
        <f t="shared" si="40"/>
        <v>-2980.0513538741538</v>
      </c>
      <c r="I136" s="43">
        <f t="shared" si="40"/>
        <v>-2404.2184915125595</v>
      </c>
      <c r="J136" s="43">
        <f t="shared" si="40"/>
        <v>-752.18482428608399</v>
      </c>
      <c r="K136" s="43">
        <f t="shared" si="40"/>
        <v>-742.64515061363591</v>
      </c>
      <c r="L136" s="43">
        <f t="shared" si="40"/>
        <v>-785.8492091280616</v>
      </c>
      <c r="M136" s="43">
        <f t="shared" si="40"/>
        <v>-829.37423017028755</v>
      </c>
    </row>
    <row r="137" spans="2:13" x14ac:dyDescent="0.3">
      <c r="C137" s="22" t="s">
        <v>354</v>
      </c>
      <c r="D137" s="21"/>
      <c r="E137" s="66">
        <f>E124</f>
        <v>0</v>
      </c>
      <c r="F137" s="66">
        <f t="shared" ref="F137:M137" si="41">F124</f>
        <v>-1239.3816682645911</v>
      </c>
      <c r="G137" s="66">
        <f t="shared" si="41"/>
        <v>0</v>
      </c>
      <c r="H137" s="66">
        <f t="shared" si="41"/>
        <v>0</v>
      </c>
      <c r="I137" s="66">
        <f t="shared" si="41"/>
        <v>0</v>
      </c>
      <c r="J137" s="66">
        <f t="shared" si="41"/>
        <v>0</v>
      </c>
      <c r="K137" s="66">
        <f t="shared" si="41"/>
        <v>0</v>
      </c>
      <c r="L137" s="66">
        <f t="shared" si="41"/>
        <v>0</v>
      </c>
      <c r="M137" s="66">
        <f t="shared" si="41"/>
        <v>0</v>
      </c>
    </row>
    <row r="138" spans="2:13" s="5" customFormat="1" x14ac:dyDescent="0.3">
      <c r="C138" s="5" t="s">
        <v>355</v>
      </c>
      <c r="E138" s="56">
        <f>E137+E136</f>
        <v>-628.90642683438818</v>
      </c>
      <c r="F138" s="56">
        <f t="shared" ref="F138:M138" si="42">F137+F136</f>
        <v>-1902.353859885842</v>
      </c>
      <c r="G138" s="56">
        <f t="shared" si="42"/>
        <v>-697.7978850072052</v>
      </c>
      <c r="H138" s="56">
        <f t="shared" si="42"/>
        <v>-2980.0513538741538</v>
      </c>
      <c r="I138" s="56">
        <f t="shared" si="42"/>
        <v>-2404.2184915125595</v>
      </c>
      <c r="J138" s="56">
        <f t="shared" si="42"/>
        <v>-752.18482428608399</v>
      </c>
      <c r="K138" s="56">
        <f t="shared" si="42"/>
        <v>-742.64515061363591</v>
      </c>
      <c r="L138" s="56">
        <f t="shared" si="42"/>
        <v>-785.8492091280616</v>
      </c>
      <c r="M138" s="56">
        <f t="shared" si="42"/>
        <v>-829.37423017028755</v>
      </c>
    </row>
    <row r="140" spans="2:13" x14ac:dyDescent="0.3">
      <c r="C140" s="4" t="s">
        <v>356</v>
      </c>
      <c r="E140" s="43">
        <f>E125</f>
        <v>1239.3816682645911</v>
      </c>
      <c r="F140" s="43">
        <f t="shared" ref="F140:M140" si="43">F125</f>
        <v>0</v>
      </c>
      <c r="G140" s="43">
        <f t="shared" si="43"/>
        <v>0</v>
      </c>
      <c r="H140" s="43">
        <f t="shared" si="43"/>
        <v>0</v>
      </c>
      <c r="I140" s="43">
        <f t="shared" si="43"/>
        <v>0</v>
      </c>
      <c r="J140" s="43">
        <f t="shared" si="43"/>
        <v>0</v>
      </c>
      <c r="K140" s="43">
        <f t="shared" si="43"/>
        <v>0</v>
      </c>
      <c r="L140" s="43">
        <f t="shared" si="43"/>
        <v>0</v>
      </c>
      <c r="M140" s="43">
        <f t="shared" si="43"/>
        <v>0</v>
      </c>
    </row>
    <row r="141" spans="2:13" x14ac:dyDescent="0.3"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2:13" x14ac:dyDescent="0.3">
      <c r="C142" s="9" t="s">
        <v>427</v>
      </c>
      <c r="E142" s="43">
        <f>-$L$33-E173</f>
        <v>-471.67982012579108</v>
      </c>
      <c r="F142" s="43">
        <f>E142-F173</f>
        <v>-419.27095122292542</v>
      </c>
      <c r="G142" s="43">
        <f t="shared" ref="G142:M142" si="44">F142-G173</f>
        <v>-366.86208232005976</v>
      </c>
      <c r="H142" s="43">
        <f t="shared" si="44"/>
        <v>-314.45321341719409</v>
      </c>
      <c r="I142" s="43">
        <f t="shared" si="44"/>
        <v>-262.04434451432843</v>
      </c>
      <c r="J142" s="43">
        <f t="shared" si="44"/>
        <v>-209.63547561146277</v>
      </c>
      <c r="K142" s="43">
        <f t="shared" si="44"/>
        <v>-157.2266067085971</v>
      </c>
      <c r="L142" s="43">
        <f t="shared" si="44"/>
        <v>-104.81773780573143</v>
      </c>
      <c r="M142" s="43">
        <f t="shared" si="44"/>
        <v>-52.408868902865748</v>
      </c>
    </row>
    <row r="143" spans="2:13" x14ac:dyDescent="0.3">
      <c r="C143" s="22" t="s">
        <v>429</v>
      </c>
      <c r="D143" s="21"/>
      <c r="E143" s="66">
        <f t="shared" ref="E143:M143" si="45">E126+E107+E93+E79+E67</f>
        <v>18237.324815760694</v>
      </c>
      <c r="F143" s="66">
        <f t="shared" si="45"/>
        <v>16489.053030449279</v>
      </c>
      <c r="G143" s="66">
        <f t="shared" si="45"/>
        <v>15942.25557852501</v>
      </c>
      <c r="H143" s="66">
        <f t="shared" si="45"/>
        <v>13110.184649072135</v>
      </c>
      <c r="I143" s="66">
        <f t="shared" si="45"/>
        <v>10850.986973492425</v>
      </c>
      <c r="J143" s="66">
        <f t="shared" si="45"/>
        <v>10240.922548820537</v>
      </c>
      <c r="K143" s="66">
        <f t="shared" si="45"/>
        <v>9637.5553898288126</v>
      </c>
      <c r="L143" s="66">
        <f t="shared" si="45"/>
        <v>8988.1986124902251</v>
      </c>
      <c r="M143" s="66">
        <f t="shared" si="45"/>
        <v>8292.5869654736198</v>
      </c>
    </row>
    <row r="144" spans="2:13" x14ac:dyDescent="0.3">
      <c r="C144" s="5" t="s">
        <v>428</v>
      </c>
      <c r="E144" s="43">
        <f>E143+E142</f>
        <v>17765.644995634902</v>
      </c>
      <c r="F144" s="43">
        <f t="shared" ref="F144:M144" si="46">F143+F142</f>
        <v>16069.782079226354</v>
      </c>
      <c r="G144" s="43">
        <f t="shared" si="46"/>
        <v>15575.39349620495</v>
      </c>
      <c r="H144" s="43">
        <f t="shared" si="46"/>
        <v>12795.73143565494</v>
      </c>
      <c r="I144" s="43">
        <f t="shared" si="46"/>
        <v>10588.942628978097</v>
      </c>
      <c r="J144" s="43">
        <f t="shared" si="46"/>
        <v>10031.287073209074</v>
      </c>
      <c r="K144" s="43">
        <f t="shared" si="46"/>
        <v>9480.328783120216</v>
      </c>
      <c r="L144" s="43">
        <f t="shared" si="46"/>
        <v>8883.3808746844934</v>
      </c>
      <c r="M144" s="43">
        <f t="shared" si="46"/>
        <v>8240.1780965707549</v>
      </c>
    </row>
    <row r="145" spans="2:13" x14ac:dyDescent="0.3">
      <c r="C145" s="5"/>
    </row>
    <row r="146" spans="2:13" x14ac:dyDescent="0.3">
      <c r="B146" s="1" t="s">
        <v>333</v>
      </c>
      <c r="C146" s="79"/>
      <c r="D146" s="3"/>
      <c r="E146" s="13" t="s">
        <v>16</v>
      </c>
      <c r="F146" s="13"/>
      <c r="G146" s="13"/>
      <c r="H146" s="13"/>
      <c r="I146" s="13"/>
      <c r="J146" s="13"/>
      <c r="K146" s="13"/>
      <c r="L146" s="13"/>
      <c r="M146" s="13"/>
    </row>
    <row r="147" spans="2:13" x14ac:dyDescent="0.3">
      <c r="B147" s="15" t="s">
        <v>332</v>
      </c>
      <c r="C147" s="80"/>
      <c r="D147" s="81" t="s">
        <v>334</v>
      </c>
      <c r="E147" s="17">
        <f>DATE(2024,12,31)</f>
        <v>45657</v>
      </c>
      <c r="F147" s="17">
        <f>EOMONTH(E147,12)</f>
        <v>46022</v>
      </c>
      <c r="G147" s="17">
        <f t="shared" ref="G147:M147" si="47">EOMONTH(F147,12)</f>
        <v>46387</v>
      </c>
      <c r="H147" s="17">
        <f t="shared" si="47"/>
        <v>46752</v>
      </c>
      <c r="I147" s="17">
        <f t="shared" si="47"/>
        <v>47118</v>
      </c>
      <c r="J147" s="17">
        <f t="shared" si="47"/>
        <v>47483</v>
      </c>
      <c r="K147" s="17">
        <f t="shared" si="47"/>
        <v>47848</v>
      </c>
      <c r="L147" s="17">
        <f t="shared" si="47"/>
        <v>48213</v>
      </c>
      <c r="M147" s="17">
        <f t="shared" si="47"/>
        <v>48579</v>
      </c>
    </row>
    <row r="148" spans="2:13" x14ac:dyDescent="0.3">
      <c r="C148" s="9" t="s">
        <v>371</v>
      </c>
      <c r="D148" s="167" t="s">
        <v>454</v>
      </c>
      <c r="E148" s="23">
        <f>Kroger_Financial_Model!I120</f>
        <v>160119.31631352773</v>
      </c>
      <c r="F148" s="23">
        <f>Kroger_Financial_Model!J120</f>
        <v>170376.10275880876</v>
      </c>
      <c r="G148" s="23">
        <f>Kroger_Financial_Model!K120</f>
        <v>180943.20279476227</v>
      </c>
      <c r="H148" s="23">
        <f>Kroger_Financial_Model!L120</f>
        <v>190374.93562204807</v>
      </c>
      <c r="I148" s="23">
        <f>Kroger_Financial_Model!M120</f>
        <v>197936.99881045602</v>
      </c>
      <c r="J148" s="23">
        <f>Kroger_Financial_Model!N120</f>
        <v>204803.68406798673</v>
      </c>
      <c r="K148" s="23">
        <f>Kroger_Financial_Model!O120</f>
        <v>211313.73069953884</v>
      </c>
      <c r="L148" s="23">
        <f>Kroger_Financial_Model!P120</f>
        <v>217407.65080486849</v>
      </c>
      <c r="M148" s="23">
        <f>Kroger_Financial_Model!Q120</f>
        <v>223185.77424522521</v>
      </c>
    </row>
    <row r="149" spans="2:13" x14ac:dyDescent="0.3">
      <c r="C149" s="9" t="s">
        <v>372</v>
      </c>
      <c r="D149" s="167" t="s">
        <v>454</v>
      </c>
      <c r="E149" s="24">
        <f>Albertsons_Financial_Model!H121</f>
        <v>81063.891774613279</v>
      </c>
      <c r="F149" s="24">
        <f>Albertsons_Financial_Model!I121</f>
        <v>84608.585436758993</v>
      </c>
      <c r="G149" s="24">
        <f>Albertsons_Financial_Model!J121</f>
        <v>88116.525441671663</v>
      </c>
      <c r="H149" s="24">
        <f>Albertsons_Financial_Model!K121</f>
        <v>91493.337798291439</v>
      </c>
      <c r="I149" s="24">
        <f>Albertsons_Financial_Model!L121</f>
        <v>94571.216991659763</v>
      </c>
      <c r="J149" s="24">
        <f>Albertsons_Financial_Model!M121</f>
        <v>97755.946227072651</v>
      </c>
      <c r="K149" s="24">
        <f>Albertsons_Financial_Model!N121</f>
        <v>101016.62810110475</v>
      </c>
      <c r="L149" s="24">
        <f>Albertsons_Financial_Model!O121</f>
        <v>104316.51497443677</v>
      </c>
      <c r="M149" s="24">
        <f>Albertsons_Financial_Model!P121</f>
        <v>107721.10871387346</v>
      </c>
    </row>
    <row r="150" spans="2:13" x14ac:dyDescent="0.3">
      <c r="C150" s="83" t="s">
        <v>373</v>
      </c>
      <c r="D150" s="84" t="s">
        <v>454</v>
      </c>
      <c r="E150" s="86">
        <f>(E149+E148)*Synergies!E11*Merger_Model!$H$17*Revenue_Synergy?</f>
        <v>12059.16040440705</v>
      </c>
      <c r="F150" s="86">
        <f>(F149+F148)*Synergies!F11*Merger_Model!$H$17*Revenue_Synergy?</f>
        <v>16574.004732711903</v>
      </c>
      <c r="G150" s="86">
        <f>(G149+G148)*Synergies!G11*Merger_Model!$H$17*Revenue_Synergy?</f>
        <v>21524.778258914714</v>
      </c>
      <c r="H150" s="86">
        <f>(H149+H148)*Synergies!H11*Merger_Model!$H$17*Revenue_Synergy?</f>
        <v>26777.485974932253</v>
      </c>
      <c r="I150" s="86">
        <f>(I149+I148)*Synergies!I11*Merger_Model!$H$17*Revenue_Synergy?</f>
        <v>32175.903738232737</v>
      </c>
      <c r="J150" s="86">
        <f>(J149+J148)*Synergies!J11*Merger_Model!$H$17*Revenue_Synergy?</f>
        <v>37819.953786882426</v>
      </c>
      <c r="K150" s="86">
        <f>(K149+K148)*Synergies!K11*Merger_Model!$H$17*Revenue_Synergy?</f>
        <v>43726.250232090104</v>
      </c>
      <c r="L150" s="86">
        <f>(L149+L148)*Synergies!L11*Merger_Model!$H$17*Revenue_Synergy?</f>
        <v>48258.624866895792</v>
      </c>
      <c r="M150" s="86">
        <f>(M149+M148)*Synergies!M11*Merger_Model!$H$17*Revenue_Synergy?</f>
        <v>49636.032443864802</v>
      </c>
    </row>
    <row r="151" spans="2:13" s="5" customFormat="1" x14ac:dyDescent="0.3">
      <c r="C151" s="5" t="s">
        <v>20</v>
      </c>
      <c r="D151" s="167" t="s">
        <v>454</v>
      </c>
      <c r="E151" s="26">
        <f>SUM(E148:E150)</f>
        <v>253242.36849254803</v>
      </c>
      <c r="F151" s="26">
        <f t="shared" ref="F151:M151" si="48">SUM(F148:F150)</f>
        <v>271558.69292827963</v>
      </c>
      <c r="G151" s="26">
        <f t="shared" si="48"/>
        <v>290584.50649534864</v>
      </c>
      <c r="H151" s="26">
        <f t="shared" si="48"/>
        <v>308645.75939527177</v>
      </c>
      <c r="I151" s="26">
        <f t="shared" si="48"/>
        <v>324684.11954034853</v>
      </c>
      <c r="J151" s="26">
        <f t="shared" si="48"/>
        <v>340379.58408194187</v>
      </c>
      <c r="K151" s="26">
        <f t="shared" si="48"/>
        <v>356056.60903273372</v>
      </c>
      <c r="L151" s="26">
        <f t="shared" si="48"/>
        <v>369982.79064620106</v>
      </c>
      <c r="M151" s="26">
        <f t="shared" si="48"/>
        <v>380542.91540296347</v>
      </c>
    </row>
    <row r="152" spans="2:13" x14ac:dyDescent="0.3">
      <c r="D152" s="167"/>
    </row>
    <row r="153" spans="2:13" x14ac:dyDescent="0.3">
      <c r="C153" s="9" t="s">
        <v>374</v>
      </c>
      <c r="D153" s="167" t="s">
        <v>454</v>
      </c>
      <c r="E153" s="24">
        <f>Kroger_Financial_Model!I121+Kroger_Financial_Model!I126</f>
        <v>-127663.21480774388</v>
      </c>
      <c r="F153" s="24">
        <f>Kroger_Financial_Model!J121+Kroger_Financial_Model!J126</f>
        <v>-135836.53962002145</v>
      </c>
      <c r="G153" s="24">
        <f>Kroger_Financial_Model!K121+Kroger_Financial_Model!K126</f>
        <v>-144257.16924965681</v>
      </c>
      <c r="H153" s="24">
        <f>Kroger_Financial_Model!L121+Kroger_Financial_Model!L126</f>
        <v>-151773.84043735015</v>
      </c>
      <c r="I153" s="24">
        <f>Kroger_Financial_Model!M121+Kroger_Financial_Model!M126</f>
        <v>-157801.79723695994</v>
      </c>
      <c r="J153" s="24">
        <f>Kroger_Financial_Model!N121+Kroger_Financial_Model!N126</f>
        <v>-163276.19535089182</v>
      </c>
      <c r="K153" s="24">
        <f>Kroger_Financial_Model!O121+Kroger_Financial_Model!O126</f>
        <v>-168466.79748811142</v>
      </c>
      <c r="L153" s="24">
        <f>Kroger_Financial_Model!P121+Kroger_Financial_Model!P126</f>
        <v>-173326.23786017273</v>
      </c>
      <c r="M153" s="24">
        <f>Kroger_Financial_Model!Q121+Kroger_Financial_Model!Q126</f>
        <v>-177934.42202159308</v>
      </c>
    </row>
    <row r="154" spans="2:13" x14ac:dyDescent="0.3">
      <c r="C154" s="9" t="s">
        <v>375</v>
      </c>
      <c r="D154" s="167" t="s">
        <v>454</v>
      </c>
      <c r="E154" s="24">
        <f>Albertsons_Financial_Model!H122</f>
        <v>-56631.155378361931</v>
      </c>
      <c r="F154" s="24">
        <f>Albertsons_Financial_Model!I122</f>
        <v>-59107.474898127868</v>
      </c>
      <c r="G154" s="24">
        <f>Albertsons_Financial_Model!J122</f>
        <v>-61558.118348957047</v>
      </c>
      <c r="H154" s="24">
        <f>Albertsons_Financial_Model!K122</f>
        <v>-63917.156153149852</v>
      </c>
      <c r="I154" s="24">
        <f>Albertsons_Financial_Model!L122</f>
        <v>-66067.359542349281</v>
      </c>
      <c r="J154" s="24">
        <f>Albertsons_Financial_Model!M122</f>
        <v>-68292.208266243892</v>
      </c>
      <c r="K154" s="24">
        <f>Albertsons_Financial_Model!N122</f>
        <v>-70570.117429069811</v>
      </c>
      <c r="L154" s="24">
        <f>Albertsons_Financial_Model!O122</f>
        <v>-72875.415165998915</v>
      </c>
      <c r="M154" s="24">
        <f>Albertsons_Financial_Model!P122</f>
        <v>-75253.861017011193</v>
      </c>
    </row>
    <row r="155" spans="2:13" x14ac:dyDescent="0.3">
      <c r="C155" s="83" t="s">
        <v>381</v>
      </c>
      <c r="D155" s="84" t="s">
        <v>454</v>
      </c>
      <c r="E155" s="86">
        <f>SUM(E153:E154)*E150/SUM(E148:E149)</f>
        <v>-9214.7185093052904</v>
      </c>
      <c r="F155" s="86">
        <f t="shared" ref="F155:M155" si="49">SUM(F153:F154)*F150/SUM(F148:F149)</f>
        <v>-12671.360943679705</v>
      </c>
      <c r="G155" s="86">
        <f t="shared" si="49"/>
        <v>-16465.223007889108</v>
      </c>
      <c r="H155" s="86">
        <f t="shared" si="49"/>
        <v>-20490.644676097498</v>
      </c>
      <c r="I155" s="86">
        <f t="shared" si="49"/>
        <v>-24625.607245724012</v>
      </c>
      <c r="J155" s="86">
        <f t="shared" si="49"/>
        <v>-28946.050452141964</v>
      </c>
      <c r="K155" s="86">
        <f t="shared" si="49"/>
        <v>-33465.168088405379</v>
      </c>
      <c r="L155" s="86">
        <f t="shared" si="49"/>
        <v>-36930.247953925747</v>
      </c>
      <c r="M155" s="86">
        <f t="shared" si="49"/>
        <v>-37978.242455790642</v>
      </c>
    </row>
    <row r="156" spans="2:13" s="5" customFormat="1" x14ac:dyDescent="0.3">
      <c r="C156" s="5" t="s">
        <v>376</v>
      </c>
      <c r="D156" s="167" t="s">
        <v>454</v>
      </c>
      <c r="E156" s="26">
        <f>SUM(E153:E155)</f>
        <v>-193509.0886954111</v>
      </c>
      <c r="F156" s="26">
        <f t="shared" ref="F156:M156" si="50">SUM(F153:F155)</f>
        <v>-207615.37546182901</v>
      </c>
      <c r="G156" s="26">
        <f t="shared" si="50"/>
        <v>-222280.51060650297</v>
      </c>
      <c r="H156" s="26">
        <f t="shared" si="50"/>
        <v>-236181.64126659749</v>
      </c>
      <c r="I156" s="26">
        <f t="shared" si="50"/>
        <v>-248494.76402503322</v>
      </c>
      <c r="J156" s="26">
        <f t="shared" si="50"/>
        <v>-260514.45406927768</v>
      </c>
      <c r="K156" s="26">
        <f t="shared" si="50"/>
        <v>-272502.08300558664</v>
      </c>
      <c r="L156" s="26">
        <f t="shared" si="50"/>
        <v>-283131.90098009736</v>
      </c>
      <c r="M156" s="26">
        <f t="shared" si="50"/>
        <v>-291166.52549439494</v>
      </c>
    </row>
    <row r="157" spans="2:13" x14ac:dyDescent="0.3">
      <c r="D157" s="167"/>
    </row>
    <row r="158" spans="2:13" s="5" customFormat="1" x14ac:dyDescent="0.3">
      <c r="C158" s="5" t="s">
        <v>23</v>
      </c>
      <c r="D158" s="167" t="s">
        <v>454</v>
      </c>
      <c r="E158" s="26">
        <f>E156+E151</f>
        <v>59733.279797136929</v>
      </c>
      <c r="F158" s="26">
        <f t="shared" ref="F158:M158" si="51">F156+F151</f>
        <v>63943.317466450622</v>
      </c>
      <c r="G158" s="26">
        <f t="shared" si="51"/>
        <v>68303.995888845675</v>
      </c>
      <c r="H158" s="26">
        <f t="shared" si="51"/>
        <v>72464.118128674279</v>
      </c>
      <c r="I158" s="26">
        <f t="shared" si="51"/>
        <v>76189.355515315314</v>
      </c>
      <c r="J158" s="26">
        <f t="shared" si="51"/>
        <v>79865.130012664187</v>
      </c>
      <c r="K158" s="26">
        <f t="shared" si="51"/>
        <v>83554.526027147076</v>
      </c>
      <c r="L158" s="26">
        <f t="shared" si="51"/>
        <v>86850.8896661037</v>
      </c>
      <c r="M158" s="26">
        <f t="shared" si="51"/>
        <v>89376.389908568526</v>
      </c>
    </row>
    <row r="159" spans="2:13" x14ac:dyDescent="0.3">
      <c r="C159" s="9" t="s">
        <v>377</v>
      </c>
      <c r="D159" s="167"/>
      <c r="E159" s="40">
        <f>E158/E151</f>
        <v>0.23587395802963615</v>
      </c>
      <c r="F159" s="40">
        <f t="shared" ref="F159:M159" si="52">F158/F151</f>
        <v>0.2354677612303078</v>
      </c>
      <c r="G159" s="40">
        <f t="shared" si="52"/>
        <v>0.23505725309528508</v>
      </c>
      <c r="H159" s="40">
        <f t="shared" si="52"/>
        <v>0.23478086422004596</v>
      </c>
      <c r="I159" s="40">
        <f t="shared" si="52"/>
        <v>0.2346568585589455</v>
      </c>
      <c r="J159" s="40">
        <f t="shared" si="52"/>
        <v>0.23463548857688749</v>
      </c>
      <c r="K159" s="40">
        <f t="shared" si="52"/>
        <v>0.23466640951878967</v>
      </c>
      <c r="L159" s="40">
        <f t="shared" si="52"/>
        <v>0.2347430525468833</v>
      </c>
      <c r="M159" s="40">
        <f t="shared" si="52"/>
        <v>0.23486546796943078</v>
      </c>
    </row>
    <row r="160" spans="2:13" x14ac:dyDescent="0.3">
      <c r="D160" s="167"/>
    </row>
    <row r="161" spans="3:13" x14ac:dyDescent="0.3">
      <c r="C161" s="9" t="s">
        <v>189</v>
      </c>
      <c r="D161" s="167" t="s">
        <v>454</v>
      </c>
      <c r="E161" s="24">
        <f>Kroger_Financial_Model!I125+Albertsons_Financial_Model!H125</f>
        <v>-1888.035080887402</v>
      </c>
      <c r="F161" s="24">
        <f>Kroger_Financial_Model!J125+Albertsons_Financial_Model!I125</f>
        <v>-1896.8489112352459</v>
      </c>
      <c r="G161" s="24">
        <f>Kroger_Financial_Model!K125+Albertsons_Financial_Model!J125</f>
        <v>-1914.6665308880415</v>
      </c>
      <c r="H161" s="24">
        <f>Kroger_Financial_Model!L125+Albertsons_Financial_Model!K125</f>
        <v>-1940.7258406987835</v>
      </c>
      <c r="I161" s="24">
        <f>Kroger_Financial_Model!M125+Albertsons_Financial_Model!L125</f>
        <v>-1973.5453082361639</v>
      </c>
      <c r="J161" s="24">
        <f>Kroger_Financial_Model!N125+Albertsons_Financial_Model!M125</f>
        <v>-2011.2047893957024</v>
      </c>
      <c r="K161" s="24">
        <f>Kroger_Financial_Model!O125+Albertsons_Financial_Model!N125</f>
        <v>-2053.0714341494645</v>
      </c>
      <c r="L161" s="24">
        <f>Kroger_Financial_Model!P125+Albertsons_Financial_Model!O125</f>
        <v>-2098.6783355121565</v>
      </c>
      <c r="M161" s="24">
        <f>Kroger_Financial_Model!Q125+Albertsons_Financial_Model!P125</f>
        <v>-2147.5214043937804</v>
      </c>
    </row>
    <row r="162" spans="3:13" x14ac:dyDescent="0.3">
      <c r="C162" s="9" t="s">
        <v>378</v>
      </c>
      <c r="D162" s="167" t="s">
        <v>454</v>
      </c>
      <c r="E162" s="24">
        <f>Kroger_Financial_Model!I124+Albertsons_Financial_Model!H126</f>
        <v>-46629.22579587259</v>
      </c>
      <c r="F162" s="24">
        <f>Kroger_Financial_Model!J124+Albertsons_Financial_Model!I126</f>
        <v>-49052.902407008485</v>
      </c>
      <c r="G162" s="24">
        <f>Kroger_Financial_Model!K124+Albertsons_Financial_Model!J126</f>
        <v>-51499.816976887945</v>
      </c>
      <c r="H162" s="24">
        <f>Kroger_Financial_Model!L124+Albertsons_Financial_Model!K126</f>
        <v>-53716.856697756637</v>
      </c>
      <c r="I162" s="24">
        <f>Kroger_Financial_Model!M124+Albertsons_Financial_Model!L126</f>
        <v>-55548.093958956757</v>
      </c>
      <c r="J162" s="24">
        <f>Kroger_Financial_Model!N124+Albertsons_Financial_Model!M126</f>
        <v>-57286.396744564147</v>
      </c>
      <c r="K162" s="24">
        <f>Kroger_Financial_Model!O124+Albertsons_Financial_Model!N126</f>
        <v>-58978.020192170254</v>
      </c>
      <c r="L162" s="24">
        <f>Kroger_Financial_Model!P124+Albertsons_Financial_Model!O126</f>
        <v>-60605.111768207367</v>
      </c>
      <c r="M162" s="24">
        <f>Kroger_Financial_Model!Q124+Albertsons_Financial_Model!P126</f>
        <v>-62201.056023552796</v>
      </c>
    </row>
    <row r="163" spans="3:13" x14ac:dyDescent="0.3">
      <c r="C163" s="87" t="s">
        <v>379</v>
      </c>
      <c r="D163" s="88" t="s">
        <v>454</v>
      </c>
      <c r="E163" s="89">
        <f>Synergies!E16*OpEx_Synergy?*Expense_Synergy_Factor</f>
        <v>200</v>
      </c>
      <c r="F163" s="89">
        <f>Synergies!F16*OpEx_Synergy?*Expense_Synergy_Factor</f>
        <v>500</v>
      </c>
      <c r="G163" s="89">
        <f>Synergies!G16*OpEx_Synergy?*Expense_Synergy_Factor</f>
        <v>680</v>
      </c>
      <c r="H163" s="89">
        <f>Synergies!H16*OpEx_Synergy?*Expense_Synergy_Factor</f>
        <v>750</v>
      </c>
      <c r="I163" s="89">
        <f>Synergies!I16*OpEx_Synergy?*Expense_Synergy_Factor</f>
        <v>800</v>
      </c>
      <c r="J163" s="89">
        <f>Synergies!J16*OpEx_Synergy?*Expense_Synergy_Factor</f>
        <v>900</v>
      </c>
      <c r="K163" s="89">
        <f>Synergies!K16*OpEx_Synergy?*Expense_Synergy_Factor</f>
        <v>1000</v>
      </c>
      <c r="L163" s="89">
        <f>Synergies!L16*OpEx_Synergy?*Expense_Synergy_Factor</f>
        <v>1000</v>
      </c>
      <c r="M163" s="89">
        <f>Synergies!M16*OpEx_Synergy?*Expense_Synergy_Factor</f>
        <v>1000</v>
      </c>
    </row>
    <row r="164" spans="3:13" x14ac:dyDescent="0.3">
      <c r="C164" s="93" t="s">
        <v>380</v>
      </c>
      <c r="D164" s="94" t="s">
        <v>454</v>
      </c>
      <c r="E164" s="95">
        <f>E162*E150/SUM(E148:E149)</f>
        <v>-2331.4612897936295</v>
      </c>
      <c r="F164" s="95">
        <f t="shared" ref="F164:M164" si="53">F162*F150/SUM(F148:F149)</f>
        <v>-3188.4386564555512</v>
      </c>
      <c r="G164" s="95">
        <f t="shared" si="53"/>
        <v>-4119.9853581510361</v>
      </c>
      <c r="H164" s="95">
        <f t="shared" si="53"/>
        <v>-5103.1013862868804</v>
      </c>
      <c r="I164" s="95">
        <f t="shared" si="53"/>
        <v>-6110.2903354852433</v>
      </c>
      <c r="J164" s="95">
        <f t="shared" si="53"/>
        <v>-7160.7995930705183</v>
      </c>
      <c r="K164" s="95">
        <f t="shared" si="53"/>
        <v>-8256.9228269038358</v>
      </c>
      <c r="L164" s="95">
        <f t="shared" si="53"/>
        <v>-9090.7667652311065</v>
      </c>
      <c r="M164" s="95">
        <f t="shared" si="53"/>
        <v>-9330.1584035329197</v>
      </c>
    </row>
    <row r="165" spans="3:13" x14ac:dyDescent="0.3">
      <c r="C165" s="93" t="s">
        <v>385</v>
      </c>
      <c r="D165" s="94" t="s">
        <v>454</v>
      </c>
      <c r="E165" s="95">
        <f>IF($L$43+SUM($D165:D165)&gt;$L$43/$L$44,-$L$43/$L$44,-($L$43+SUM($D165:D165)))</f>
        <v>-61.493135211387347</v>
      </c>
      <c r="F165" s="95">
        <f>IF($L$43+SUM($D165:E165)&gt;$L$43/$L$44,-$L$43/$L$44,-($L$43+SUM($D165:E165)))</f>
        <v>-61.493135211387347</v>
      </c>
      <c r="G165" s="95">
        <f>IF($L$43+SUM($D165:F165)&gt;$L$43/$L$44,-$L$43/$L$44,-($L$43+SUM($D165:F165)))</f>
        <v>-61.493135211387347</v>
      </c>
      <c r="H165" s="95">
        <f>IF($L$43+SUM($D165:G165)&gt;$L$43/$L$44,-$L$43/$L$44,-($L$43+SUM($D165:G165)))</f>
        <v>-61.493135211387347</v>
      </c>
      <c r="I165" s="95">
        <f>IF($L$43+SUM($D165:H165)&gt;$L$43/$L$44,-$L$43/$L$44,-($L$43+SUM($D165:H165)))</f>
        <v>-61.493135211387347</v>
      </c>
      <c r="J165" s="95">
        <f>IF($L$43+SUM($D165:I165)&gt;$L$43/$L$44,-$L$43/$L$44,-($L$43+SUM($D165:I165)))</f>
        <v>-61.493135211387347</v>
      </c>
      <c r="K165" s="95">
        <f>IF($L$43+SUM($D165:J165)&gt;$L$43/$L$44,-$L$43/$L$44,-($L$43+SUM($D165:J165)))</f>
        <v>-61.493135211387347</v>
      </c>
      <c r="L165" s="95">
        <f>IF($L$43+SUM($D165:K165)&gt;$L$43/$L$44,-$L$43/$L$44,-($L$43+SUM($D165:K165)))</f>
        <v>-61.493135211387347</v>
      </c>
      <c r="M165" s="95">
        <f>IF($L$43+SUM($D165:L165)&gt;$L$43/$L$44,-$L$43/$L$44,-($L$43+SUM($D165:L165)))</f>
        <v>-61.493135211387347</v>
      </c>
    </row>
    <row r="166" spans="3:13" x14ac:dyDescent="0.3">
      <c r="C166" s="93" t="s">
        <v>386</v>
      </c>
      <c r="D166" s="94" t="s">
        <v>454</v>
      </c>
      <c r="E166" s="95">
        <f>IF($L$52+SUM($D166:D166)&gt;$L$52/$L$53,-$L$52/$L$53,-($L$52+SUM($D166:D166)))</f>
        <v>-897.49264622241992</v>
      </c>
      <c r="F166" s="95">
        <f>IF($L$52+SUM($D166:E166)&gt;$L$52/$L$53,-$L$52/$L$53,-($L$52+SUM($D166:E166)))</f>
        <v>-897.49264622241992</v>
      </c>
      <c r="G166" s="95">
        <f>IF($L$52+SUM($D166:F166)&gt;$L$52/$L$53,-$L$52/$L$53,-($L$52+SUM($D166:F166)))</f>
        <v>-897.49264622241992</v>
      </c>
      <c r="H166" s="95">
        <f>IF($L$52+SUM($D166:G166)&gt;$L$52/$L$53,-$L$52/$L$53,-($L$52+SUM($D166:G166)))</f>
        <v>-897.49264622241992</v>
      </c>
      <c r="I166" s="95">
        <f>IF($L$52+SUM($D166:H166)&gt;$L$52/$L$53,-$L$52/$L$53,-($L$52+SUM($D166:H166)))</f>
        <v>-897.49264622241981</v>
      </c>
      <c r="J166" s="95">
        <f>IF($L$52+SUM($D166:I166)&gt;$L$52/$L$53,-$L$52/$L$53,-($L$52+SUM($D166:I166)))</f>
        <v>0</v>
      </c>
      <c r="K166" s="95">
        <f>IF($L$52+SUM($D166:J166)&gt;$L$52/$L$53,-$L$52/$L$53,-($L$52+SUM($D166:J166)))</f>
        <v>0</v>
      </c>
      <c r="L166" s="95">
        <f>IF($L$52+SUM($D166:K166)&gt;$L$52/$L$53,-$L$52/$L$53,-($L$52+SUM($D166:K166)))</f>
        <v>0</v>
      </c>
      <c r="M166" s="95">
        <f>IF($L$52+SUM($D166:L166)&gt;$L$52/$L$53,-$L$52/$L$53,-($L$52+SUM($D166:L166)))</f>
        <v>0</v>
      </c>
    </row>
    <row r="167" spans="3:13" x14ac:dyDescent="0.3">
      <c r="C167" s="90" t="s">
        <v>382</v>
      </c>
      <c r="D167" s="91" t="s">
        <v>454</v>
      </c>
      <c r="E167" s="92">
        <f>-Synergies!E19*OpEx_Synergy?*Expense_Synergy_Factor</f>
        <v>-100</v>
      </c>
      <c r="F167" s="92">
        <f>-Synergies!F19*OpEx_Synergy?*Expense_Synergy_Factor</f>
        <v>-100</v>
      </c>
      <c r="G167" s="92">
        <f>-Synergies!G19*OpEx_Synergy?*Expense_Synergy_Factor</f>
        <v>-100</v>
      </c>
      <c r="H167" s="92">
        <f>-Synergies!H19*OpEx_Synergy?*Expense_Synergy_Factor</f>
        <v>-100</v>
      </c>
      <c r="I167" s="92">
        <f>-Synergies!I19*OpEx_Synergy?*Expense_Synergy_Factor</f>
        <v>0</v>
      </c>
      <c r="J167" s="92">
        <f>-Synergies!J19*OpEx_Synergy?*Expense_Synergy_Factor</f>
        <v>0</v>
      </c>
      <c r="K167" s="92">
        <f>-Synergies!K19*OpEx_Synergy?*Expense_Synergy_Factor</f>
        <v>0</v>
      </c>
      <c r="L167" s="92">
        <f>-Synergies!L19*OpEx_Synergy?*Expense_Synergy_Factor</f>
        <v>0</v>
      </c>
      <c r="M167" s="92">
        <f>-Synergies!M19*OpEx_Synergy?*Expense_Synergy_Factor</f>
        <v>0</v>
      </c>
    </row>
    <row r="168" spans="3:13" s="5" customFormat="1" x14ac:dyDescent="0.3">
      <c r="C168" s="5" t="s">
        <v>25</v>
      </c>
      <c r="D168" s="167" t="s">
        <v>454</v>
      </c>
      <c r="E168" s="26">
        <f>SUM(E161:E167)+E158</f>
        <v>8025.5718491495063</v>
      </c>
      <c r="F168" s="26">
        <f t="shared" ref="F168:M168" si="54">SUM(F161:F167)+F158</f>
        <v>9246.1417103175336</v>
      </c>
      <c r="G168" s="26">
        <f t="shared" si="54"/>
        <v>10390.541241484854</v>
      </c>
      <c r="H168" s="26">
        <f t="shared" si="54"/>
        <v>11394.448422498179</v>
      </c>
      <c r="I168" s="26">
        <f t="shared" si="54"/>
        <v>12398.440131203344</v>
      </c>
      <c r="J168" s="26">
        <f t="shared" si="54"/>
        <v>14245.23575042242</v>
      </c>
      <c r="K168" s="26">
        <f t="shared" si="54"/>
        <v>15205.018438712126</v>
      </c>
      <c r="L168" s="26">
        <f t="shared" si="54"/>
        <v>15994.839661941674</v>
      </c>
      <c r="M168" s="26">
        <f t="shared" si="54"/>
        <v>16636.160941877635</v>
      </c>
    </row>
    <row r="169" spans="3:13" s="5" customFormat="1" x14ac:dyDescent="0.3">
      <c r="D169" s="167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3:13" x14ac:dyDescent="0.3">
      <c r="C170" s="9" t="s">
        <v>341</v>
      </c>
      <c r="D170" s="167" t="s">
        <v>454</v>
      </c>
      <c r="E170" s="29">
        <f>Kroger_Financial_Model!I130+Albertsons_Financial_Model!H128</f>
        <v>-1225.7310000000002</v>
      </c>
      <c r="F170" s="29">
        <f>Kroger_Financial_Model!J130+Albertsons_Financial_Model!I128</f>
        <v>-789.77798560000008</v>
      </c>
      <c r="G170" s="29">
        <f>Kroger_Financial_Model!K130+Albertsons_Financial_Model!J128</f>
        <v>-990.31532502360005</v>
      </c>
      <c r="H170" s="29">
        <f>Kroger_Financial_Model!L130+Albertsons_Financial_Model!K128</f>
        <v>-1037.6932075063517</v>
      </c>
      <c r="I170" s="29">
        <f>Kroger_Financial_Model!M130+Albertsons_Financial_Model!L128</f>
        <v>-811.96475361933358</v>
      </c>
      <c r="J170" s="29">
        <f>Kroger_Financial_Model!N130+Albertsons_Financial_Model!M128</f>
        <v>-647.3522957843976</v>
      </c>
      <c r="K170" s="29">
        <f>Kroger_Financial_Model!O130+Albertsons_Financial_Model!N128</f>
        <v>-587.59621615885987</v>
      </c>
      <c r="L170" s="29">
        <f>Kroger_Financial_Model!P130+Albertsons_Financial_Model!O128</f>
        <v>-527.95477515271102</v>
      </c>
      <c r="M170" s="29">
        <f>Kroger_Financial_Model!Q130+Albertsons_Financial_Model!P128</f>
        <v>-445.34739447193232</v>
      </c>
    </row>
    <row r="171" spans="3:13" x14ac:dyDescent="0.3">
      <c r="C171" s="87" t="s">
        <v>384</v>
      </c>
      <c r="D171" s="88" t="s">
        <v>454</v>
      </c>
      <c r="E171" s="89">
        <f t="shared" ref="E171:M171" si="55">E134</f>
        <v>-1101.4597281085605</v>
      </c>
      <c r="F171" s="89">
        <f t="shared" si="55"/>
        <v>-1132.3232670150576</v>
      </c>
      <c r="G171" s="89">
        <f t="shared" si="55"/>
        <v>-1001.6470372830529</v>
      </c>
      <c r="H171" s="89">
        <f t="shared" si="55"/>
        <v>-946.35908716700828</v>
      </c>
      <c r="I171" s="89">
        <f t="shared" si="55"/>
        <v>-735.5668141762435</v>
      </c>
      <c r="J171" s="89">
        <f t="shared" si="55"/>
        <v>-573.62034580203954</v>
      </c>
      <c r="K171" s="89">
        <f t="shared" si="55"/>
        <v>-532.53845616574131</v>
      </c>
      <c r="L171" s="89">
        <f t="shared" si="55"/>
        <v>-512.89839738150863</v>
      </c>
      <c r="M171" s="89">
        <f t="shared" si="55"/>
        <v>-492.93083830209434</v>
      </c>
    </row>
    <row r="172" spans="3:13" x14ac:dyDescent="0.3">
      <c r="C172" s="93" t="s">
        <v>387</v>
      </c>
      <c r="D172" s="94" t="s">
        <v>454</v>
      </c>
      <c r="E172" s="95">
        <f>-($E$35+$E$31)*$M$5</f>
        <v>-15.998961607033817</v>
      </c>
      <c r="F172" s="95">
        <f t="shared" ref="F172:M172" si="56">-($E$35+$E$31)*$M$5</f>
        <v>-15.998961607033817</v>
      </c>
      <c r="G172" s="95">
        <f t="shared" si="56"/>
        <v>-15.998961607033817</v>
      </c>
      <c r="H172" s="95">
        <f t="shared" si="56"/>
        <v>-15.998961607033817</v>
      </c>
      <c r="I172" s="95">
        <f t="shared" si="56"/>
        <v>-15.998961607033817</v>
      </c>
      <c r="J172" s="95">
        <f t="shared" si="56"/>
        <v>-15.998961607033817</v>
      </c>
      <c r="K172" s="95">
        <f t="shared" si="56"/>
        <v>-15.998961607033817</v>
      </c>
      <c r="L172" s="95">
        <f t="shared" si="56"/>
        <v>-15.998961607033817</v>
      </c>
      <c r="M172" s="95">
        <f t="shared" si="56"/>
        <v>-15.998961607033817</v>
      </c>
    </row>
    <row r="173" spans="3:13" x14ac:dyDescent="0.3">
      <c r="C173" s="90" t="s">
        <v>388</v>
      </c>
      <c r="D173" s="91" t="s">
        <v>454</v>
      </c>
      <c r="E173" s="92">
        <f>-MIN($L$33/10,$L$33+SUM($D173:D173))</f>
        <v>-52.408868902865677</v>
      </c>
      <c r="F173" s="92">
        <f>-MIN($L$33/10,$L$33+SUM($D173:E173))</f>
        <v>-52.408868902865677</v>
      </c>
      <c r="G173" s="92">
        <f>-MIN($L$33/10,$L$33+SUM($D173:F173))</f>
        <v>-52.408868902865677</v>
      </c>
      <c r="H173" s="92">
        <f>-MIN($L$33/10,$L$33+SUM($D173:G173))</f>
        <v>-52.408868902865677</v>
      </c>
      <c r="I173" s="92">
        <f>-MIN($L$33/10,$L$33+SUM($D173:H173))</f>
        <v>-52.408868902865677</v>
      </c>
      <c r="J173" s="92">
        <f>-MIN($L$33/10,$L$33+SUM($D173:I173))</f>
        <v>-52.408868902865677</v>
      </c>
      <c r="K173" s="92">
        <f>-MIN($L$33/10,$L$33+SUM($D173:J173))</f>
        <v>-52.408868902865677</v>
      </c>
      <c r="L173" s="92">
        <f>-MIN($L$33/10,$L$33+SUM($D173:K173))</f>
        <v>-52.408868902865677</v>
      </c>
      <c r="M173" s="92">
        <f>-MIN($L$33/10,$L$33+SUM($D173:L173))</f>
        <v>-52.408868902865677</v>
      </c>
    </row>
    <row r="174" spans="3:13" x14ac:dyDescent="0.3">
      <c r="C174" s="96" t="s">
        <v>383</v>
      </c>
      <c r="D174" s="170" t="s">
        <v>454</v>
      </c>
      <c r="E174" s="97">
        <f>Kroger_Financial_Model!I131+Albertsons_Financial_Model!H129</f>
        <v>137.71400548260524</v>
      </c>
      <c r="F174" s="97">
        <f>Kroger_Financial_Model!J131+Albertsons_Financial_Model!I129</f>
        <v>144.57759546377906</v>
      </c>
      <c r="G174" s="97">
        <f>Kroger_Financial_Model!K131+Albertsons_Financial_Model!J129</f>
        <v>151.37001934215249</v>
      </c>
      <c r="H174" s="97">
        <f>Kroger_Financial_Model!L131+Albertsons_Financial_Model!K129</f>
        <v>157.90854076833682</v>
      </c>
      <c r="I174" s="97">
        <f>Kroger_Financial_Model!M131+Albertsons_Financial_Model!L129</f>
        <v>163.8682379406105</v>
      </c>
      <c r="J174" s="97">
        <f>Kroger_Financial_Model!N131+Albertsons_Financial_Model!M129</f>
        <v>170.03482883853863</v>
      </c>
      <c r="K174" s="97">
        <f>Kroger_Financial_Model!O131+Albertsons_Financial_Model!N129</f>
        <v>176.34848682297911</v>
      </c>
      <c r="L174" s="97">
        <f>Kroger_Financial_Model!P131+Albertsons_Financial_Model!O129</f>
        <v>182.73805744361729</v>
      </c>
      <c r="M174" s="97">
        <f>Kroger_Financial_Model!Q131+Albertsons_Financial_Model!P129</f>
        <v>189.33037195855331</v>
      </c>
    </row>
    <row r="175" spans="3:13" s="5" customFormat="1" x14ac:dyDescent="0.3">
      <c r="C175" s="5" t="s">
        <v>31</v>
      </c>
      <c r="D175" s="167" t="s">
        <v>454</v>
      </c>
      <c r="E175" s="26">
        <f>SUM(E168:E174)</f>
        <v>5767.6872960136516</v>
      </c>
      <c r="F175" s="26">
        <f t="shared" ref="F175:M175" si="57">SUM(F168:F174)</f>
        <v>7400.2102226563566</v>
      </c>
      <c r="G175" s="26">
        <f t="shared" si="57"/>
        <v>8481.5410680104542</v>
      </c>
      <c r="H175" s="26">
        <f t="shared" si="57"/>
        <v>9499.8968380832557</v>
      </c>
      <c r="I175" s="26">
        <f t="shared" si="57"/>
        <v>10946.368970838479</v>
      </c>
      <c r="J175" s="26">
        <f t="shared" si="57"/>
        <v>13125.890107164623</v>
      </c>
      <c r="K175" s="26">
        <f t="shared" si="57"/>
        <v>14192.824422700605</v>
      </c>
      <c r="L175" s="26">
        <f t="shared" si="57"/>
        <v>15068.316716341173</v>
      </c>
      <c r="M175" s="26">
        <f t="shared" si="57"/>
        <v>15818.805250552263</v>
      </c>
    </row>
    <row r="176" spans="3:13" x14ac:dyDescent="0.3">
      <c r="C176" s="22" t="s">
        <v>165</v>
      </c>
      <c r="D176" s="171" t="s">
        <v>454</v>
      </c>
      <c r="E176" s="25">
        <f t="shared" ref="E176:M176" si="58">-E175*Kroger_Tax_Rate</f>
        <v>-1173.3159283390496</v>
      </c>
      <c r="F176" s="25">
        <f t="shared" si="58"/>
        <v>-1505.4187374723472</v>
      </c>
      <c r="G176" s="25">
        <f t="shared" si="58"/>
        <v>-1725.3929905035727</v>
      </c>
      <c r="H176" s="25">
        <f t="shared" si="58"/>
        <v>-1932.5562752690664</v>
      </c>
      <c r="I176" s="25">
        <f t="shared" si="58"/>
        <v>-2226.8109229565825</v>
      </c>
      <c r="J176" s="25">
        <f t="shared" si="58"/>
        <v>-2670.1891323075906</v>
      </c>
      <c r="K176" s="25">
        <f t="shared" si="58"/>
        <v>-2887.2347110051578</v>
      </c>
      <c r="L176" s="25">
        <f t="shared" si="58"/>
        <v>-3065.3353951349195</v>
      </c>
      <c r="M176" s="25">
        <f t="shared" si="58"/>
        <v>-3218.0066663105081</v>
      </c>
    </row>
    <row r="177" spans="2:14" s="5" customFormat="1" x14ac:dyDescent="0.3">
      <c r="C177" s="5" t="s">
        <v>33</v>
      </c>
      <c r="D177" s="167" t="s">
        <v>454</v>
      </c>
      <c r="E177" s="26">
        <f>E176+E175</f>
        <v>4594.371367674602</v>
      </c>
      <c r="F177" s="26">
        <f t="shared" ref="F177:M177" si="59">F176+F175</f>
        <v>5894.7914851840096</v>
      </c>
      <c r="G177" s="26">
        <f t="shared" si="59"/>
        <v>6756.1480775068812</v>
      </c>
      <c r="H177" s="26">
        <f t="shared" si="59"/>
        <v>7567.3405628141891</v>
      </c>
      <c r="I177" s="26">
        <f t="shared" si="59"/>
        <v>8719.5580478818956</v>
      </c>
      <c r="J177" s="26">
        <f t="shared" si="59"/>
        <v>10455.700974857033</v>
      </c>
      <c r="K177" s="26">
        <f t="shared" si="59"/>
        <v>11305.589711695447</v>
      </c>
      <c r="L177" s="26">
        <f t="shared" si="59"/>
        <v>12002.981321206253</v>
      </c>
      <c r="M177" s="26">
        <f t="shared" si="59"/>
        <v>12600.798584241755</v>
      </c>
    </row>
    <row r="178" spans="2:14" x14ac:dyDescent="0.3">
      <c r="D178" s="167"/>
    </row>
    <row r="179" spans="2:14" x14ac:dyDescent="0.3">
      <c r="C179" s="4" t="s">
        <v>442</v>
      </c>
      <c r="D179" s="167" t="s">
        <v>455</v>
      </c>
      <c r="E179" s="4">
        <f t="shared" ref="E179:M179" si="60">Kroger_Shares</f>
        <v>727</v>
      </c>
      <c r="F179" s="4">
        <f t="shared" si="60"/>
        <v>727</v>
      </c>
      <c r="G179" s="4">
        <f t="shared" si="60"/>
        <v>727</v>
      </c>
      <c r="H179" s="4">
        <f t="shared" si="60"/>
        <v>727</v>
      </c>
      <c r="I179" s="4">
        <f t="shared" si="60"/>
        <v>727</v>
      </c>
      <c r="J179" s="4">
        <f t="shared" si="60"/>
        <v>727</v>
      </c>
      <c r="K179" s="4">
        <f t="shared" si="60"/>
        <v>727</v>
      </c>
      <c r="L179" s="4">
        <f t="shared" si="60"/>
        <v>727</v>
      </c>
      <c r="M179" s="4">
        <f t="shared" si="60"/>
        <v>727</v>
      </c>
    </row>
    <row r="180" spans="2:14" x14ac:dyDescent="0.3">
      <c r="C180" s="4" t="s">
        <v>443</v>
      </c>
      <c r="D180" s="167" t="s">
        <v>456</v>
      </c>
      <c r="E180" s="24">
        <f>Kroger_Financial_Model!J134</f>
        <v>5029.2775518013541</v>
      </c>
      <c r="F180" s="24">
        <f>Kroger_Financial_Model!K134</f>
        <v>5339.0163982294598</v>
      </c>
      <c r="G180" s="24">
        <f>Kroger_Financial_Model!L134</f>
        <v>5740.0951331362676</v>
      </c>
      <c r="H180" s="24">
        <f>Kroger_Financial_Model!M134</f>
        <v>6146.2551713403636</v>
      </c>
      <c r="I180" s="24">
        <f>Kroger_Financial_Model!N134</f>
        <v>6547.5822911155983</v>
      </c>
      <c r="J180" s="24">
        <f>Kroger_Financial_Model!O134</f>
        <v>6934.6558514035341</v>
      </c>
      <c r="K180" s="24">
        <f>Kroger_Financial_Model!P134</f>
        <v>7312.7358826548643</v>
      </c>
      <c r="L180" s="24">
        <f>Kroger_Financial_Model!Q134</f>
        <v>7685.2510559934653</v>
      </c>
      <c r="M180" s="24">
        <f>Kroger_Financial_Model!R134</f>
        <v>8050.0170897314556</v>
      </c>
    </row>
    <row r="181" spans="2:14" x14ac:dyDescent="0.3">
      <c r="C181" s="4" t="s">
        <v>444</v>
      </c>
      <c r="D181" s="167" t="s">
        <v>456</v>
      </c>
      <c r="E181" s="64">
        <f>E180/E179</f>
        <v>6.9178508277872819</v>
      </c>
      <c r="F181" s="64">
        <f t="shared" ref="F181:M181" si="61">F180/F179</f>
        <v>7.3439015106319943</v>
      </c>
      <c r="G181" s="64">
        <f t="shared" si="61"/>
        <v>7.8955916549329679</v>
      </c>
      <c r="H181" s="64">
        <f t="shared" si="61"/>
        <v>8.4542712122976109</v>
      </c>
      <c r="I181" s="64">
        <f t="shared" si="61"/>
        <v>9.0063030139141649</v>
      </c>
      <c r="J181" s="64">
        <f t="shared" si="61"/>
        <v>9.5387288189869803</v>
      </c>
      <c r="K181" s="64">
        <f t="shared" si="61"/>
        <v>10.058783882606416</v>
      </c>
      <c r="L181" s="64">
        <f t="shared" si="61"/>
        <v>10.571184396139568</v>
      </c>
      <c r="M181" s="64">
        <f t="shared" si="61"/>
        <v>11.072925845572842</v>
      </c>
    </row>
    <row r="182" spans="2:14" x14ac:dyDescent="0.3">
      <c r="D182" s="167"/>
    </row>
    <row r="183" spans="2:14" x14ac:dyDescent="0.3">
      <c r="C183" s="4" t="s">
        <v>445</v>
      </c>
      <c r="D183" s="167" t="s">
        <v>455</v>
      </c>
      <c r="E183" s="4">
        <f>E179+L8</f>
        <v>727</v>
      </c>
      <c r="F183" s="4">
        <f t="shared" ref="F183:M183" si="62">F179+M8</f>
        <v>727</v>
      </c>
      <c r="G183" s="4">
        <f t="shared" si="62"/>
        <v>727</v>
      </c>
      <c r="H183" s="4">
        <f t="shared" si="62"/>
        <v>727</v>
      </c>
      <c r="I183" s="4">
        <f t="shared" si="62"/>
        <v>727</v>
      </c>
      <c r="J183" s="4">
        <f t="shared" si="62"/>
        <v>727</v>
      </c>
      <c r="K183" s="4">
        <f t="shared" si="62"/>
        <v>727</v>
      </c>
      <c r="L183" s="4">
        <f t="shared" si="62"/>
        <v>727</v>
      </c>
      <c r="M183" s="4">
        <f t="shared" si="62"/>
        <v>727</v>
      </c>
    </row>
    <row r="184" spans="2:14" x14ac:dyDescent="0.3">
      <c r="C184" s="4" t="s">
        <v>446</v>
      </c>
      <c r="D184" s="167" t="s">
        <v>456</v>
      </c>
      <c r="E184" s="43">
        <f>E177/E183</f>
        <v>6.3196304919870725</v>
      </c>
      <c r="F184" s="43">
        <f t="shared" ref="F184:M184" si="63">F177/F183</f>
        <v>8.1083789342283481</v>
      </c>
      <c r="G184" s="43">
        <f t="shared" si="63"/>
        <v>9.2931885522790658</v>
      </c>
      <c r="H184" s="43">
        <f t="shared" si="63"/>
        <v>10.408996647612364</v>
      </c>
      <c r="I184" s="43">
        <f t="shared" si="63"/>
        <v>11.99389002459683</v>
      </c>
      <c r="J184" s="43">
        <f t="shared" si="63"/>
        <v>14.381982083709811</v>
      </c>
      <c r="K184" s="43">
        <f t="shared" si="63"/>
        <v>15.551017485138168</v>
      </c>
      <c r="L184" s="43">
        <f t="shared" si="63"/>
        <v>16.51029067566197</v>
      </c>
      <c r="M184" s="43">
        <f t="shared" si="63"/>
        <v>17.332597777498975</v>
      </c>
    </row>
    <row r="185" spans="2:14" x14ac:dyDescent="0.3">
      <c r="D185" s="167"/>
    </row>
    <row r="186" spans="2:14" s="5" customFormat="1" x14ac:dyDescent="0.3">
      <c r="C186" s="5" t="s">
        <v>447</v>
      </c>
      <c r="D186" s="167" t="s">
        <v>457</v>
      </c>
      <c r="E186" s="56">
        <f>E184-E181</f>
        <v>-0.59822033580020939</v>
      </c>
      <c r="F186" s="56">
        <f t="shared" ref="F186:M186" si="64">F184-F181</f>
        <v>0.76447742359635384</v>
      </c>
      <c r="G186" s="56">
        <f t="shared" si="64"/>
        <v>1.3975968973460979</v>
      </c>
      <c r="H186" s="56">
        <f t="shared" si="64"/>
        <v>1.954725435314753</v>
      </c>
      <c r="I186" s="56">
        <f t="shared" si="64"/>
        <v>2.987587010682665</v>
      </c>
      <c r="J186" s="56">
        <f t="shared" si="64"/>
        <v>4.843253264722831</v>
      </c>
      <c r="K186" s="56">
        <f t="shared" si="64"/>
        <v>5.4922336025317513</v>
      </c>
      <c r="L186" s="56">
        <f t="shared" si="64"/>
        <v>5.9391062795224023</v>
      </c>
      <c r="M186" s="56">
        <f t="shared" si="64"/>
        <v>6.2596719319261336</v>
      </c>
      <c r="N186" s="56"/>
    </row>
    <row r="187" spans="2:14" s="5" customFormat="1" x14ac:dyDescent="0.3">
      <c r="C187" s="5" t="s">
        <v>448</v>
      </c>
      <c r="D187" s="167" t="s">
        <v>457</v>
      </c>
      <c r="E187" s="135">
        <f>E186/E181</f>
        <v>-8.6474882256394922E-2</v>
      </c>
      <c r="F187" s="135">
        <f t="shared" ref="F187:M187" si="65">F186/F181</f>
        <v>0.10409690577816112</v>
      </c>
      <c r="G187" s="135">
        <f t="shared" si="65"/>
        <v>0.17700977436857621</v>
      </c>
      <c r="H187" s="135">
        <f t="shared" si="65"/>
        <v>0.231211583616031</v>
      </c>
      <c r="I187" s="135">
        <f t="shared" si="65"/>
        <v>0.33172179595412604</v>
      </c>
      <c r="J187" s="135">
        <f t="shared" si="65"/>
        <v>0.50774619518297492</v>
      </c>
      <c r="K187" s="135">
        <f t="shared" si="65"/>
        <v>0.54601367984741034</v>
      </c>
      <c r="L187" s="135">
        <f t="shared" si="65"/>
        <v>0.5618203275019279</v>
      </c>
      <c r="M187" s="135">
        <f t="shared" si="65"/>
        <v>0.56531327123705655</v>
      </c>
      <c r="N187" s="56"/>
    </row>
    <row r="188" spans="2:14" x14ac:dyDescent="0.3">
      <c r="D188" s="167"/>
    </row>
    <row r="189" spans="2:14" x14ac:dyDescent="0.3">
      <c r="B189" s="1" t="s">
        <v>333</v>
      </c>
      <c r="C189" s="3"/>
      <c r="D189" s="172"/>
      <c r="E189" s="13" t="s">
        <v>16</v>
      </c>
      <c r="F189" s="13"/>
      <c r="G189" s="13"/>
      <c r="H189" s="13"/>
      <c r="I189" s="13"/>
      <c r="J189" s="13"/>
      <c r="K189" s="13"/>
      <c r="L189" s="13"/>
      <c r="M189" s="13"/>
    </row>
    <row r="190" spans="2:14" x14ac:dyDescent="0.3">
      <c r="B190" s="15" t="s">
        <v>144</v>
      </c>
      <c r="C190" s="80"/>
      <c r="D190" s="81" t="s">
        <v>334</v>
      </c>
      <c r="E190" s="17">
        <f>E$147</f>
        <v>45657</v>
      </c>
      <c r="F190" s="17">
        <f t="shared" ref="F190:M190" si="66">F$147</f>
        <v>46022</v>
      </c>
      <c r="G190" s="17">
        <f t="shared" si="66"/>
        <v>46387</v>
      </c>
      <c r="H190" s="17">
        <f t="shared" si="66"/>
        <v>46752</v>
      </c>
      <c r="I190" s="17">
        <f t="shared" si="66"/>
        <v>47118</v>
      </c>
      <c r="J190" s="17">
        <f t="shared" si="66"/>
        <v>47483</v>
      </c>
      <c r="K190" s="17">
        <f t="shared" si="66"/>
        <v>47848</v>
      </c>
      <c r="L190" s="17">
        <f t="shared" si="66"/>
        <v>48213</v>
      </c>
      <c r="M190" s="17">
        <f t="shared" si="66"/>
        <v>48579</v>
      </c>
    </row>
    <row r="191" spans="2:14" x14ac:dyDescent="0.3">
      <c r="B191" s="116" t="s">
        <v>34</v>
      </c>
      <c r="C191" s="111"/>
      <c r="D191" s="168"/>
      <c r="E191" s="113"/>
      <c r="F191" s="113"/>
      <c r="G191" s="113"/>
      <c r="H191" s="113"/>
      <c r="I191" s="113"/>
      <c r="J191" s="113"/>
      <c r="K191" s="113"/>
      <c r="L191" s="113"/>
      <c r="M191" s="113"/>
    </row>
    <row r="192" spans="2:14" x14ac:dyDescent="0.3">
      <c r="C192" s="5" t="s">
        <v>35</v>
      </c>
      <c r="D192" s="167"/>
    </row>
    <row r="193" spans="3:18" x14ac:dyDescent="0.3">
      <c r="C193" s="83" t="s">
        <v>36</v>
      </c>
      <c r="D193" s="131" t="s">
        <v>454</v>
      </c>
      <c r="E193" s="163">
        <f>Combined_BS!J7</f>
        <v>8863.4828972391806</v>
      </c>
      <c r="F193" s="163">
        <f>Combined_BS!K7</f>
        <v>13650.429997733343</v>
      </c>
      <c r="G193" s="163">
        <f>Combined_BS!L7</f>
        <v>16426.528656224564</v>
      </c>
      <c r="H193" s="163">
        <f>Combined_BS!M7</f>
        <v>19577.574130526424</v>
      </c>
      <c r="I193" s="163">
        <f>Combined_BS!N7</f>
        <v>25744.614379610146</v>
      </c>
      <c r="J193" s="163">
        <f>Combined_BS!O7</f>
        <v>34565.986049532119</v>
      </c>
      <c r="K193" s="163">
        <f>Combined_BS!P7</f>
        <v>44227.158009029372</v>
      </c>
      <c r="L193" s="163">
        <f>Combined_BS!Q7</f>
        <v>54329.839633816009</v>
      </c>
      <c r="M193" s="163">
        <f>Combined_BS!R7</f>
        <v>65146.417795042806</v>
      </c>
    </row>
    <row r="194" spans="3:18" x14ac:dyDescent="0.3">
      <c r="C194" s="9" t="s">
        <v>167</v>
      </c>
      <c r="D194" s="173" t="s">
        <v>454</v>
      </c>
      <c r="E194" s="157">
        <f>Combined_BS!J8</f>
        <v>4486.8860842215199</v>
      </c>
      <c r="F194" s="157">
        <f>Combined_BS!K8</f>
        <v>4750.9314012600362</v>
      </c>
      <c r="G194" s="157">
        <f>Combined_BS!L8</f>
        <v>4988.6187175604546</v>
      </c>
      <c r="H194" s="157">
        <f>Combined_BS!M8</f>
        <v>5182.2214736928763</v>
      </c>
      <c r="I194" s="157">
        <f>Combined_BS!N8</f>
        <v>5361.2128900537346</v>
      </c>
      <c r="J194" s="157">
        <f>Combined_BS!O8</f>
        <v>5532.8837426253995</v>
      </c>
      <c r="K194" s="157">
        <f>Combined_BS!P8</f>
        <v>5695.6084170398526</v>
      </c>
      <c r="L194" s="157">
        <f>Combined_BS!Q8</f>
        <v>5852.1574626126876</v>
      </c>
      <c r="M194" s="157">
        <f>Combined_BS!R8</f>
        <v>6001.0223423065372</v>
      </c>
    </row>
    <row r="195" spans="3:18" x14ac:dyDescent="0.3">
      <c r="C195" s="9" t="s">
        <v>38</v>
      </c>
      <c r="D195" s="173" t="s">
        <v>454</v>
      </c>
      <c r="E195" s="157">
        <f>Combined_BS!J9</f>
        <v>16286.484295015671</v>
      </c>
      <c r="F195" s="157">
        <f>Combined_BS!K9</f>
        <v>17188.798266913516</v>
      </c>
      <c r="G195" s="157">
        <f>Combined_BS!L9</f>
        <v>18009.395555681993</v>
      </c>
      <c r="H195" s="157">
        <f>Combined_BS!M9</f>
        <v>18690.282123366185</v>
      </c>
      <c r="I195" s="157">
        <f>Combined_BS!N9</f>
        <v>19332.718352704964</v>
      </c>
      <c r="J195" s="157">
        <f>Combined_BS!O9</f>
        <v>19956.745391850578</v>
      </c>
      <c r="K195" s="157">
        <f>Combined_BS!P9</f>
        <v>20556.230145500951</v>
      </c>
      <c r="L195" s="157">
        <f>Combined_BS!Q9</f>
        <v>21141.734877822098</v>
      </c>
      <c r="M195" s="157">
        <f>Combined_BS!R9</f>
        <v>21706.340159311319</v>
      </c>
    </row>
    <row r="196" spans="3:18" x14ac:dyDescent="0.3">
      <c r="C196" s="22" t="s">
        <v>41</v>
      </c>
      <c r="D196" s="174" t="s">
        <v>454</v>
      </c>
      <c r="E196" s="158">
        <f>Combined_BS!J10</f>
        <v>1331.0744066132074</v>
      </c>
      <c r="F196" s="158">
        <f>Combined_BS!K10</f>
        <v>1404.3184067383334</v>
      </c>
      <c r="G196" s="158">
        <f>Combined_BS!L10</f>
        <v>1471.0084160439626</v>
      </c>
      <c r="H196" s="158">
        <f>Combined_BS!M10</f>
        <v>1526.4613440574694</v>
      </c>
      <c r="I196" s="158">
        <f>Combined_BS!N10</f>
        <v>1578.9019965850598</v>
      </c>
      <c r="J196" s="158">
        <f>Combined_BS!O10</f>
        <v>1629.9109681188299</v>
      </c>
      <c r="K196" s="158">
        <f>Combined_BS!P10</f>
        <v>1678.9849330029183</v>
      </c>
      <c r="L196" s="158">
        <f>Combined_BS!Q10</f>
        <v>1726.9916473704907</v>
      </c>
      <c r="M196" s="158">
        <f>Combined_BS!R10</f>
        <v>1773.3527048516564</v>
      </c>
    </row>
    <row r="197" spans="3:18" s="5" customFormat="1" x14ac:dyDescent="0.3">
      <c r="C197" s="27" t="s">
        <v>35</v>
      </c>
      <c r="D197" s="173" t="s">
        <v>454</v>
      </c>
      <c r="E197" s="26">
        <f>SUM(E193:E196)</f>
        <v>30967.92768308958</v>
      </c>
      <c r="F197" s="26">
        <f t="shared" ref="F197:M197" si="67">SUM(F193:F196)</f>
        <v>36994.47807264523</v>
      </c>
      <c r="G197" s="26">
        <f t="shared" si="67"/>
        <v>40895.551345510976</v>
      </c>
      <c r="H197" s="26">
        <f t="shared" si="67"/>
        <v>44976.539071642954</v>
      </c>
      <c r="I197" s="26">
        <f t="shared" si="67"/>
        <v>52017.447618953905</v>
      </c>
      <c r="J197" s="26">
        <f t="shared" si="67"/>
        <v>61685.526152126928</v>
      </c>
      <c r="K197" s="26">
        <f t="shared" si="67"/>
        <v>72157.981504573094</v>
      </c>
      <c r="L197" s="26">
        <f t="shared" si="67"/>
        <v>83050.723621621291</v>
      </c>
      <c r="M197" s="26">
        <f t="shared" si="67"/>
        <v>94627.133001512324</v>
      </c>
      <c r="N197" s="4"/>
      <c r="O197" s="4"/>
      <c r="P197" s="4"/>
      <c r="Q197" s="4"/>
      <c r="R197" s="4"/>
    </row>
    <row r="198" spans="3:18" x14ac:dyDescent="0.3">
      <c r="D198" s="173"/>
    </row>
    <row r="199" spans="3:18" x14ac:dyDescent="0.3">
      <c r="C199" s="27" t="s">
        <v>62</v>
      </c>
      <c r="D199" s="173"/>
    </row>
    <row r="200" spans="3:18" x14ac:dyDescent="0.3">
      <c r="C200" s="83" t="s">
        <v>43</v>
      </c>
      <c r="D200" s="131" t="s">
        <v>454</v>
      </c>
      <c r="E200" s="163">
        <f>Combined_BS!J14</f>
        <v>35568.832193275673</v>
      </c>
      <c r="F200" s="163">
        <f>Combined_BS!K14</f>
        <v>36024.484736518396</v>
      </c>
      <c r="G200" s="163">
        <f>Combined_BS!L14</f>
        <v>36504.120316956352</v>
      </c>
      <c r="H200" s="163">
        <f>Combined_BS!M14</f>
        <v>37003.890363009639</v>
      </c>
      <c r="I200" s="163">
        <f>Combined_BS!N14</f>
        <v>37522.896494947243</v>
      </c>
      <c r="J200" s="163">
        <f>Combined_BS!O14</f>
        <v>38060.729670199129</v>
      </c>
      <c r="K200" s="163">
        <f>Combined_BS!P14</f>
        <v>38616.791812349897</v>
      </c>
      <c r="L200" s="163">
        <f>Combined_BS!Q14</f>
        <v>39190.812278533318</v>
      </c>
      <c r="M200" s="163">
        <f>Combined_BS!R14</f>
        <v>39782.286039129984</v>
      </c>
    </row>
    <row r="201" spans="3:18" x14ac:dyDescent="0.3">
      <c r="C201" s="9" t="s">
        <v>44</v>
      </c>
      <c r="D201" s="173" t="s">
        <v>454</v>
      </c>
      <c r="E201" s="157">
        <f>Combined_BS!J15</f>
        <v>12746.224901955859</v>
      </c>
      <c r="F201" s="157">
        <f>Combined_BS!K15</f>
        <v>12937.805017550945</v>
      </c>
      <c r="G201" s="157">
        <f>Combined_BS!L15</f>
        <v>13176.421348941312</v>
      </c>
      <c r="H201" s="157">
        <f>Combined_BS!M15</f>
        <v>13448.148811211169</v>
      </c>
      <c r="I201" s="157">
        <f>Combined_BS!N15</f>
        <v>13748.111323203037</v>
      </c>
      <c r="J201" s="157">
        <f>Combined_BS!O15</f>
        <v>14072.885435142325</v>
      </c>
      <c r="K201" s="157">
        <f>Combined_BS!P15</f>
        <v>14418.81869554687</v>
      </c>
      <c r="L201" s="157">
        <f>Combined_BS!Q15</f>
        <v>14783.501959541278</v>
      </c>
      <c r="M201" s="157">
        <f>Combined_BS!R15</f>
        <v>15164.023041889082</v>
      </c>
    </row>
    <row r="202" spans="3:18" x14ac:dyDescent="0.3">
      <c r="C202" s="9" t="s">
        <v>84</v>
      </c>
      <c r="D202" s="173" t="s">
        <v>454</v>
      </c>
      <c r="E202" s="157">
        <f>Combined_BS!J16</f>
        <v>1967.6225722222223</v>
      </c>
      <c r="F202" s="157">
        <f>Combined_BS!K16</f>
        <v>1767.8181955833334</v>
      </c>
      <c r="G202" s="157">
        <f>Combined_BS!L16</f>
        <v>1562.3152768731943</v>
      </c>
      <c r="H202" s="157">
        <f>Combined_BS!M16</f>
        <v>1350.9143671193117</v>
      </c>
      <c r="I202" s="157">
        <f>Combined_BS!N16</f>
        <v>1133.4090366351543</v>
      </c>
      <c r="J202" s="157">
        <f>Combined_BS!O16</f>
        <v>909.58563069516254</v>
      </c>
      <c r="K202" s="157">
        <f>Combined_BS!P16</f>
        <v>679.22301665838211</v>
      </c>
      <c r="L202" s="157">
        <f>Combined_BS!Q16</f>
        <v>442.09232224142545</v>
      </c>
      <c r="M202" s="157">
        <f>Combined_BS!R16</f>
        <v>234.94555351987535</v>
      </c>
    </row>
    <row r="203" spans="3:18" x14ac:dyDescent="0.3">
      <c r="C203" s="87" t="s">
        <v>45</v>
      </c>
      <c r="D203" s="132" t="s">
        <v>454</v>
      </c>
      <c r="E203" s="164">
        <f>Combined_BS!J17</f>
        <v>12339.326462224199</v>
      </c>
      <c r="F203" s="164">
        <f>Combined_BS!K17</f>
        <v>11441.833816001779</v>
      </c>
      <c r="G203" s="164">
        <f>Combined_BS!L17</f>
        <v>10544.34116977936</v>
      </c>
      <c r="H203" s="164">
        <f>Combined_BS!M17</f>
        <v>9646.8485235569406</v>
      </c>
      <c r="I203" s="164">
        <f>Combined_BS!N17</f>
        <v>8749.3558773345212</v>
      </c>
      <c r="J203" s="164">
        <f>Combined_BS!O17</f>
        <v>8749.3558773345212</v>
      </c>
      <c r="K203" s="164">
        <f>Combined_BS!P17</f>
        <v>8749.3558773345212</v>
      </c>
      <c r="L203" s="164">
        <f>Combined_BS!Q17</f>
        <v>8749.3558773345212</v>
      </c>
      <c r="M203" s="164">
        <f>Combined_BS!R17</f>
        <v>8749.3558773345212</v>
      </c>
    </row>
    <row r="204" spans="3:18" x14ac:dyDescent="0.3">
      <c r="C204" s="90" t="s">
        <v>39</v>
      </c>
      <c r="D204" s="133" t="s">
        <v>454</v>
      </c>
      <c r="E204" s="165">
        <f>Combined_BS!J18</f>
        <v>13574.530803592806</v>
      </c>
      <c r="F204" s="165">
        <f>Combined_BS!K18</f>
        <v>13574.530803592806</v>
      </c>
      <c r="G204" s="165">
        <f>Combined_BS!L18</f>
        <v>13574.530803592806</v>
      </c>
      <c r="H204" s="165">
        <f>Combined_BS!M18</f>
        <v>13574.530803592806</v>
      </c>
      <c r="I204" s="165">
        <f>Combined_BS!N18</f>
        <v>13574.530803592806</v>
      </c>
      <c r="J204" s="165">
        <f>Combined_BS!O18</f>
        <v>13574.530803592806</v>
      </c>
      <c r="K204" s="165">
        <f>Combined_BS!P18</f>
        <v>13574.530803592806</v>
      </c>
      <c r="L204" s="165">
        <f>Combined_BS!Q18</f>
        <v>13574.530803592806</v>
      </c>
      <c r="M204" s="165">
        <f>Combined_BS!R18</f>
        <v>13574.530803592806</v>
      </c>
    </row>
    <row r="205" spans="3:18" x14ac:dyDescent="0.3">
      <c r="C205" s="22" t="s">
        <v>46</v>
      </c>
      <c r="D205" s="174" t="s">
        <v>454</v>
      </c>
      <c r="E205" s="158">
        <f>Combined_BS!J19</f>
        <v>725.6</v>
      </c>
      <c r="F205" s="158">
        <f>Combined_BS!K19</f>
        <v>725.6</v>
      </c>
      <c r="G205" s="158">
        <f>Combined_BS!L19</f>
        <v>725.6</v>
      </c>
      <c r="H205" s="158">
        <f>Combined_BS!M19</f>
        <v>725.6</v>
      </c>
      <c r="I205" s="158">
        <f>Combined_BS!N19</f>
        <v>725.6</v>
      </c>
      <c r="J205" s="158">
        <f>Combined_BS!O19</f>
        <v>725.6</v>
      </c>
      <c r="K205" s="158">
        <f>Combined_BS!P19</f>
        <v>725.6</v>
      </c>
      <c r="L205" s="158">
        <f>Combined_BS!Q19</f>
        <v>725.6</v>
      </c>
      <c r="M205" s="158">
        <f>Combined_BS!R19</f>
        <v>725.6</v>
      </c>
    </row>
    <row r="206" spans="3:18" s="5" customFormat="1" x14ac:dyDescent="0.3">
      <c r="C206" s="5" t="s">
        <v>47</v>
      </c>
      <c r="D206" s="173" t="s">
        <v>454</v>
      </c>
      <c r="E206" s="26">
        <f>SUM(E200:E205)</f>
        <v>76922.136933270769</v>
      </c>
      <c r="F206" s="26">
        <f t="shared" ref="F206:M206" si="68">SUM(F200:F205)</f>
        <v>76472.072569247262</v>
      </c>
      <c r="G206" s="26">
        <f t="shared" si="68"/>
        <v>76087.328916143029</v>
      </c>
      <c r="H206" s="26">
        <f t="shared" si="68"/>
        <v>75749.932868489865</v>
      </c>
      <c r="I206" s="26">
        <f t="shared" si="68"/>
        <v>75453.903535712758</v>
      </c>
      <c r="J206" s="26">
        <f t="shared" si="68"/>
        <v>76092.687416963949</v>
      </c>
      <c r="K206" s="26">
        <f t="shared" si="68"/>
        <v>76764.32020548248</v>
      </c>
      <c r="L206" s="26">
        <f t="shared" si="68"/>
        <v>77465.893241243364</v>
      </c>
      <c r="M206" s="26">
        <f t="shared" si="68"/>
        <v>78230.741315466264</v>
      </c>
      <c r="N206" s="4"/>
      <c r="O206" s="4"/>
      <c r="P206" s="4"/>
      <c r="Q206" s="4"/>
      <c r="R206" s="4"/>
    </row>
    <row r="207" spans="3:18" x14ac:dyDescent="0.3">
      <c r="D207" s="173"/>
    </row>
    <row r="208" spans="3:18" s="5" customFormat="1" x14ac:dyDescent="0.3">
      <c r="C208" s="5" t="s">
        <v>48</v>
      </c>
      <c r="D208" s="173"/>
      <c r="E208" s="26">
        <f>E206+E197</f>
        <v>107890.06461636035</v>
      </c>
      <c r="F208" s="26">
        <f t="shared" ref="F208:M208" si="69">F206+F197</f>
        <v>113466.55064189249</v>
      </c>
      <c r="G208" s="26">
        <f t="shared" si="69"/>
        <v>116982.88026165401</v>
      </c>
      <c r="H208" s="26">
        <f t="shared" si="69"/>
        <v>120726.47194013282</v>
      </c>
      <c r="I208" s="26">
        <f t="shared" si="69"/>
        <v>127471.35115466666</v>
      </c>
      <c r="J208" s="26">
        <f t="shared" si="69"/>
        <v>137778.21356909088</v>
      </c>
      <c r="K208" s="26">
        <f t="shared" si="69"/>
        <v>148922.30171005556</v>
      </c>
      <c r="L208" s="26">
        <f t="shared" si="69"/>
        <v>160516.61686286464</v>
      </c>
      <c r="M208" s="26">
        <f t="shared" si="69"/>
        <v>172857.87431697859</v>
      </c>
      <c r="N208" s="4"/>
      <c r="O208" s="4"/>
      <c r="P208" s="4"/>
      <c r="Q208" s="4"/>
      <c r="R208" s="4"/>
    </row>
    <row r="209" spans="2:18" x14ac:dyDescent="0.3">
      <c r="D209" s="173"/>
    </row>
    <row r="210" spans="2:18" x14ac:dyDescent="0.3">
      <c r="B210" s="116" t="s">
        <v>434</v>
      </c>
      <c r="C210" s="111"/>
      <c r="D210" s="169"/>
      <c r="E210" s="113"/>
      <c r="F210" s="113"/>
      <c r="G210" s="113"/>
      <c r="H210" s="113"/>
      <c r="I210" s="113"/>
      <c r="J210" s="113"/>
      <c r="K210" s="113"/>
      <c r="L210" s="113"/>
      <c r="M210" s="113"/>
    </row>
    <row r="211" spans="2:18" x14ac:dyDescent="0.3">
      <c r="C211" s="5" t="s">
        <v>433</v>
      </c>
      <c r="D211" s="173"/>
    </row>
    <row r="212" spans="2:18" x14ac:dyDescent="0.3">
      <c r="C212" s="9" t="s">
        <v>51</v>
      </c>
      <c r="D212" s="173" t="s">
        <v>454</v>
      </c>
      <c r="E212" s="157">
        <f>Combined_BS!J26</f>
        <v>13191.902143155074</v>
      </c>
      <c r="F212" s="157">
        <f>Combined_BS!K26</f>
        <v>13915.740138366025</v>
      </c>
      <c r="G212" s="157">
        <f>Combined_BS!L26</f>
        <v>14575.136393559214</v>
      </c>
      <c r="H212" s="157">
        <f>Combined_BS!M26</f>
        <v>15123.911509751753</v>
      </c>
      <c r="I212" s="157">
        <f>Combined_BS!N26</f>
        <v>15643.368920574034</v>
      </c>
      <c r="J212" s="157">
        <f>Combined_BS!O26</f>
        <v>16148.937376990434</v>
      </c>
      <c r="K212" s="157">
        <f>Combined_BS!P26</f>
        <v>16635.62001714209</v>
      </c>
      <c r="L212" s="157">
        <f>Combined_BS!Q26</f>
        <v>17112.035515057476</v>
      </c>
      <c r="M212" s="157">
        <f>Combined_BS!R26</f>
        <v>17572.398383583059</v>
      </c>
    </row>
    <row r="213" spans="2:18" x14ac:dyDescent="0.3">
      <c r="C213" s="9" t="s">
        <v>52</v>
      </c>
      <c r="D213" s="173" t="s">
        <v>454</v>
      </c>
      <c r="E213" s="157">
        <f>Combined_BS!J27</f>
        <v>3692.3418613577796</v>
      </c>
      <c r="F213" s="157">
        <f>Combined_BS!K27</f>
        <v>3876.0083438714601</v>
      </c>
      <c r="G213" s="157">
        <f>Combined_BS!L27</f>
        <v>4042.5649064142863</v>
      </c>
      <c r="H213" s="157">
        <f>Combined_BS!M27</f>
        <v>4180.348166737017</v>
      </c>
      <c r="I213" s="157">
        <f>Combined_BS!N27</f>
        <v>4311.330666454628</v>
      </c>
      <c r="J213" s="157">
        <f>Combined_BS!O27</f>
        <v>4438.9135023970493</v>
      </c>
      <c r="K213" s="157">
        <f>Combined_BS!P27</f>
        <v>4561.7485279703269</v>
      </c>
      <c r="L213" s="157">
        <f>Combined_BS!Q27</f>
        <v>4682.3544569043488</v>
      </c>
      <c r="M213" s="157">
        <f>Combined_BS!R27</f>
        <v>4798.9771828901557</v>
      </c>
    </row>
    <row r="214" spans="2:18" x14ac:dyDescent="0.3">
      <c r="C214" s="22" t="s">
        <v>53</v>
      </c>
      <c r="D214" s="174" t="s">
        <v>454</v>
      </c>
      <c r="E214" s="158">
        <f>Combined_BS!J28</f>
        <v>8066.6734541297901</v>
      </c>
      <c r="F214" s="158">
        <f>Combined_BS!K28</f>
        <v>8565.1440966970004</v>
      </c>
      <c r="G214" s="158">
        <f>Combined_BS!L28</f>
        <v>9013.1845346286464</v>
      </c>
      <c r="H214" s="158">
        <f>Combined_BS!M28</f>
        <v>9377.1441115655816</v>
      </c>
      <c r="I214" s="158">
        <f>Combined_BS!N28</f>
        <v>9711.6075829087022</v>
      </c>
      <c r="J214" s="158">
        <f>Combined_BS!O28</f>
        <v>10031.4102103113</v>
      </c>
      <c r="K214" s="158">
        <f>Combined_BS!P28</f>
        <v>10333.692070702105</v>
      </c>
      <c r="L214" s="158">
        <f>Combined_BS!Q28</f>
        <v>10623.357035618781</v>
      </c>
      <c r="M214" s="158">
        <f>Combined_BS!R28</f>
        <v>10898.055996901816</v>
      </c>
    </row>
    <row r="215" spans="2:18" s="5" customFormat="1" x14ac:dyDescent="0.3">
      <c r="C215" s="5" t="s">
        <v>416</v>
      </c>
      <c r="D215" s="173" t="s">
        <v>454</v>
      </c>
      <c r="E215" s="26">
        <f>SUM(E212:E214)</f>
        <v>24950.917458642645</v>
      </c>
      <c r="F215" s="26">
        <f t="shared" ref="F215:M215" si="70">SUM(F212:F214)</f>
        <v>26356.892578934487</v>
      </c>
      <c r="G215" s="26">
        <f t="shared" si="70"/>
        <v>27630.885834602148</v>
      </c>
      <c r="H215" s="26">
        <f t="shared" si="70"/>
        <v>28681.403788054355</v>
      </c>
      <c r="I215" s="26">
        <f t="shared" si="70"/>
        <v>29666.307169937365</v>
      </c>
      <c r="J215" s="26">
        <f t="shared" si="70"/>
        <v>30619.261089698783</v>
      </c>
      <c r="K215" s="26">
        <f t="shared" si="70"/>
        <v>31531.060615814524</v>
      </c>
      <c r="L215" s="26">
        <f t="shared" si="70"/>
        <v>32417.747007580605</v>
      </c>
      <c r="M215" s="26">
        <f t="shared" si="70"/>
        <v>33269.43156337503</v>
      </c>
      <c r="N215" s="4"/>
      <c r="O215" s="4"/>
      <c r="P215" s="4"/>
      <c r="Q215" s="4"/>
      <c r="R215" s="4"/>
    </row>
    <row r="216" spans="2:18" x14ac:dyDescent="0.3">
      <c r="D216" s="173"/>
    </row>
    <row r="217" spans="2:18" x14ac:dyDescent="0.3">
      <c r="C217" s="5" t="s">
        <v>62</v>
      </c>
      <c r="D217" s="173"/>
    </row>
    <row r="218" spans="2:18" x14ac:dyDescent="0.3">
      <c r="C218" s="9" t="s">
        <v>422</v>
      </c>
      <c r="D218" s="173" t="s">
        <v>454</v>
      </c>
      <c r="E218" s="157">
        <f>Combined_BS!J32</f>
        <v>17489.2</v>
      </c>
      <c r="F218" s="157">
        <f>Combined_BS!K32</f>
        <v>17391.099999999999</v>
      </c>
      <c r="G218" s="157">
        <f>Combined_BS!L32</f>
        <v>13245</v>
      </c>
      <c r="H218" s="157">
        <f>Combined_BS!M32</f>
        <v>10981.4</v>
      </c>
      <c r="I218" s="157">
        <f>Combined_BS!N32</f>
        <v>10035.959999999999</v>
      </c>
      <c r="J218" s="157">
        <f>Combined_BS!O32</f>
        <v>9090.52</v>
      </c>
      <c r="K218" s="157">
        <f>Combined_BS!P32</f>
        <v>8145.08</v>
      </c>
      <c r="L218" s="157">
        <f>Combined_BS!Q32</f>
        <v>7199.6399999999994</v>
      </c>
      <c r="M218" s="157">
        <f>Combined_BS!R32</f>
        <v>6254.2</v>
      </c>
    </row>
    <row r="219" spans="2:18" x14ac:dyDescent="0.3">
      <c r="C219" s="83" t="s">
        <v>430</v>
      </c>
      <c r="D219" s="131" t="s">
        <v>454</v>
      </c>
      <c r="E219" s="163">
        <f>Combined_BS!J33</f>
        <v>17765.644995634902</v>
      </c>
      <c r="F219" s="163">
        <f>Combined_BS!K33</f>
        <v>16069.782079226354</v>
      </c>
      <c r="G219" s="163">
        <f>Combined_BS!L33</f>
        <v>15575.39349620495</v>
      </c>
      <c r="H219" s="163">
        <f>Combined_BS!M33</f>
        <v>12795.73143565494</v>
      </c>
      <c r="I219" s="163">
        <f>Combined_BS!N33</f>
        <v>10588.942628978097</v>
      </c>
      <c r="J219" s="163">
        <f>Combined_BS!O33</f>
        <v>10031.287073209074</v>
      </c>
      <c r="K219" s="163">
        <f>Combined_BS!P33</f>
        <v>9480.328783120216</v>
      </c>
      <c r="L219" s="163">
        <f>Combined_BS!Q33</f>
        <v>8883.3808746844934</v>
      </c>
      <c r="M219" s="163">
        <f>Combined_BS!R33</f>
        <v>8240.1780965707549</v>
      </c>
    </row>
    <row r="220" spans="2:18" x14ac:dyDescent="0.3">
      <c r="C220" s="9" t="s">
        <v>56</v>
      </c>
      <c r="D220" s="173" t="s">
        <v>454</v>
      </c>
      <c r="E220" s="157">
        <f>Combined_BS!J34</f>
        <v>13290.124901955858</v>
      </c>
      <c r="F220" s="157">
        <f>Combined_BS!K34</f>
        <v>13481.705017550947</v>
      </c>
      <c r="G220" s="157">
        <f>Combined_BS!L34</f>
        <v>13720.321348941314</v>
      </c>
      <c r="H220" s="157">
        <f>Combined_BS!M34</f>
        <v>13992.048811211171</v>
      </c>
      <c r="I220" s="157">
        <f>Combined_BS!N34</f>
        <v>14292.011323203038</v>
      </c>
      <c r="J220" s="157">
        <f>Combined_BS!O34</f>
        <v>14616.785435142327</v>
      </c>
      <c r="K220" s="157">
        <f>Combined_BS!P34</f>
        <v>14962.718695546871</v>
      </c>
      <c r="L220" s="157">
        <f>Combined_BS!Q34</f>
        <v>15327.401959541279</v>
      </c>
      <c r="M220" s="157">
        <f>Combined_BS!R34</f>
        <v>15707.923041889084</v>
      </c>
    </row>
    <row r="221" spans="2:18" x14ac:dyDescent="0.3">
      <c r="C221" s="9" t="s">
        <v>85</v>
      </c>
      <c r="D221" s="173" t="s">
        <v>454</v>
      </c>
      <c r="E221" s="157">
        <f>Combined_BS!J35</f>
        <v>2189.1268856000002</v>
      </c>
      <c r="F221" s="157">
        <f>Combined_BS!K35</f>
        <v>1978.5286106235999</v>
      </c>
      <c r="G221" s="157">
        <f>Combined_BS!L35</f>
        <v>1773.3668181299515</v>
      </c>
      <c r="H221" s="157">
        <f>Combined_BS!M35</f>
        <v>1571.7223717492852</v>
      </c>
      <c r="I221" s="157">
        <f>Combined_BS!N35</f>
        <v>1360.339853081344</v>
      </c>
      <c r="J221" s="157">
        <f>Combined_BS!O35</f>
        <v>1145.8069123570313</v>
      </c>
      <c r="K221" s="157">
        <f>Combined_BS!P35</f>
        <v>927.57733422288891</v>
      </c>
      <c r="L221" s="157">
        <f>Combined_BS!Q35</f>
        <v>510.09232224142545</v>
      </c>
      <c r="M221" s="157">
        <f>Combined_BS!R35</f>
        <v>302.94555351987538</v>
      </c>
    </row>
    <row r="222" spans="2:18" x14ac:dyDescent="0.3">
      <c r="C222" s="83" t="s">
        <v>57</v>
      </c>
      <c r="D222" s="131" t="s">
        <v>454</v>
      </c>
      <c r="E222" s="163">
        <f>Combined_BS!J36</f>
        <v>6325.9757450732723</v>
      </c>
      <c r="F222" s="163">
        <f>Combined_BS!K36</f>
        <v>6193.3595742527805</v>
      </c>
      <c r="G222" s="163">
        <f>Combined_BS!L36</f>
        <v>6065.2652382977731</v>
      </c>
      <c r="H222" s="163">
        <f>Combined_BS!M36</f>
        <v>5942.8607785043614</v>
      </c>
      <c r="I222" s="163">
        <f>Combined_BS!N36</f>
        <v>5825.6107099595474</v>
      </c>
      <c r="J222" s="163">
        <f>Combined_BS!O36</f>
        <v>5895.355947652678</v>
      </c>
      <c r="K222" s="163">
        <f>Combined_BS!P36</f>
        <v>5969.4327919579955</v>
      </c>
      <c r="L222" s="163">
        <f>Combined_BS!Q36</f>
        <v>6047.9532215508352</v>
      </c>
      <c r="M222" s="163">
        <f>Combined_BS!R36</f>
        <v>6130.6793334494323</v>
      </c>
    </row>
    <row r="223" spans="2:18" x14ac:dyDescent="0.3">
      <c r="C223" s="22" t="s">
        <v>58</v>
      </c>
      <c r="D223" s="174" t="s">
        <v>454</v>
      </c>
      <c r="E223" s="158">
        <f>Combined_BS!J37</f>
        <v>5065.5333333333174</v>
      </c>
      <c r="F223" s="158">
        <f>Combined_BS!K37</f>
        <v>5286.8499999999767</v>
      </c>
      <c r="G223" s="158">
        <f>Combined_BS!L37</f>
        <v>5508.1666666666351</v>
      </c>
      <c r="H223" s="158">
        <f>Combined_BS!M37</f>
        <v>5729.4833333332936</v>
      </c>
      <c r="I223" s="158">
        <f>Combined_BS!N37</f>
        <v>5950.7999999999529</v>
      </c>
      <c r="J223" s="158">
        <f>Combined_BS!O37</f>
        <v>6172.1166666666113</v>
      </c>
      <c r="K223" s="158">
        <f>Combined_BS!P37</f>
        <v>6393.4333333332706</v>
      </c>
      <c r="L223" s="158">
        <f>Combined_BS!Q37</f>
        <v>6614.7499999999291</v>
      </c>
      <c r="M223" s="158">
        <f>Combined_BS!R37</f>
        <v>6836.0666666665884</v>
      </c>
    </row>
    <row r="224" spans="2:18" s="5" customFormat="1" x14ac:dyDescent="0.3">
      <c r="C224" s="5" t="s">
        <v>435</v>
      </c>
      <c r="D224" s="173" t="s">
        <v>454</v>
      </c>
      <c r="E224" s="26">
        <f>SUM(E218:E223)</f>
        <v>62125.60586159736</v>
      </c>
      <c r="F224" s="26">
        <f t="shared" ref="F224:M224" si="71">SUM(F218:F223)</f>
        <v>60401.325281653655</v>
      </c>
      <c r="G224" s="26">
        <f t="shared" si="71"/>
        <v>55887.513568240625</v>
      </c>
      <c r="H224" s="26">
        <f t="shared" si="71"/>
        <v>51013.246730453051</v>
      </c>
      <c r="I224" s="26">
        <f t="shared" si="71"/>
        <v>48053.664515221972</v>
      </c>
      <c r="J224" s="26">
        <f t="shared" si="71"/>
        <v>46951.872035027722</v>
      </c>
      <c r="K224" s="26">
        <f t="shared" si="71"/>
        <v>45878.570938181241</v>
      </c>
      <c r="L224" s="26">
        <f t="shared" si="71"/>
        <v>44583.218378017955</v>
      </c>
      <c r="M224" s="26">
        <f t="shared" si="71"/>
        <v>43471.99269209573</v>
      </c>
      <c r="N224" s="4"/>
      <c r="O224" s="4"/>
      <c r="P224" s="4"/>
      <c r="Q224" s="4"/>
      <c r="R224" s="4"/>
    </row>
    <row r="225" spans="1:18" x14ac:dyDescent="0.3">
      <c r="D225" s="173"/>
    </row>
    <row r="226" spans="1:18" s="5" customFormat="1" x14ac:dyDescent="0.3">
      <c r="C226" s="5" t="s">
        <v>40</v>
      </c>
      <c r="D226" s="173" t="s">
        <v>454</v>
      </c>
      <c r="E226" s="26">
        <f>Combined_BS!I40+Merger_Model!E235+Merger_Model!E263+Merger_Model!E262</f>
        <v>20813.541296120347</v>
      </c>
      <c r="F226" s="26">
        <f>Combined_BS!J40+Merger_Model!F235+Merger_Model!F263+Merger_Model!F262</f>
        <v>26708.332781304358</v>
      </c>
      <c r="G226" s="26">
        <f>Combined_BS!K40+Merger_Model!G235+Merger_Model!G263+Merger_Model!G262</f>
        <v>33464.480858811236</v>
      </c>
      <c r="H226" s="26">
        <f>Combined_BS!L40+Merger_Model!H235+Merger_Model!H263+Merger_Model!H262</f>
        <v>41031.821421625427</v>
      </c>
      <c r="I226" s="26">
        <f>Combined_BS!M40+Merger_Model!I235+Merger_Model!I263+Merger_Model!I262</f>
        <v>49751.379469507323</v>
      </c>
      <c r="J226" s="26">
        <f>Combined_BS!N40+Merger_Model!J235+Merger_Model!J263+Merger_Model!J262</f>
        <v>60207.080444364357</v>
      </c>
      <c r="K226" s="26">
        <f>Combined_BS!O40+Merger_Model!K235+Merger_Model!K263+Merger_Model!K262</f>
        <v>71512.670156059801</v>
      </c>
      <c r="L226" s="26">
        <f>Combined_BS!P40+Merger_Model!L235+Merger_Model!L263+Merger_Model!L262</f>
        <v>83515.651477266059</v>
      </c>
      <c r="M226" s="26">
        <f>Combined_BS!Q40+Merger_Model!M235+Merger_Model!M263+Merger_Model!M262</f>
        <v>96116.450061507814</v>
      </c>
      <c r="N226" s="4"/>
      <c r="O226" s="4"/>
      <c r="P226" s="4"/>
      <c r="Q226" s="4"/>
      <c r="R226" s="4"/>
    </row>
    <row r="227" spans="1:18" x14ac:dyDescent="0.3">
      <c r="D227" s="173"/>
    </row>
    <row r="228" spans="1:18" s="5" customFormat="1" x14ac:dyDescent="0.3">
      <c r="C228" s="5" t="s">
        <v>173</v>
      </c>
      <c r="D228" s="173" t="s">
        <v>454</v>
      </c>
      <c r="E228" s="28">
        <f>E226+E224+E215</f>
        <v>107890.06461636035</v>
      </c>
      <c r="F228" s="28">
        <f t="shared" ref="F228:M228" si="72">F226+F224+F215</f>
        <v>113466.55064189251</v>
      </c>
      <c r="G228" s="28">
        <f t="shared" si="72"/>
        <v>116982.88026165401</v>
      </c>
      <c r="H228" s="28">
        <f t="shared" si="72"/>
        <v>120726.47194013285</v>
      </c>
      <c r="I228" s="28">
        <f t="shared" si="72"/>
        <v>127471.35115466667</v>
      </c>
      <c r="J228" s="28">
        <f t="shared" si="72"/>
        <v>137778.21356909088</v>
      </c>
      <c r="K228" s="28">
        <f t="shared" si="72"/>
        <v>148922.30171005556</v>
      </c>
      <c r="L228" s="28">
        <f t="shared" si="72"/>
        <v>160516.61686286464</v>
      </c>
      <c r="M228" s="28">
        <f t="shared" si="72"/>
        <v>172857.87431697856</v>
      </c>
      <c r="N228" s="4"/>
      <c r="O228" s="4"/>
      <c r="P228" s="4"/>
      <c r="Q228" s="4"/>
      <c r="R228" s="4"/>
    </row>
    <row r="229" spans="1:18" x14ac:dyDescent="0.3">
      <c r="D229" s="167"/>
    </row>
    <row r="230" spans="1:18" s="34" customFormat="1" x14ac:dyDescent="0.3">
      <c r="A230" s="5"/>
      <c r="B230" s="5"/>
      <c r="C230" s="5" t="s">
        <v>419</v>
      </c>
      <c r="D230" s="167"/>
      <c r="E230" s="34">
        <f>E228-E208</f>
        <v>0</v>
      </c>
      <c r="F230" s="34">
        <f t="shared" ref="F230:M230" si="73">F228-F208</f>
        <v>0</v>
      </c>
      <c r="G230" s="34">
        <f t="shared" si="73"/>
        <v>0</v>
      </c>
      <c r="H230" s="34">
        <f t="shared" si="73"/>
        <v>0</v>
      </c>
      <c r="I230" s="34">
        <f t="shared" si="73"/>
        <v>0</v>
      </c>
      <c r="J230" s="34">
        <f t="shared" si="73"/>
        <v>0</v>
      </c>
      <c r="K230" s="34">
        <f t="shared" si="73"/>
        <v>0</v>
      </c>
      <c r="L230" s="34">
        <f t="shared" si="73"/>
        <v>0</v>
      </c>
      <c r="M230" s="34">
        <f t="shared" si="73"/>
        <v>0</v>
      </c>
      <c r="N230" s="4"/>
      <c r="O230" s="4"/>
      <c r="P230" s="4"/>
      <c r="Q230" s="4"/>
      <c r="R230" s="4"/>
    </row>
    <row r="231" spans="1:18" x14ac:dyDescent="0.3">
      <c r="D231" s="167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8" x14ac:dyDescent="0.3">
      <c r="B232" s="1" t="s">
        <v>333</v>
      </c>
      <c r="C232" s="3"/>
      <c r="D232" s="172"/>
      <c r="E232" s="13" t="s">
        <v>16</v>
      </c>
      <c r="F232" s="13"/>
      <c r="G232" s="13"/>
      <c r="H232" s="13"/>
      <c r="I232" s="13"/>
      <c r="J232" s="13"/>
      <c r="K232" s="13"/>
      <c r="L232" s="13"/>
      <c r="M232" s="13"/>
    </row>
    <row r="233" spans="1:18" x14ac:dyDescent="0.3">
      <c r="B233" s="15" t="s">
        <v>184</v>
      </c>
      <c r="C233" s="80"/>
      <c r="D233" s="81" t="s">
        <v>334</v>
      </c>
      <c r="E233" s="17">
        <f>E$147</f>
        <v>45657</v>
      </c>
      <c r="F233" s="17">
        <f t="shared" ref="F233:M233" si="74">F$147</f>
        <v>46022</v>
      </c>
      <c r="G233" s="17">
        <f t="shared" si="74"/>
        <v>46387</v>
      </c>
      <c r="H233" s="17">
        <f t="shared" si="74"/>
        <v>46752</v>
      </c>
      <c r="I233" s="17">
        <f t="shared" si="74"/>
        <v>47118</v>
      </c>
      <c r="J233" s="17">
        <f t="shared" si="74"/>
        <v>47483</v>
      </c>
      <c r="K233" s="17">
        <f t="shared" si="74"/>
        <v>47848</v>
      </c>
      <c r="L233" s="17">
        <f t="shared" si="74"/>
        <v>48213</v>
      </c>
      <c r="M233" s="17">
        <f t="shared" si="74"/>
        <v>48579</v>
      </c>
    </row>
    <row r="234" spans="1:18" x14ac:dyDescent="0.3">
      <c r="B234" s="33" t="s">
        <v>389</v>
      </c>
      <c r="C234" s="32"/>
      <c r="D234" s="175"/>
      <c r="E234" s="32"/>
      <c r="F234" s="32"/>
      <c r="G234" s="32"/>
      <c r="H234" s="32"/>
      <c r="I234" s="32"/>
      <c r="J234" s="32"/>
      <c r="K234" s="32"/>
      <c r="L234" s="32"/>
      <c r="M234" s="32"/>
    </row>
    <row r="235" spans="1:18" s="5" customFormat="1" x14ac:dyDescent="0.3">
      <c r="C235" s="5" t="s">
        <v>33</v>
      </c>
      <c r="D235" s="167" t="s">
        <v>454</v>
      </c>
      <c r="E235" s="161">
        <f t="shared" ref="E235:M235" si="75">E177</f>
        <v>4594.371367674602</v>
      </c>
      <c r="F235" s="161">
        <f t="shared" si="75"/>
        <v>5894.7914851840096</v>
      </c>
      <c r="G235" s="161">
        <f t="shared" si="75"/>
        <v>6756.1480775068812</v>
      </c>
      <c r="H235" s="161">
        <f t="shared" si="75"/>
        <v>7567.3405628141891</v>
      </c>
      <c r="I235" s="161">
        <f t="shared" si="75"/>
        <v>8719.5580478818956</v>
      </c>
      <c r="J235" s="161">
        <f t="shared" si="75"/>
        <v>10455.700974857033</v>
      </c>
      <c r="K235" s="161">
        <f t="shared" si="75"/>
        <v>11305.589711695447</v>
      </c>
      <c r="L235" s="161">
        <f t="shared" si="75"/>
        <v>12002.981321206253</v>
      </c>
      <c r="M235" s="161">
        <f t="shared" si="75"/>
        <v>12600.798584241755</v>
      </c>
      <c r="N235" s="4"/>
      <c r="O235" s="4"/>
      <c r="P235" s="4"/>
      <c r="Q235" s="4"/>
      <c r="R235" s="4"/>
    </row>
    <row r="236" spans="1:18" s="5" customFormat="1" x14ac:dyDescent="0.3">
      <c r="C236" s="27" t="s">
        <v>174</v>
      </c>
      <c r="D236" s="167"/>
      <c r="N236" s="4"/>
      <c r="O236" s="4"/>
      <c r="P236" s="4"/>
      <c r="Q236" s="4"/>
      <c r="R236" s="4"/>
    </row>
    <row r="237" spans="1:18" x14ac:dyDescent="0.3">
      <c r="C237" s="9" t="s">
        <v>390</v>
      </c>
      <c r="D237" s="167" t="s">
        <v>454</v>
      </c>
      <c r="E237" s="24">
        <f>Kroger_Financial_Model!J186+Albertsons_Financial_Model!I183</f>
        <v>5477.9572588316041</v>
      </c>
      <c r="F237" s="24">
        <f>Kroger_Financial_Model!K186+Albertsons_Financial_Model!J183</f>
        <v>5772.8107157716868</v>
      </c>
      <c r="G237" s="24">
        <f>Kroger_Financial_Model!L186+Albertsons_Financial_Model!K183</f>
        <v>6042.18727790298</v>
      </c>
      <c r="H237" s="24">
        <f>Kroger_Financial_Model!M186+Albertsons_Financial_Model!L183</f>
        <v>6267.6618353174563</v>
      </c>
      <c r="I237" s="24">
        <f>Kroger_Financial_Model!N186+Albertsons_Financial_Model!M183</f>
        <v>6481.7475413673292</v>
      </c>
      <c r="J237" s="24">
        <f>Kroger_Financial_Model!O186+Albertsons_Financial_Model!N183</f>
        <v>6690.5663998028349</v>
      </c>
      <c r="K237" s="24">
        <f>Kroger_Financial_Model!P186+Albertsons_Financial_Model!O183</f>
        <v>6892.1221862726779</v>
      </c>
      <c r="L237" s="24">
        <f>Kroger_Financial_Model!Q186+Albertsons_Financial_Model!P183</f>
        <v>7089.8797180667079</v>
      </c>
      <c r="M237" s="24">
        <f>Kroger_Financial_Model!R186+Albertsons_Financial_Model!Q183</f>
        <v>7244.5263334031915</v>
      </c>
    </row>
    <row r="238" spans="1:18" x14ac:dyDescent="0.3">
      <c r="C238" s="9" t="s">
        <v>391</v>
      </c>
      <c r="D238" s="167" t="s">
        <v>454</v>
      </c>
      <c r="E238" s="24">
        <f>Kroger_Financial_Model!J187</f>
        <v>0</v>
      </c>
      <c r="F238" s="24">
        <f>Kroger_Financial_Model!K187</f>
        <v>0</v>
      </c>
      <c r="G238" s="24">
        <f>Kroger_Financial_Model!L187</f>
        <v>0</v>
      </c>
      <c r="H238" s="24">
        <f>Kroger_Financial_Model!M187</f>
        <v>0</v>
      </c>
      <c r="I238" s="24">
        <f>Kroger_Financial_Model!N187</f>
        <v>0</v>
      </c>
      <c r="J238" s="24">
        <f>Kroger_Financial_Model!O187</f>
        <v>0</v>
      </c>
      <c r="K238" s="24">
        <f>Kroger_Financial_Model!P187</f>
        <v>0</v>
      </c>
      <c r="L238" s="24">
        <f>Kroger_Financial_Model!Q187</f>
        <v>0</v>
      </c>
      <c r="M238" s="24">
        <f>Kroger_Financial_Model!R187</f>
        <v>0</v>
      </c>
    </row>
    <row r="239" spans="1:18" x14ac:dyDescent="0.3">
      <c r="C239" s="9" t="s">
        <v>65</v>
      </c>
      <c r="D239" s="167" t="s">
        <v>454</v>
      </c>
      <c r="E239" s="24">
        <f>Kroger_Financial_Model!J188+Albertsons_Financial_Model!I185</f>
        <v>0</v>
      </c>
      <c r="F239" s="24">
        <f>Kroger_Financial_Model!K188+Albertsons_Financial_Model!J185</f>
        <v>0</v>
      </c>
      <c r="G239" s="24">
        <f>Kroger_Financial_Model!L188+Albertsons_Financial_Model!K185</f>
        <v>0</v>
      </c>
      <c r="H239" s="24">
        <f>Kroger_Financial_Model!M188+Albertsons_Financial_Model!L185</f>
        <v>0</v>
      </c>
      <c r="I239" s="24">
        <f>Kroger_Financial_Model!N188+Albertsons_Financial_Model!M185</f>
        <v>0</v>
      </c>
      <c r="J239" s="24">
        <f>Kroger_Financial_Model!O188+Albertsons_Financial_Model!N185</f>
        <v>0</v>
      </c>
      <c r="K239" s="24">
        <f>Kroger_Financial_Model!P188+Albertsons_Financial_Model!O185</f>
        <v>0</v>
      </c>
      <c r="L239" s="24">
        <f>Kroger_Financial_Model!Q188+Albertsons_Financial_Model!P185</f>
        <v>0</v>
      </c>
      <c r="M239" s="24">
        <f>Kroger_Financial_Model!R188+Albertsons_Financial_Model!Q185</f>
        <v>0</v>
      </c>
    </row>
    <row r="240" spans="1:18" x14ac:dyDescent="0.3">
      <c r="C240" s="9" t="s">
        <v>392</v>
      </c>
      <c r="D240" s="167" t="s">
        <v>454</v>
      </c>
      <c r="E240" s="24">
        <f>Kroger_Financial_Model!J189+Albertsons_Financial_Model!I184</f>
        <v>0</v>
      </c>
      <c r="F240" s="24">
        <f>Kroger_Financial_Model!K189+Albertsons_Financial_Model!J184</f>
        <v>0</v>
      </c>
      <c r="G240" s="24">
        <f>Kroger_Financial_Model!L189+Albertsons_Financial_Model!K184</f>
        <v>0</v>
      </c>
      <c r="H240" s="24">
        <f>Kroger_Financial_Model!M189+Albertsons_Financial_Model!L184</f>
        <v>0</v>
      </c>
      <c r="I240" s="24">
        <f>Kroger_Financial_Model!N189+Albertsons_Financial_Model!M184</f>
        <v>0</v>
      </c>
      <c r="J240" s="24">
        <f>Kroger_Financial_Model!O189+Albertsons_Financial_Model!N184</f>
        <v>0</v>
      </c>
      <c r="K240" s="24">
        <f>Kroger_Financial_Model!P189+Albertsons_Financial_Model!O184</f>
        <v>0</v>
      </c>
      <c r="L240" s="24">
        <f>Kroger_Financial_Model!Q189+Albertsons_Financial_Model!P184</f>
        <v>0</v>
      </c>
      <c r="M240" s="24">
        <f>Kroger_Financial_Model!R189+Albertsons_Financial_Model!Q184</f>
        <v>0</v>
      </c>
    </row>
    <row r="241" spans="2:13" x14ac:dyDescent="0.3">
      <c r="C241" s="9" t="s">
        <v>393</v>
      </c>
      <c r="D241" s="167" t="s">
        <v>454</v>
      </c>
      <c r="E241" s="24">
        <f>Kroger_Financial_Model!J190</f>
        <v>71.75</v>
      </c>
      <c r="F241" s="24">
        <f>Kroger_Financial_Model!K190</f>
        <v>71.75</v>
      </c>
      <c r="G241" s="24">
        <f>Kroger_Financial_Model!L190</f>
        <v>71.75</v>
      </c>
      <c r="H241" s="24">
        <f>Kroger_Financial_Model!M190</f>
        <v>71.75</v>
      </c>
      <c r="I241" s="24">
        <f>Kroger_Financial_Model!N190</f>
        <v>71.75</v>
      </c>
      <c r="J241" s="24">
        <f>Kroger_Financial_Model!O190</f>
        <v>71.75</v>
      </c>
      <c r="K241" s="24">
        <f>Kroger_Financial_Model!P190</f>
        <v>71.75</v>
      </c>
      <c r="L241" s="24">
        <f>Kroger_Financial_Model!Q190</f>
        <v>71.75</v>
      </c>
      <c r="M241" s="24">
        <f>Kroger_Financial_Model!R190</f>
        <v>71.75</v>
      </c>
    </row>
    <row r="242" spans="2:13" x14ac:dyDescent="0.3">
      <c r="C242" s="9" t="s">
        <v>66</v>
      </c>
      <c r="D242" s="167" t="s">
        <v>454</v>
      </c>
      <c r="E242" s="43">
        <f>Kroger_Financial_Model!J191+Albertsons_Financial_Model!I187</f>
        <v>372.44999999999254</v>
      </c>
      <c r="F242" s="43">
        <f>Kroger_Financial_Model!K191+Albertsons_Financial_Model!J187</f>
        <v>372.44999999999254</v>
      </c>
      <c r="G242" s="43">
        <f>Kroger_Financial_Model!L191+Albertsons_Financial_Model!K187</f>
        <v>372.44999999999254</v>
      </c>
      <c r="H242" s="43">
        <f>Kroger_Financial_Model!M191+Albertsons_Financial_Model!L187</f>
        <v>372.44999999999254</v>
      </c>
      <c r="I242" s="43">
        <f>Kroger_Financial_Model!N191+Albertsons_Financial_Model!M187</f>
        <v>372.44999999999254</v>
      </c>
      <c r="J242" s="43">
        <f>Kroger_Financial_Model!O191+Albertsons_Financial_Model!N187</f>
        <v>372.44999999999254</v>
      </c>
      <c r="K242" s="43">
        <f>Kroger_Financial_Model!P191+Albertsons_Financial_Model!O187</f>
        <v>372.44999999999254</v>
      </c>
      <c r="L242" s="43">
        <f>Kroger_Financial_Model!Q191+Albertsons_Financial_Model!P187</f>
        <v>372.44999999999254</v>
      </c>
      <c r="M242" s="43">
        <f>Kroger_Financial_Model!R191+Albertsons_Financial_Model!Q187</f>
        <v>372.44999999999254</v>
      </c>
    </row>
    <row r="243" spans="2:13" x14ac:dyDescent="0.3">
      <c r="C243" s="9" t="s">
        <v>432</v>
      </c>
      <c r="D243" s="167" t="s">
        <v>454</v>
      </c>
      <c r="E243" s="43">
        <f>Kroger_Financial_Model!J192+Albertsons_Financial_Model!I186</f>
        <v>58.692722694120945</v>
      </c>
      <c r="F243" s="43">
        <f>Kroger_Financial_Model!K192+Albertsons_Financial_Model!J186</f>
        <v>62.469525518252993</v>
      </c>
      <c r="G243" s="43">
        <f>Kroger_Financial_Model!L192+Albertsons_Financial_Model!K186</f>
        <v>66.991360383737799</v>
      </c>
      <c r="H243" s="43">
        <f>Kroger_Financial_Model!M192+Albertsons_Financial_Model!L186</f>
        <v>72.681236545333221</v>
      </c>
      <c r="I243" s="43">
        <f>Kroger_Financial_Model!N192+Albertsons_Financial_Model!M186</f>
        <v>77.835627793930996</v>
      </c>
      <c r="J243" s="43">
        <f>Kroger_Financial_Model!O192+Albertsons_Financial_Model!N186</f>
        <v>82.2547360976113</v>
      </c>
      <c r="K243" s="43">
        <f>Kroger_Financial_Model!P192+Albertsons_Financial_Model!O186</f>
        <v>86.586342709798586</v>
      </c>
      <c r="L243" s="43">
        <f>Kroger_Financial_Model!Q192+Albertsons_Financial_Model!P186</f>
        <v>91.029927997320883</v>
      </c>
      <c r="M243" s="43">
        <f>Kroger_Financial_Model!R192+Albertsons_Financial_Model!Q186</f>
        <v>95.235610303077664</v>
      </c>
    </row>
    <row r="244" spans="2:13" x14ac:dyDescent="0.3">
      <c r="C244" s="87" t="s">
        <v>394</v>
      </c>
      <c r="D244" s="88" t="s">
        <v>454</v>
      </c>
      <c r="E244" s="164">
        <f t="shared" ref="E244:M244" si="76">-E133</f>
        <v>157.22660670859702</v>
      </c>
      <c r="F244" s="164">
        <f t="shared" si="76"/>
        <v>154.08207457442509</v>
      </c>
      <c r="G244" s="164">
        <f t="shared" si="76"/>
        <v>151.00043308293658</v>
      </c>
      <c r="H244" s="164">
        <f t="shared" si="76"/>
        <v>147.98042442127786</v>
      </c>
      <c r="I244" s="164">
        <f t="shared" si="76"/>
        <v>145.02081593285232</v>
      </c>
      <c r="J244" s="164">
        <f t="shared" si="76"/>
        <v>142.12039961419526</v>
      </c>
      <c r="K244" s="164">
        <f t="shared" si="76"/>
        <v>139.27799162191133</v>
      </c>
      <c r="L244" s="164">
        <f t="shared" si="76"/>
        <v>136.49243178947313</v>
      </c>
      <c r="M244" s="164">
        <f t="shared" si="76"/>
        <v>133.76258315368366</v>
      </c>
    </row>
    <row r="245" spans="2:13" x14ac:dyDescent="0.3">
      <c r="C245" s="93" t="s">
        <v>395</v>
      </c>
      <c r="D245" s="94" t="s">
        <v>454</v>
      </c>
      <c r="E245" s="166">
        <f t="shared" ref="E245:M245" si="77">-E166</f>
        <v>897.49264622241992</v>
      </c>
      <c r="F245" s="166">
        <f t="shared" si="77"/>
        <v>897.49264622241992</v>
      </c>
      <c r="G245" s="166">
        <f t="shared" si="77"/>
        <v>897.49264622241992</v>
      </c>
      <c r="H245" s="166">
        <f t="shared" si="77"/>
        <v>897.49264622241992</v>
      </c>
      <c r="I245" s="166">
        <f t="shared" si="77"/>
        <v>897.49264622241981</v>
      </c>
      <c r="J245" s="166">
        <f t="shared" si="77"/>
        <v>0</v>
      </c>
      <c r="K245" s="166">
        <f t="shared" si="77"/>
        <v>0</v>
      </c>
      <c r="L245" s="166">
        <f t="shared" si="77"/>
        <v>0</v>
      </c>
      <c r="M245" s="166">
        <f t="shared" si="77"/>
        <v>0</v>
      </c>
    </row>
    <row r="246" spans="2:13" x14ac:dyDescent="0.3">
      <c r="C246" s="93" t="s">
        <v>396</v>
      </c>
      <c r="D246" s="94" t="s">
        <v>454</v>
      </c>
      <c r="E246" s="166">
        <f t="shared" ref="E246:M246" si="78">-E165</f>
        <v>61.493135211387347</v>
      </c>
      <c r="F246" s="166">
        <f t="shared" si="78"/>
        <v>61.493135211387347</v>
      </c>
      <c r="G246" s="166">
        <f t="shared" si="78"/>
        <v>61.493135211387347</v>
      </c>
      <c r="H246" s="166">
        <f t="shared" si="78"/>
        <v>61.493135211387347</v>
      </c>
      <c r="I246" s="166">
        <f t="shared" si="78"/>
        <v>61.493135211387347</v>
      </c>
      <c r="J246" s="166">
        <f t="shared" si="78"/>
        <v>61.493135211387347</v>
      </c>
      <c r="K246" s="166">
        <f t="shared" si="78"/>
        <v>61.493135211387347</v>
      </c>
      <c r="L246" s="166">
        <f t="shared" si="78"/>
        <v>61.493135211387347</v>
      </c>
      <c r="M246" s="166">
        <f t="shared" si="78"/>
        <v>61.493135211387347</v>
      </c>
    </row>
    <row r="247" spans="2:13" x14ac:dyDescent="0.3">
      <c r="C247" s="93" t="s">
        <v>397</v>
      </c>
      <c r="D247" s="94" t="s">
        <v>454</v>
      </c>
      <c r="E247" s="166">
        <f t="shared" ref="E247:M247" si="79">-E173</f>
        <v>52.408868902865677</v>
      </c>
      <c r="F247" s="166">
        <f t="shared" si="79"/>
        <v>52.408868902865677</v>
      </c>
      <c r="G247" s="166">
        <f t="shared" si="79"/>
        <v>52.408868902865677</v>
      </c>
      <c r="H247" s="166">
        <f t="shared" si="79"/>
        <v>52.408868902865677</v>
      </c>
      <c r="I247" s="166">
        <f t="shared" si="79"/>
        <v>52.408868902865677</v>
      </c>
      <c r="J247" s="166">
        <f t="shared" si="79"/>
        <v>52.408868902865677</v>
      </c>
      <c r="K247" s="166">
        <f t="shared" si="79"/>
        <v>52.408868902865677</v>
      </c>
      <c r="L247" s="166">
        <f t="shared" si="79"/>
        <v>52.408868902865677</v>
      </c>
      <c r="M247" s="166">
        <f t="shared" si="79"/>
        <v>52.408868902865677</v>
      </c>
    </row>
    <row r="248" spans="2:13" x14ac:dyDescent="0.3">
      <c r="C248" s="90" t="s">
        <v>398</v>
      </c>
      <c r="D248" s="91" t="s">
        <v>454</v>
      </c>
      <c r="E248" s="92">
        <f t="shared" ref="E248:M248" si="80">-(E245+E246)*Kroger_Tax_Rate</f>
        <v>-195.08569633874498</v>
      </c>
      <c r="F248" s="92">
        <f t="shared" si="80"/>
        <v>-195.08569633874498</v>
      </c>
      <c r="G248" s="92">
        <f t="shared" si="80"/>
        <v>-195.08569633874498</v>
      </c>
      <c r="H248" s="92">
        <f t="shared" si="80"/>
        <v>-195.08569633874498</v>
      </c>
      <c r="I248" s="92">
        <f t="shared" si="80"/>
        <v>-195.08569633874495</v>
      </c>
      <c r="J248" s="92">
        <f t="shared" si="80"/>
        <v>-12.509498404480919</v>
      </c>
      <c r="K248" s="92">
        <f t="shared" si="80"/>
        <v>-12.509498404480919</v>
      </c>
      <c r="L248" s="92">
        <f t="shared" si="80"/>
        <v>-12.509498404480919</v>
      </c>
      <c r="M248" s="92">
        <f t="shared" si="80"/>
        <v>-12.509498404480919</v>
      </c>
    </row>
    <row r="249" spans="2:13" x14ac:dyDescent="0.3">
      <c r="C249" s="98" t="s">
        <v>400</v>
      </c>
      <c r="D249" s="170" t="s">
        <v>454</v>
      </c>
      <c r="E249" s="97">
        <f>Kroger_Financial_Model!J193+Albertsons_Financial_Model!I188</f>
        <v>162.62249945383883</v>
      </c>
      <c r="F249" s="97">
        <f>Kroger_Financial_Model!K193+Albertsons_Financial_Model!J188</f>
        <v>166.37183123035356</v>
      </c>
      <c r="G249" s="97">
        <f>Kroger_Financial_Model!L193+Albertsons_Financial_Model!K188</f>
        <v>149.01864129313435</v>
      </c>
      <c r="H249" s="97">
        <f>Kroger_Financial_Model!M193+Albertsons_Financial_Model!L188</f>
        <v>120.57570162208413</v>
      </c>
      <c r="I249" s="97">
        <f>Kroger_Financial_Model!N193+Albertsons_Financial_Model!M188</f>
        <v>111.03508365578818</v>
      </c>
      <c r="J249" s="97">
        <f>Kroger_Financial_Model!O193+Albertsons_Financial_Model!N188</f>
        <v>106.24705651037038</v>
      </c>
      <c r="K249" s="97">
        <f>Kroger_Financial_Model!P193+Albertsons_Financial_Model!O188</f>
        <v>100.51613316681869</v>
      </c>
      <c r="L249" s="97">
        <f>Kroger_Financial_Model!Q193+Albertsons_Financial_Model!P188</f>
        <v>96.625899504530935</v>
      </c>
      <c r="M249" s="97">
        <f>Kroger_Financial_Model!R193+Albertsons_Financial_Model!Q188</f>
        <v>91.853337130191903</v>
      </c>
    </row>
    <row r="250" spans="2:13" s="5" customFormat="1" x14ac:dyDescent="0.3">
      <c r="C250" s="5" t="s">
        <v>70</v>
      </c>
      <c r="D250" s="167" t="s">
        <v>454</v>
      </c>
      <c r="E250" s="26">
        <f>SUM(E237:E249)+E235</f>
        <v>11711.379409360683</v>
      </c>
      <c r="F250" s="26">
        <f t="shared" ref="F250:M250" si="81">SUM(F237:F249)+F235</f>
        <v>13311.034586276648</v>
      </c>
      <c r="G250" s="26">
        <f t="shared" si="81"/>
        <v>14425.854744167591</v>
      </c>
      <c r="H250" s="26">
        <f t="shared" si="81"/>
        <v>15436.748714718262</v>
      </c>
      <c r="I250" s="26">
        <f t="shared" si="81"/>
        <v>16795.706070629716</v>
      </c>
      <c r="J250" s="26">
        <f t="shared" si="81"/>
        <v>18022.482072591811</v>
      </c>
      <c r="K250" s="26">
        <f t="shared" si="81"/>
        <v>19069.684871176418</v>
      </c>
      <c r="L250" s="26">
        <f t="shared" si="81"/>
        <v>19962.601804274051</v>
      </c>
      <c r="M250" s="26">
        <f t="shared" si="81"/>
        <v>20711.768953941664</v>
      </c>
    </row>
    <row r="251" spans="2:13" x14ac:dyDescent="0.3">
      <c r="D251" s="167"/>
    </row>
    <row r="252" spans="2:13" x14ac:dyDescent="0.3">
      <c r="B252" s="33" t="s">
        <v>399</v>
      </c>
      <c r="C252" s="32"/>
      <c r="D252" s="175"/>
      <c r="E252" s="32"/>
      <c r="F252" s="32"/>
      <c r="G252" s="32"/>
      <c r="H252" s="32"/>
      <c r="I252" s="32"/>
      <c r="J252" s="32"/>
      <c r="K252" s="32"/>
      <c r="L252" s="32"/>
      <c r="M252" s="32"/>
    </row>
    <row r="253" spans="2:13" x14ac:dyDescent="0.3">
      <c r="C253" s="9" t="s">
        <v>181</v>
      </c>
      <c r="D253" s="167" t="s">
        <v>454</v>
      </c>
      <c r="E253" s="24">
        <f>Kroger_Financial_Model!J197+Albertsons_Financial_Model!I192</f>
        <v>-5774.6075064818106</v>
      </c>
      <c r="F253" s="24">
        <f>Kroger_Financial_Model!K197+Albertsons_Financial_Model!J192</f>
        <v>-6090.15201758691</v>
      </c>
      <c r="G253" s="24">
        <f>Kroger_Financial_Model!L197+Albertsons_Financial_Model!K192</f>
        <v>-6377.8130748421827</v>
      </c>
      <c r="H253" s="24">
        <f>Kroger_Financial_Model!M197+Albertsons_Financial_Model!L192</f>
        <v>-6617.5241068282485</v>
      </c>
      <c r="I253" s="24">
        <f>Kroger_Financial_Model!N197+Albertsons_Financial_Model!M192</f>
        <v>-6844.7414780321615</v>
      </c>
      <c r="J253" s="24">
        <f>Kroger_Financial_Model!O197+Albertsons_Financial_Model!N192</f>
        <v>-7066.069304326109</v>
      </c>
      <c r="K253" s="24">
        <f>Kroger_Financial_Model!P197+Albertsons_Financial_Model!O192</f>
        <v>-7279.3148495980531</v>
      </c>
      <c r="L253" s="24">
        <f>Kroger_Financial_Model!Q197+Albertsons_Financial_Model!P192</f>
        <v>-7488.2626250445592</v>
      </c>
      <c r="M253" s="24">
        <f>Kroger_Financial_Model!R197+Albertsons_Financial_Model!Q192</f>
        <v>-7690.3464604896981</v>
      </c>
    </row>
    <row r="254" spans="2:13" x14ac:dyDescent="0.3">
      <c r="C254" s="9" t="s">
        <v>401</v>
      </c>
      <c r="D254" s="167" t="s">
        <v>454</v>
      </c>
      <c r="E254" s="24">
        <f>Kroger_Financial_Model!J198+Albertsons_Financial_Model!I193</f>
        <v>0</v>
      </c>
      <c r="F254" s="24">
        <f>Kroger_Financial_Model!K198+Albertsons_Financial_Model!J193</f>
        <v>0</v>
      </c>
      <c r="G254" s="24">
        <f>Kroger_Financial_Model!L198+Albertsons_Financial_Model!K193</f>
        <v>0</v>
      </c>
      <c r="H254" s="24">
        <f>Kroger_Financial_Model!M198+Albertsons_Financial_Model!L193</f>
        <v>0</v>
      </c>
      <c r="I254" s="24">
        <f>Kroger_Financial_Model!N198+Albertsons_Financial_Model!M193</f>
        <v>0</v>
      </c>
      <c r="J254" s="24">
        <f>Kroger_Financial_Model!O198+Albertsons_Financial_Model!N193</f>
        <v>0</v>
      </c>
      <c r="K254" s="24">
        <f>Kroger_Financial_Model!P198+Albertsons_Financial_Model!O193</f>
        <v>0</v>
      </c>
      <c r="L254" s="24">
        <f>Kroger_Financial_Model!Q198+Albertsons_Financial_Model!P193</f>
        <v>0</v>
      </c>
      <c r="M254" s="24">
        <f>Kroger_Financial_Model!R198+Albertsons_Financial_Model!Q193</f>
        <v>0</v>
      </c>
    </row>
    <row r="255" spans="2:13" x14ac:dyDescent="0.3">
      <c r="C255" s="9" t="s">
        <v>402</v>
      </c>
      <c r="D255" s="167" t="s">
        <v>454</v>
      </c>
      <c r="E255" s="24">
        <f>Albertsons_Financial_Model!I194</f>
        <v>0</v>
      </c>
      <c r="F255" s="24">
        <f>Albertsons_Financial_Model!J194</f>
        <v>0</v>
      </c>
      <c r="G255" s="24">
        <f>Albertsons_Financial_Model!K194</f>
        <v>0</v>
      </c>
      <c r="H255" s="24">
        <f>Albertsons_Financial_Model!L194</f>
        <v>0</v>
      </c>
      <c r="I255" s="24">
        <f>Albertsons_Financial_Model!M194</f>
        <v>0</v>
      </c>
      <c r="J255" s="24">
        <f>Albertsons_Financial_Model!N194</f>
        <v>0</v>
      </c>
      <c r="K255" s="24">
        <f>Albertsons_Financial_Model!O194</f>
        <v>0</v>
      </c>
      <c r="L255" s="24">
        <f>Albertsons_Financial_Model!P194</f>
        <v>0</v>
      </c>
      <c r="M255" s="24">
        <f>Albertsons_Financial_Model!Q194</f>
        <v>0</v>
      </c>
    </row>
    <row r="256" spans="2:13" x14ac:dyDescent="0.3">
      <c r="C256" s="22" t="s">
        <v>177</v>
      </c>
      <c r="D256" s="171" t="s">
        <v>454</v>
      </c>
      <c r="E256" s="25">
        <f>Kroger_Financial_Model!J199+Albertsons_Financial_Model!I195</f>
        <v>-3.083333333333333</v>
      </c>
      <c r="F256" s="25">
        <f>Kroger_Financial_Model!K199+Albertsons_Financial_Model!J195</f>
        <v>-3.083333333333333</v>
      </c>
      <c r="G256" s="25">
        <f>Kroger_Financial_Model!L199+Albertsons_Financial_Model!K195</f>
        <v>-3.083333333333333</v>
      </c>
      <c r="H256" s="25">
        <f>Kroger_Financial_Model!M199+Albertsons_Financial_Model!L195</f>
        <v>-3.083333333333333</v>
      </c>
      <c r="I256" s="25">
        <f>Kroger_Financial_Model!N199+Albertsons_Financial_Model!M195</f>
        <v>-3.083333333333333</v>
      </c>
      <c r="J256" s="25">
        <f>Kroger_Financial_Model!O199+Albertsons_Financial_Model!N195</f>
        <v>-3.083333333333333</v>
      </c>
      <c r="K256" s="25">
        <f>Kroger_Financial_Model!P199+Albertsons_Financial_Model!O195</f>
        <v>-3.083333333333333</v>
      </c>
      <c r="L256" s="25">
        <f>Kroger_Financial_Model!Q199+Albertsons_Financial_Model!P195</f>
        <v>-3.083333333333333</v>
      </c>
      <c r="M256" s="25">
        <f>Kroger_Financial_Model!R199+Albertsons_Financial_Model!Q195</f>
        <v>-3.083333333333333</v>
      </c>
    </row>
    <row r="257" spans="2:16" s="5" customFormat="1" x14ac:dyDescent="0.3">
      <c r="C257" s="5" t="s">
        <v>71</v>
      </c>
      <c r="D257" s="167" t="s">
        <v>454</v>
      </c>
      <c r="E257" s="26">
        <f>SUM(E253:E256)</f>
        <v>-5777.6908398151436</v>
      </c>
      <c r="F257" s="26">
        <f t="shared" ref="F257:M257" si="82">SUM(F253:F256)</f>
        <v>-6093.235350920243</v>
      </c>
      <c r="G257" s="26">
        <f t="shared" si="82"/>
        <v>-6380.8964081755157</v>
      </c>
      <c r="H257" s="26">
        <f t="shared" si="82"/>
        <v>-6620.6074401615815</v>
      </c>
      <c r="I257" s="26">
        <f t="shared" si="82"/>
        <v>-6847.8248113654945</v>
      </c>
      <c r="J257" s="26">
        <f t="shared" si="82"/>
        <v>-7069.152637659442</v>
      </c>
      <c r="K257" s="26">
        <f t="shared" si="82"/>
        <v>-7282.3981829313861</v>
      </c>
      <c r="L257" s="26">
        <f t="shared" si="82"/>
        <v>-7491.3459583778922</v>
      </c>
      <c r="M257" s="26">
        <f t="shared" si="82"/>
        <v>-7693.4297938230311</v>
      </c>
    </row>
    <row r="258" spans="2:16" x14ac:dyDescent="0.3">
      <c r="D258" s="167"/>
    </row>
    <row r="259" spans="2:16" x14ac:dyDescent="0.3">
      <c r="B259" s="33" t="s">
        <v>403</v>
      </c>
      <c r="C259" s="32"/>
      <c r="D259" s="175"/>
      <c r="E259" s="32"/>
      <c r="F259" s="32"/>
      <c r="G259" s="32"/>
      <c r="H259" s="32"/>
      <c r="I259" s="32"/>
      <c r="J259" s="32"/>
      <c r="K259" s="32"/>
      <c r="L259" s="32"/>
      <c r="M259" s="32"/>
    </row>
    <row r="260" spans="2:16" x14ac:dyDescent="0.3">
      <c r="C260" s="9" t="s">
        <v>186</v>
      </c>
      <c r="D260" s="167" t="s">
        <v>454</v>
      </c>
      <c r="E260" s="43">
        <f>Kroger_Financial_Model!J203+Albertsons_Financial_Model!I199</f>
        <v>0</v>
      </c>
      <c r="F260" s="43">
        <f>Kroger_Financial_Model!K203+Albertsons_Financial_Model!J199</f>
        <v>0</v>
      </c>
      <c r="G260" s="43">
        <f>Kroger_Financial_Model!L203+Albertsons_Financial_Model!K199</f>
        <v>0</v>
      </c>
      <c r="H260" s="43">
        <f>Kroger_Financial_Model!M203+Albertsons_Financial_Model!L199</f>
        <v>0</v>
      </c>
      <c r="I260" s="43">
        <f>Kroger_Financial_Model!N203+Albertsons_Financial_Model!M199</f>
        <v>0</v>
      </c>
      <c r="J260" s="43">
        <f>Kroger_Financial_Model!O203+Albertsons_Financial_Model!N199</f>
        <v>0</v>
      </c>
      <c r="K260" s="43">
        <f>Kroger_Financial_Model!P203+Albertsons_Financial_Model!O199</f>
        <v>0</v>
      </c>
      <c r="L260" s="43">
        <f>Kroger_Financial_Model!Q203+Albertsons_Financial_Model!P199</f>
        <v>0</v>
      </c>
      <c r="M260" s="43">
        <f>Kroger_Financial_Model!R203+Albertsons_Financial_Model!Q199</f>
        <v>0</v>
      </c>
    </row>
    <row r="261" spans="2:16" x14ac:dyDescent="0.3">
      <c r="C261" s="9" t="s">
        <v>404</v>
      </c>
      <c r="D261" s="167" t="s">
        <v>454</v>
      </c>
      <c r="E261" s="24">
        <f>Kroger_Financial_Model!J204+Albertsons_Financial_Model!I200</f>
        <v>-253.89571439999997</v>
      </c>
      <c r="F261" s="24">
        <f>Kroger_Financial_Model!K204+Albertsons_Financial_Model!J200</f>
        <v>-308.6982749764</v>
      </c>
      <c r="G261" s="24">
        <f>Kroger_Financial_Model!L204+Albertsons_Financial_Model!K200</f>
        <v>-4351.2617924936485</v>
      </c>
      <c r="H261" s="24">
        <f>Kroger_Financial_Model!M204+Albertsons_Financial_Model!L200</f>
        <v>-2465.2444463806664</v>
      </c>
      <c r="I261" s="24">
        <f>Kroger_Financial_Model!N204+Albertsons_Financial_Model!M200</f>
        <v>-1156.822518667941</v>
      </c>
      <c r="J261" s="24">
        <f>Kroger_Financial_Model!O204+Albertsons_Financial_Model!N200</f>
        <v>-1159.9729407243128</v>
      </c>
      <c r="K261" s="24">
        <f>Kroger_Financial_Model!P204+Albertsons_Financial_Model!O200</f>
        <v>-1163.6695781341423</v>
      </c>
      <c r="L261" s="24">
        <f>Kroger_Financial_Model!Q204+Albertsons_Financial_Model!P200</f>
        <v>-1362.9250119814633</v>
      </c>
      <c r="M261" s="24">
        <f>Kroger_Financial_Model!R204+Albertsons_Financial_Model!Q200</f>
        <v>-1152.58676872155</v>
      </c>
    </row>
    <row r="262" spans="2:16" x14ac:dyDescent="0.3">
      <c r="C262" s="9" t="s">
        <v>405</v>
      </c>
      <c r="D262" s="167" t="s">
        <v>454</v>
      </c>
      <c r="E262" s="24">
        <f>Kroger_Financial_Model!J205</f>
        <v>0</v>
      </c>
      <c r="F262" s="24">
        <f>Kroger_Financial_Model!K205</f>
        <v>0</v>
      </c>
      <c r="G262" s="24">
        <f>Kroger_Financial_Model!L205</f>
        <v>0</v>
      </c>
      <c r="H262" s="24">
        <f>Kroger_Financial_Model!M205</f>
        <v>0</v>
      </c>
      <c r="I262" s="24">
        <f>Kroger_Financial_Model!N205</f>
        <v>0</v>
      </c>
      <c r="J262" s="24">
        <f>Kroger_Financial_Model!O205</f>
        <v>0</v>
      </c>
      <c r="K262" s="24">
        <f>Kroger_Financial_Model!P205</f>
        <v>0</v>
      </c>
      <c r="L262" s="24">
        <f>Kroger_Financial_Model!Q205</f>
        <v>0</v>
      </c>
      <c r="M262" s="24">
        <f>Kroger_Financial_Model!R205</f>
        <v>0</v>
      </c>
    </row>
    <row r="263" spans="2:16" x14ac:dyDescent="0.3">
      <c r="C263" s="9" t="s">
        <v>187</v>
      </c>
      <c r="D263" s="167" t="s">
        <v>454</v>
      </c>
      <c r="E263" s="24">
        <f>Kroger_Financial_Model!J206+Albertsons_Financial_Model!I201</f>
        <v>0</v>
      </c>
      <c r="F263" s="24">
        <f>Kroger_Financial_Model!K206+Albertsons_Financial_Model!J201</f>
        <v>0</v>
      </c>
      <c r="G263" s="24">
        <f>Kroger_Financial_Model!L206+Albertsons_Financial_Model!K201</f>
        <v>0</v>
      </c>
      <c r="H263" s="24">
        <f>Kroger_Financial_Model!M206+Albertsons_Financial_Model!L201</f>
        <v>0</v>
      </c>
      <c r="I263" s="24">
        <f>Kroger_Financial_Model!N206+Albertsons_Financial_Model!M201</f>
        <v>0</v>
      </c>
      <c r="J263" s="24">
        <f>Kroger_Financial_Model!O206+Albertsons_Financial_Model!N201</f>
        <v>0</v>
      </c>
      <c r="K263" s="24">
        <f>Kroger_Financial_Model!P206+Albertsons_Financial_Model!O201</f>
        <v>0</v>
      </c>
      <c r="L263" s="24">
        <f>Kroger_Financial_Model!Q206+Albertsons_Financial_Model!P201</f>
        <v>0</v>
      </c>
      <c r="M263" s="24">
        <f>Kroger_Financial_Model!R206+Albertsons_Financial_Model!Q201</f>
        <v>0</v>
      </c>
    </row>
    <row r="264" spans="2:16" x14ac:dyDescent="0.3">
      <c r="C264" s="9" t="s">
        <v>177</v>
      </c>
      <c r="D264" s="167" t="s">
        <v>454</v>
      </c>
      <c r="E264" s="29">
        <f>Kroger_Financial_Model!J207+Albertsons_Financial_Model!I202</f>
        <v>-219.80000000000035</v>
      </c>
      <c r="F264" s="29">
        <f>Kroger_Financial_Model!K207+Albertsons_Financial_Model!J202</f>
        <v>-219.80000000000035</v>
      </c>
      <c r="G264" s="29">
        <f>Kroger_Financial_Model!L207+Albertsons_Financial_Model!K202</f>
        <v>-219.80000000000035</v>
      </c>
      <c r="H264" s="29">
        <f>Kroger_Financial_Model!M207+Albertsons_Financial_Model!L202</f>
        <v>-219.80000000000035</v>
      </c>
      <c r="I264" s="29">
        <f>Kroger_Financial_Model!N207+Albertsons_Financial_Model!M202</f>
        <v>-219.80000000000035</v>
      </c>
      <c r="J264" s="29">
        <f>Kroger_Financial_Model!O207+Albertsons_Financial_Model!N202</f>
        <v>-219.80000000000035</v>
      </c>
      <c r="K264" s="29">
        <f>Kroger_Financial_Model!P207+Albertsons_Financial_Model!O202</f>
        <v>-219.80000000000035</v>
      </c>
      <c r="L264" s="29">
        <f>Kroger_Financial_Model!Q207+Albertsons_Financial_Model!P202</f>
        <v>-219.80000000000035</v>
      </c>
      <c r="M264" s="29">
        <f>Kroger_Financial_Model!R207+Albertsons_Financial_Model!Q202</f>
        <v>-219.80000000000035</v>
      </c>
    </row>
    <row r="265" spans="2:16" x14ac:dyDescent="0.3">
      <c r="C265" s="87" t="s">
        <v>407</v>
      </c>
      <c r="D265" s="88" t="s">
        <v>454</v>
      </c>
      <c r="E265" s="164">
        <f t="shared" ref="E265:M265" si="83">E138</f>
        <v>-628.90642683438818</v>
      </c>
      <c r="F265" s="164">
        <f t="shared" si="83"/>
        <v>-1902.353859885842</v>
      </c>
      <c r="G265" s="164">
        <f t="shared" si="83"/>
        <v>-697.7978850072052</v>
      </c>
      <c r="H265" s="164">
        <f t="shared" si="83"/>
        <v>-2980.0513538741538</v>
      </c>
      <c r="I265" s="164">
        <f t="shared" si="83"/>
        <v>-2404.2184915125595</v>
      </c>
      <c r="J265" s="164">
        <f t="shared" si="83"/>
        <v>-752.18482428608399</v>
      </c>
      <c r="K265" s="164">
        <f t="shared" si="83"/>
        <v>-742.64515061363591</v>
      </c>
      <c r="L265" s="164">
        <f t="shared" si="83"/>
        <v>-785.8492091280616</v>
      </c>
      <c r="M265" s="164">
        <f t="shared" si="83"/>
        <v>-829.37423017028755</v>
      </c>
      <c r="N265" s="24"/>
      <c r="O265" s="24"/>
      <c r="P265" s="24"/>
    </row>
    <row r="266" spans="2:16" x14ac:dyDescent="0.3">
      <c r="C266" s="90" t="s">
        <v>408</v>
      </c>
      <c r="D266" s="91" t="s">
        <v>454</v>
      </c>
      <c r="E266" s="165">
        <f t="shared" ref="E266:M266" si="84">E140</f>
        <v>1239.3816682645911</v>
      </c>
      <c r="F266" s="165">
        <f t="shared" si="84"/>
        <v>0</v>
      </c>
      <c r="G266" s="165">
        <f t="shared" si="84"/>
        <v>0</v>
      </c>
      <c r="H266" s="165">
        <f t="shared" si="84"/>
        <v>0</v>
      </c>
      <c r="I266" s="165">
        <f t="shared" si="84"/>
        <v>0</v>
      </c>
      <c r="J266" s="165">
        <f t="shared" si="84"/>
        <v>0</v>
      </c>
      <c r="K266" s="165">
        <f t="shared" si="84"/>
        <v>0</v>
      </c>
      <c r="L266" s="165">
        <f t="shared" si="84"/>
        <v>0</v>
      </c>
      <c r="M266" s="165">
        <f t="shared" si="84"/>
        <v>0</v>
      </c>
      <c r="N266" s="24"/>
      <c r="O266" s="24"/>
      <c r="P266" s="24"/>
    </row>
    <row r="267" spans="2:16" s="5" customFormat="1" x14ac:dyDescent="0.3">
      <c r="C267" s="5" t="s">
        <v>406</v>
      </c>
      <c r="D267" s="167" t="s">
        <v>454</v>
      </c>
      <c r="E267" s="56">
        <f>SUM(E260:E266)</f>
        <v>136.77952703020264</v>
      </c>
      <c r="F267" s="56">
        <f t="shared" ref="F267:M267" si="85">SUM(F260:F266)</f>
        <v>-2430.8521348622426</v>
      </c>
      <c r="G267" s="56">
        <f t="shared" si="85"/>
        <v>-5268.8596775008536</v>
      </c>
      <c r="H267" s="56">
        <f t="shared" si="85"/>
        <v>-5665.0958002548205</v>
      </c>
      <c r="I267" s="56">
        <f t="shared" si="85"/>
        <v>-3780.8410101805011</v>
      </c>
      <c r="J267" s="56">
        <f t="shared" si="85"/>
        <v>-2131.9577650103975</v>
      </c>
      <c r="K267" s="56">
        <f t="shared" si="85"/>
        <v>-2126.1147287477788</v>
      </c>
      <c r="L267" s="56">
        <f t="shared" si="85"/>
        <v>-2368.5742211095253</v>
      </c>
      <c r="M267" s="56">
        <f t="shared" si="85"/>
        <v>-2201.760998891838</v>
      </c>
    </row>
    <row r="268" spans="2:16" x14ac:dyDescent="0.3">
      <c r="D268" s="167"/>
    </row>
    <row r="269" spans="2:16" s="5" customFormat="1" x14ac:dyDescent="0.3">
      <c r="C269" s="5" t="s">
        <v>190</v>
      </c>
      <c r="D269" s="167" t="s">
        <v>454</v>
      </c>
      <c r="E269" s="26">
        <f>E267+E257+E250</f>
        <v>6070.4680965757416</v>
      </c>
      <c r="F269" s="26">
        <f t="shared" ref="F269:M269" si="86">F267+F257+F250</f>
        <v>4786.9471004941624</v>
      </c>
      <c r="G269" s="26">
        <f t="shared" si="86"/>
        <v>2776.0986584912207</v>
      </c>
      <c r="H269" s="26">
        <f t="shared" si="86"/>
        <v>3151.0454743018599</v>
      </c>
      <c r="I269" s="26">
        <f t="shared" si="86"/>
        <v>6167.0402490837205</v>
      </c>
      <c r="J269" s="26">
        <f t="shared" si="86"/>
        <v>8821.3716699219713</v>
      </c>
      <c r="K269" s="26">
        <f t="shared" si="86"/>
        <v>9661.1719594972528</v>
      </c>
      <c r="L269" s="26">
        <f t="shared" si="86"/>
        <v>10102.681624786634</v>
      </c>
      <c r="M269" s="26">
        <f t="shared" si="86"/>
        <v>10816.578161226795</v>
      </c>
    </row>
    <row r="272" spans="2:16" x14ac:dyDescent="0.3">
      <c r="B272" s="15" t="s">
        <v>449</v>
      </c>
      <c r="C272" s="80"/>
      <c r="D272" s="81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2:13" x14ac:dyDescent="0.3">
      <c r="B273" s="33" t="s">
        <v>450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</row>
    <row r="274" spans="2:13" x14ac:dyDescent="0.3">
      <c r="C274" s="5" t="s">
        <v>453</v>
      </c>
    </row>
    <row r="276" spans="2:13" x14ac:dyDescent="0.3">
      <c r="C276" s="137" t="s">
        <v>452</v>
      </c>
      <c r="D276" s="137" t="s">
        <v>451</v>
      </c>
      <c r="E276" s="137"/>
      <c r="F276" s="137"/>
      <c r="G276" s="137"/>
      <c r="H276" s="137"/>
      <c r="I276" s="137"/>
      <c r="J276" s="137"/>
      <c r="K276" s="137"/>
      <c r="L276" s="137"/>
      <c r="M276" s="137"/>
    </row>
    <row r="277" spans="2:13" x14ac:dyDescent="0.3">
      <c r="C277" s="138"/>
      <c r="D277" s="136">
        <f>E187</f>
        <v>-8.6474882256394922E-2</v>
      </c>
      <c r="E277" s="139">
        <v>0.15</v>
      </c>
      <c r="F277" s="139">
        <v>0.3</v>
      </c>
      <c r="G277" s="139">
        <f>F277+15%</f>
        <v>0.44999999999999996</v>
      </c>
      <c r="H277" s="139">
        <f t="shared" ref="H277:M277" si="87">G277+15%</f>
        <v>0.6</v>
      </c>
      <c r="I277" s="139">
        <f t="shared" si="87"/>
        <v>0.75</v>
      </c>
      <c r="J277" s="139">
        <f t="shared" si="87"/>
        <v>0.9</v>
      </c>
      <c r="K277" s="139">
        <f t="shared" si="87"/>
        <v>1.05</v>
      </c>
      <c r="L277" s="139">
        <f t="shared" si="87"/>
        <v>1.2</v>
      </c>
      <c r="M277" s="139">
        <f t="shared" si="87"/>
        <v>1.3499999999999999</v>
      </c>
    </row>
    <row r="278" spans="2:13" x14ac:dyDescent="0.3">
      <c r="C278" s="137"/>
      <c r="D278" s="139">
        <f t="array" ref="D278:D286">TRANSPOSE(E277:M277)</f>
        <v>0.15</v>
      </c>
      <c r="E278" s="40">
        <f t="dataTable" ref="E278:M286" dt2D="1" dtr="1" r1="H17" r2="H18" ca="1"/>
        <v>-0.16899967568994589</v>
      </c>
      <c r="F278" s="40">
        <v>-0.15681227776561363</v>
      </c>
      <c r="G278" s="40">
        <v>-0.14462487984127981</v>
      </c>
      <c r="H278" s="40">
        <v>-0.13243748191694177</v>
      </c>
      <c r="I278" s="40">
        <v>-0.12025008399261398</v>
      </c>
      <c r="J278" s="40">
        <v>-0.10806268606827581</v>
      </c>
      <c r="K278" s="40">
        <v>-9.5875288143943541E-2</v>
      </c>
      <c r="L278" s="40">
        <v>-8.3687890219605238E-2</v>
      </c>
      <c r="M278" s="40">
        <v>-7.1500492295276441E-2</v>
      </c>
    </row>
    <row r="279" spans="2:13" x14ac:dyDescent="0.3">
      <c r="C279" s="137"/>
      <c r="D279" s="139">
        <v>0.3</v>
      </c>
      <c r="E279" s="40">
        <v>-0.16662387477306453</v>
      </c>
      <c r="F279" s="40">
        <v>-0.15443647684873227</v>
      </c>
      <c r="G279" s="40">
        <v>-0.14224907892439859</v>
      </c>
      <c r="H279" s="40">
        <v>-0.13006168100006041</v>
      </c>
      <c r="I279" s="40">
        <v>-0.11787428307573264</v>
      </c>
      <c r="J279" s="40">
        <v>-0.10568688515139446</v>
      </c>
      <c r="K279" s="40">
        <v>-9.3499487227062195E-2</v>
      </c>
      <c r="L279" s="40">
        <v>-8.1312089302723892E-2</v>
      </c>
      <c r="M279" s="40">
        <v>-6.9124691378395095E-2</v>
      </c>
    </row>
    <row r="280" spans="2:13" x14ac:dyDescent="0.3">
      <c r="C280" s="137"/>
      <c r="D280" s="139">
        <v>0.44999999999999996</v>
      </c>
      <c r="E280" s="40">
        <v>-0.1642480738561832</v>
      </c>
      <c r="F280" s="40">
        <v>-0.15206067593185094</v>
      </c>
      <c r="G280" s="40">
        <v>-0.13987327800751725</v>
      </c>
      <c r="H280" s="40">
        <v>-0.12768588008317908</v>
      </c>
      <c r="I280" s="40">
        <v>-0.11549848215885143</v>
      </c>
      <c r="J280" s="40">
        <v>-0.10331108423451313</v>
      </c>
      <c r="K280" s="40">
        <v>-9.1123686310180849E-2</v>
      </c>
      <c r="L280" s="40">
        <v>-7.8936288385842546E-2</v>
      </c>
      <c r="M280" s="40">
        <v>-6.6748890461513749E-2</v>
      </c>
    </row>
    <row r="281" spans="2:13" x14ac:dyDescent="0.3">
      <c r="C281" s="137"/>
      <c r="D281" s="139">
        <v>0.6</v>
      </c>
      <c r="E281" s="40">
        <v>-0.16187227293930187</v>
      </c>
      <c r="F281" s="40">
        <v>-0.14968487501496958</v>
      </c>
      <c r="G281" s="40">
        <v>-0.13749747709063589</v>
      </c>
      <c r="H281" s="40">
        <v>-0.12531007916629786</v>
      </c>
      <c r="I281" s="40">
        <v>-0.11312268124197009</v>
      </c>
      <c r="J281" s="40">
        <v>-0.10093528331763178</v>
      </c>
      <c r="K281" s="40">
        <v>-8.8747885393299503E-2</v>
      </c>
      <c r="L281" s="40">
        <v>-7.65604874689612E-2</v>
      </c>
      <c r="M281" s="40">
        <v>-6.4373089544632403E-2</v>
      </c>
    </row>
    <row r="282" spans="2:13" x14ac:dyDescent="0.3">
      <c r="C282" s="137"/>
      <c r="D282" s="139">
        <v>0.75</v>
      </c>
      <c r="E282" s="40">
        <v>-0.15949647202242051</v>
      </c>
      <c r="F282" s="40">
        <v>-0.14730907409808824</v>
      </c>
      <c r="G282" s="40">
        <v>-0.13512167617375456</v>
      </c>
      <c r="H282" s="40">
        <v>-0.12293427824941651</v>
      </c>
      <c r="I282" s="40">
        <v>-0.11074688032508874</v>
      </c>
      <c r="J282" s="40">
        <v>-9.8559482400750437E-2</v>
      </c>
      <c r="K282" s="40">
        <v>-8.6372084476418157E-2</v>
      </c>
      <c r="L282" s="40">
        <v>-7.4184686552079854E-2</v>
      </c>
      <c r="M282" s="40">
        <v>-6.1997288627751057E-2</v>
      </c>
    </row>
    <row r="283" spans="2:13" x14ac:dyDescent="0.3">
      <c r="C283" s="137"/>
      <c r="D283" s="139">
        <v>0.9</v>
      </c>
      <c r="E283" s="40">
        <v>-0.15712067110553918</v>
      </c>
      <c r="F283" s="40">
        <v>-0.14493327318120688</v>
      </c>
      <c r="G283" s="40">
        <v>-0.1327458752568732</v>
      </c>
      <c r="H283" s="40">
        <v>-0.12055847733253516</v>
      </c>
      <c r="I283" s="40">
        <v>-0.10837107940820739</v>
      </c>
      <c r="J283" s="40">
        <v>-9.6183681483869091E-2</v>
      </c>
      <c r="K283" s="40">
        <v>-8.3996283559536825E-2</v>
      </c>
      <c r="L283" s="40">
        <v>-7.1808885635198647E-2</v>
      </c>
      <c r="M283" s="40">
        <v>-5.9621487710869711E-2</v>
      </c>
    </row>
    <row r="284" spans="2:13" x14ac:dyDescent="0.3">
      <c r="C284" s="137"/>
      <c r="D284" s="139">
        <v>1.05</v>
      </c>
      <c r="E284" s="40">
        <v>-0.15474487018865782</v>
      </c>
      <c r="F284" s="40">
        <v>-0.14255747226432555</v>
      </c>
      <c r="G284" s="40">
        <v>-0.13037007433999187</v>
      </c>
      <c r="H284" s="40">
        <v>-0.11818267641565382</v>
      </c>
      <c r="I284" s="40">
        <v>-0.10599527849132605</v>
      </c>
      <c r="J284" s="40">
        <v>-9.3807880566987745E-2</v>
      </c>
      <c r="K284" s="40">
        <v>-8.1620482642655479E-2</v>
      </c>
      <c r="L284" s="40">
        <v>-6.9433084718317301E-2</v>
      </c>
      <c r="M284" s="40">
        <v>-5.724568679398824E-2</v>
      </c>
    </row>
    <row r="285" spans="2:13" x14ac:dyDescent="0.3">
      <c r="C285" s="137"/>
      <c r="D285" s="139">
        <v>1.2</v>
      </c>
      <c r="E285" s="40">
        <v>-0.1523690692717766</v>
      </c>
      <c r="F285" s="40">
        <v>-0.14018167134744422</v>
      </c>
      <c r="G285" s="40">
        <v>-0.12799427342311054</v>
      </c>
      <c r="H285" s="40">
        <v>-0.11580687549877249</v>
      </c>
      <c r="I285" s="40">
        <v>-0.1036194775744447</v>
      </c>
      <c r="J285" s="40">
        <v>-9.1432079650106399E-2</v>
      </c>
      <c r="K285" s="40">
        <v>-7.9244681725774133E-2</v>
      </c>
      <c r="L285" s="40">
        <v>-6.7057283801435955E-2</v>
      </c>
      <c r="M285" s="40">
        <v>-5.4869885877106894E-2</v>
      </c>
    </row>
    <row r="286" spans="2:13" x14ac:dyDescent="0.3">
      <c r="C286" s="137"/>
      <c r="D286" s="139">
        <v>1.3499999999999999</v>
      </c>
      <c r="E286" s="40">
        <v>-0.14999326835489526</v>
      </c>
      <c r="F286" s="40">
        <v>-0.13780587043056286</v>
      </c>
      <c r="G286" s="40">
        <v>-0.12561847250622918</v>
      </c>
      <c r="H286" s="40">
        <v>-0.11343107458189114</v>
      </c>
      <c r="I286" s="40">
        <v>-0.10124367665756336</v>
      </c>
      <c r="J286" s="40">
        <v>-8.9056278733225053E-2</v>
      </c>
      <c r="K286" s="40">
        <v>-7.6868880808892787E-2</v>
      </c>
      <c r="L286" s="40">
        <v>-6.4681482884554609E-2</v>
      </c>
      <c r="M286" s="40">
        <v>-5.2494084960225548E-2</v>
      </c>
    </row>
    <row r="289" spans="3:13" x14ac:dyDescent="0.3">
      <c r="C289" s="137" t="s">
        <v>452</v>
      </c>
      <c r="D289" s="137" t="s">
        <v>451</v>
      </c>
      <c r="E289" s="137"/>
      <c r="F289" s="137"/>
      <c r="G289" s="137"/>
      <c r="H289" s="137"/>
      <c r="I289" s="137"/>
      <c r="J289" s="137"/>
      <c r="K289" s="137"/>
      <c r="L289" s="137"/>
      <c r="M289" s="137"/>
    </row>
    <row r="290" spans="3:13" x14ac:dyDescent="0.3">
      <c r="C290" s="138"/>
      <c r="D290" s="136">
        <f>F187</f>
        <v>0.10409690577816112</v>
      </c>
      <c r="E290" s="139">
        <v>0.15</v>
      </c>
      <c r="F290" s="139">
        <v>0.3</v>
      </c>
      <c r="G290" s="139">
        <f>F290+15%</f>
        <v>0.44999999999999996</v>
      </c>
      <c r="H290" s="139">
        <f t="shared" ref="H290:M290" si="88">G290+15%</f>
        <v>0.6</v>
      </c>
      <c r="I290" s="139">
        <f t="shared" si="88"/>
        <v>0.75</v>
      </c>
      <c r="J290" s="139">
        <f t="shared" si="88"/>
        <v>0.9</v>
      </c>
      <c r="K290" s="139">
        <f t="shared" si="88"/>
        <v>1.05</v>
      </c>
      <c r="L290" s="139">
        <f t="shared" si="88"/>
        <v>1.2</v>
      </c>
      <c r="M290" s="139">
        <f t="shared" si="88"/>
        <v>1.3499999999999999</v>
      </c>
    </row>
    <row r="291" spans="3:13" x14ac:dyDescent="0.3">
      <c r="C291" s="137"/>
      <c r="D291" s="139">
        <f t="array" ref="D291:D299">TRANSPOSE(E290:M290)</f>
        <v>0.15</v>
      </c>
      <c r="E291" s="40">
        <f t="dataTable" ref="E291:M299" dt2D="1" dtr="1" r1="H17" r2="H18"/>
        <v>-3.7708551204803174E-2</v>
      </c>
      <c r="F291" s="40">
        <v>-2.1742903688842949E-2</v>
      </c>
      <c r="G291" s="40">
        <v>-5.7772561728867125E-3</v>
      </c>
      <c r="H291" s="40">
        <v>1.0188391343073757E-2</v>
      </c>
      <c r="I291" s="40">
        <v>2.6154038859041481E-2</v>
      </c>
      <c r="J291" s="40">
        <v>4.2119686375002074E-2</v>
      </c>
      <c r="K291" s="40">
        <v>5.8085333890957942E-2</v>
      </c>
      <c r="L291" s="40">
        <v>7.4050981406918778E-2</v>
      </c>
      <c r="M291" s="40">
        <v>9.0016628922878997E-2</v>
      </c>
    </row>
    <row r="292" spans="3:13" x14ac:dyDescent="0.3">
      <c r="C292" s="137"/>
      <c r="D292" s="139">
        <v>0.3</v>
      </c>
      <c r="E292" s="40">
        <v>-2.8649706312004364E-2</v>
      </c>
      <c r="F292" s="40">
        <v>-1.2684058796044137E-2</v>
      </c>
      <c r="G292" s="40">
        <v>3.2815887199119783E-3</v>
      </c>
      <c r="H292" s="40">
        <v>1.9247236235872447E-2</v>
      </c>
      <c r="I292" s="40">
        <v>3.5212883751840292E-2</v>
      </c>
      <c r="J292" s="40">
        <v>5.1178531267800885E-2</v>
      </c>
      <c r="K292" s="40">
        <v>6.7144178783756753E-2</v>
      </c>
      <c r="L292" s="40">
        <v>8.3109826299717471E-2</v>
      </c>
      <c r="M292" s="40">
        <v>9.9075473815677453E-2</v>
      </c>
    </row>
    <row r="293" spans="3:13" x14ac:dyDescent="0.3">
      <c r="C293" s="137"/>
      <c r="D293" s="139">
        <v>0.44999999999999996</v>
      </c>
      <c r="E293" s="40">
        <v>-1.959086141920555E-2</v>
      </c>
      <c r="F293" s="40">
        <v>-3.6252139032454454E-3</v>
      </c>
      <c r="G293" s="40">
        <v>1.234043361271079E-2</v>
      </c>
      <c r="H293" s="40">
        <v>2.8306081128671258E-2</v>
      </c>
      <c r="I293" s="40">
        <v>4.4271728644639102E-2</v>
      </c>
      <c r="J293" s="40">
        <v>6.0237376160599578E-2</v>
      </c>
      <c r="K293" s="40">
        <v>7.620302367655557E-2</v>
      </c>
      <c r="L293" s="40">
        <v>9.2168671192516038E-2</v>
      </c>
      <c r="M293" s="40">
        <v>0.10813431870847638</v>
      </c>
    </row>
    <row r="294" spans="3:13" x14ac:dyDescent="0.3">
      <c r="C294" s="137"/>
      <c r="D294" s="139">
        <v>0.6</v>
      </c>
      <c r="E294" s="40">
        <v>-1.053201652640698E-2</v>
      </c>
      <c r="F294" s="40">
        <v>5.4336309895533664E-3</v>
      </c>
      <c r="G294" s="40">
        <v>2.1399278505509239E-2</v>
      </c>
      <c r="H294" s="40">
        <v>3.7364926021470068E-2</v>
      </c>
      <c r="I294" s="40">
        <v>5.3330573537437677E-2</v>
      </c>
      <c r="J294" s="40">
        <v>6.9296221053398388E-2</v>
      </c>
      <c r="K294" s="40">
        <v>8.5261868569354263E-2</v>
      </c>
      <c r="L294" s="40">
        <v>0.10122751608531497</v>
      </c>
      <c r="M294" s="40">
        <v>0.11719316360127507</v>
      </c>
    </row>
    <row r="295" spans="3:13" x14ac:dyDescent="0.3">
      <c r="C295" s="137"/>
      <c r="D295" s="139">
        <v>0.75</v>
      </c>
      <c r="E295" s="40">
        <v>-1.4731716336081695E-3</v>
      </c>
      <c r="F295" s="40">
        <v>1.4492475882352179E-2</v>
      </c>
      <c r="G295" s="40">
        <v>3.045812339830805E-2</v>
      </c>
      <c r="H295" s="40">
        <v>4.6423770914268761E-2</v>
      </c>
      <c r="I295" s="40">
        <v>6.2389418430236487E-2</v>
      </c>
      <c r="J295" s="40">
        <v>7.8355065946197192E-2</v>
      </c>
      <c r="K295" s="40">
        <v>9.4320713462153066E-2</v>
      </c>
      <c r="L295" s="40">
        <v>0.11028636097811342</v>
      </c>
      <c r="M295" s="40">
        <v>0.12625200849407375</v>
      </c>
    </row>
    <row r="296" spans="3:13" x14ac:dyDescent="0.3">
      <c r="C296" s="137"/>
      <c r="D296" s="139">
        <v>0.9</v>
      </c>
      <c r="E296" s="40">
        <v>7.5856732591905217E-3</v>
      </c>
      <c r="F296" s="40">
        <v>2.3551320775150868E-2</v>
      </c>
      <c r="G296" s="40">
        <v>3.951696829110686E-2</v>
      </c>
      <c r="H296" s="40">
        <v>5.5482615807067329E-2</v>
      </c>
      <c r="I296" s="40">
        <v>7.144826332303518E-2</v>
      </c>
      <c r="J296" s="40">
        <v>8.7413910838995773E-2</v>
      </c>
      <c r="K296" s="40">
        <v>0.10337955835495176</v>
      </c>
      <c r="L296" s="40">
        <v>0.11934520587091235</v>
      </c>
      <c r="M296" s="40">
        <v>0.13531085338687246</v>
      </c>
    </row>
    <row r="297" spans="3:13" x14ac:dyDescent="0.3">
      <c r="C297" s="137"/>
      <c r="D297" s="139">
        <v>1.05</v>
      </c>
      <c r="E297" s="40">
        <v>1.6644518151989335E-2</v>
      </c>
      <c r="F297" s="40">
        <v>3.2610165667949678E-2</v>
      </c>
      <c r="G297" s="40">
        <v>4.8575813183905553E-2</v>
      </c>
      <c r="H297" s="40">
        <v>6.4541460699866146E-2</v>
      </c>
      <c r="I297" s="40">
        <v>8.0507108215833983E-2</v>
      </c>
      <c r="J297" s="40">
        <v>9.6472755731794702E-2</v>
      </c>
      <c r="K297" s="40">
        <v>0.11243840324775045</v>
      </c>
      <c r="L297" s="40">
        <v>0.12840405076371103</v>
      </c>
      <c r="M297" s="40">
        <v>0.14436969827967114</v>
      </c>
    </row>
    <row r="298" spans="3:13" x14ac:dyDescent="0.3">
      <c r="C298" s="137"/>
      <c r="D298" s="139">
        <v>1.2</v>
      </c>
      <c r="E298" s="40">
        <v>2.5703363044788024E-2</v>
      </c>
      <c r="F298" s="40">
        <v>4.1669010560748253E-2</v>
      </c>
      <c r="G298" s="40">
        <v>5.7634658076704363E-2</v>
      </c>
      <c r="H298" s="40">
        <v>7.360030559266495E-2</v>
      </c>
      <c r="I298" s="40">
        <v>8.9565953108632565E-2</v>
      </c>
      <c r="J298" s="40">
        <v>0.10553160062459314</v>
      </c>
      <c r="K298" s="40">
        <v>0.12149724814054938</v>
      </c>
      <c r="L298" s="40">
        <v>0.13746289565650974</v>
      </c>
      <c r="M298" s="40">
        <v>0.15342854317246984</v>
      </c>
    </row>
    <row r="299" spans="3:13" x14ac:dyDescent="0.3">
      <c r="C299" s="137"/>
      <c r="D299" s="139">
        <v>1.3499999999999999</v>
      </c>
      <c r="E299" s="40">
        <v>3.4762207937586838E-2</v>
      </c>
      <c r="F299" s="40">
        <v>5.0727855453547063E-2</v>
      </c>
      <c r="G299" s="40">
        <v>6.6693502969503174E-2</v>
      </c>
      <c r="H299" s="40">
        <v>8.2659150485463642E-2</v>
      </c>
      <c r="I299" s="40">
        <v>9.8624798001431493E-2</v>
      </c>
      <c r="J299" s="40">
        <v>0.11459044551739184</v>
      </c>
      <c r="K299" s="40">
        <v>0.13055609303334784</v>
      </c>
      <c r="L299" s="40">
        <v>0.14652174054930867</v>
      </c>
      <c r="M299" s="40">
        <v>0.16248738806526877</v>
      </c>
    </row>
    <row r="302" spans="3:13" x14ac:dyDescent="0.3">
      <c r="C302" s="137" t="s">
        <v>452</v>
      </c>
      <c r="D302" s="137" t="s">
        <v>451</v>
      </c>
      <c r="E302" s="137"/>
      <c r="F302" s="137"/>
      <c r="G302" s="137"/>
      <c r="H302" s="137"/>
      <c r="I302" s="137"/>
      <c r="J302" s="137"/>
      <c r="K302" s="137"/>
      <c r="L302" s="137"/>
      <c r="M302" s="137"/>
    </row>
    <row r="303" spans="3:13" x14ac:dyDescent="0.3">
      <c r="C303" s="138"/>
      <c r="D303" s="136">
        <f>G187</f>
        <v>0.17700977436857621</v>
      </c>
      <c r="E303" s="139">
        <v>0.15</v>
      </c>
      <c r="F303" s="139">
        <v>0.3</v>
      </c>
      <c r="G303" s="139">
        <f>F303+15%</f>
        <v>0.44999999999999996</v>
      </c>
      <c r="H303" s="139">
        <f t="shared" ref="H303:M303" si="89">G303+15%</f>
        <v>0.6</v>
      </c>
      <c r="I303" s="139">
        <f t="shared" si="89"/>
        <v>0.75</v>
      </c>
      <c r="J303" s="139">
        <f t="shared" si="89"/>
        <v>0.9</v>
      </c>
      <c r="K303" s="139">
        <f t="shared" si="89"/>
        <v>1.05</v>
      </c>
      <c r="L303" s="139">
        <f t="shared" si="89"/>
        <v>1.2</v>
      </c>
      <c r="M303" s="139">
        <f t="shared" si="89"/>
        <v>1.3499999999999999</v>
      </c>
    </row>
    <row r="304" spans="3:13" x14ac:dyDescent="0.3">
      <c r="C304" s="137"/>
      <c r="D304" s="139">
        <f t="array" ref="D304:D312">TRANSPOSE(E303:M303)</f>
        <v>0.15</v>
      </c>
      <c r="E304" s="40">
        <f t="dataTable" ref="E304:M312" dt2D="1" dtr="1" r1="H17" r2="H18" ca="1"/>
        <v>-2.2343408277886701E-3</v>
      </c>
      <c r="F304" s="40">
        <v>1.7323713635697249E-2</v>
      </c>
      <c r="G304" s="40">
        <v>3.6881768099169786E-2</v>
      </c>
      <c r="H304" s="40">
        <v>5.6439822562647492E-2</v>
      </c>
      <c r="I304" s="40">
        <v>7.5997877026129021E-2</v>
      </c>
      <c r="J304" s="40">
        <v>9.5555931489606727E-2</v>
      </c>
      <c r="K304" s="40">
        <v>0.11511398595308039</v>
      </c>
      <c r="L304" s="40">
        <v>0.13467204041655675</v>
      </c>
      <c r="M304" s="40">
        <v>0.15423009488003828</v>
      </c>
    </row>
    <row r="305" spans="3:13" x14ac:dyDescent="0.3">
      <c r="C305" s="137"/>
      <c r="D305" s="139">
        <v>0.3</v>
      </c>
      <c r="E305" s="40">
        <v>9.8389191551506248E-3</v>
      </c>
      <c r="F305" s="40">
        <v>2.9396973618636208E-2</v>
      </c>
      <c r="G305" s="40">
        <v>4.8955028082108963E-2</v>
      </c>
      <c r="H305" s="40">
        <v>6.8513082545586454E-2</v>
      </c>
      <c r="I305" s="40">
        <v>8.8071137009068198E-2</v>
      </c>
      <c r="J305" s="40">
        <v>0.10762919147254592</v>
      </c>
      <c r="K305" s="40">
        <v>0.12718724593601957</v>
      </c>
      <c r="L305" s="40">
        <v>0.14674530039949615</v>
      </c>
      <c r="M305" s="40">
        <v>0.16630335486297745</v>
      </c>
    </row>
    <row r="306" spans="3:13" x14ac:dyDescent="0.3">
      <c r="C306" s="137"/>
      <c r="D306" s="139">
        <v>0.44999999999999996</v>
      </c>
      <c r="E306" s="40">
        <v>2.1912179138090033E-2</v>
      </c>
      <c r="F306" s="40">
        <v>4.1470233601575611E-2</v>
      </c>
      <c r="G306" s="40">
        <v>6.1028288065048147E-2</v>
      </c>
      <c r="H306" s="40">
        <v>8.0586342528525631E-2</v>
      </c>
      <c r="I306" s="40">
        <v>0.10014439699200739</v>
      </c>
      <c r="J306" s="40">
        <v>0.11970245145548487</v>
      </c>
      <c r="K306" s="40">
        <v>0.13926050591895853</v>
      </c>
      <c r="L306" s="40">
        <v>0.15881856038243511</v>
      </c>
      <c r="M306" s="40">
        <v>0.17837661484591663</v>
      </c>
    </row>
    <row r="307" spans="3:13" x14ac:dyDescent="0.3">
      <c r="C307" s="137"/>
      <c r="D307" s="139">
        <v>0.6</v>
      </c>
      <c r="E307" s="40">
        <v>3.3985439121028992E-2</v>
      </c>
      <c r="F307" s="40">
        <v>5.3543493584514795E-2</v>
      </c>
      <c r="G307" s="40">
        <v>7.3101548047987325E-2</v>
      </c>
      <c r="H307" s="40">
        <v>9.2659602511465031E-2</v>
      </c>
      <c r="I307" s="40">
        <v>0.11221765697494679</v>
      </c>
      <c r="J307" s="40">
        <v>0.13177571143842429</v>
      </c>
      <c r="K307" s="40">
        <v>0.15133376590189748</v>
      </c>
      <c r="L307" s="40">
        <v>0.17089182036537429</v>
      </c>
      <c r="M307" s="40">
        <v>0.19044987482885584</v>
      </c>
    </row>
    <row r="308" spans="3:13" x14ac:dyDescent="0.3">
      <c r="C308" s="137"/>
      <c r="D308" s="139">
        <v>0.75</v>
      </c>
      <c r="E308" s="40">
        <v>4.6058699103968169E-2</v>
      </c>
      <c r="F308" s="40">
        <v>6.5616753567453973E-2</v>
      </c>
      <c r="G308" s="40">
        <v>8.5174808030926516E-2</v>
      </c>
      <c r="H308" s="40">
        <v>0.10473286249440422</v>
      </c>
      <c r="I308" s="40">
        <v>0.12429091695788574</v>
      </c>
      <c r="J308" s="40">
        <v>0.14384897142136346</v>
      </c>
      <c r="K308" s="40">
        <v>0.16340702588483688</v>
      </c>
      <c r="L308" s="40">
        <v>0.18296508034831346</v>
      </c>
      <c r="M308" s="40">
        <v>0.20252313481179524</v>
      </c>
    </row>
    <row r="309" spans="3:13" x14ac:dyDescent="0.3">
      <c r="C309" s="137"/>
      <c r="D309" s="139">
        <v>0.9</v>
      </c>
      <c r="E309" s="40">
        <v>5.8131959086907575E-2</v>
      </c>
      <c r="F309" s="40">
        <v>7.7690013550393164E-2</v>
      </c>
      <c r="G309" s="40">
        <v>9.7248068013865915E-2</v>
      </c>
      <c r="H309" s="40">
        <v>0.1168061224773434</v>
      </c>
      <c r="I309" s="40">
        <v>0.13636417694082514</v>
      </c>
      <c r="J309" s="40">
        <v>0.15592223140430242</v>
      </c>
      <c r="K309" s="40">
        <v>0.17548028586777609</v>
      </c>
      <c r="L309" s="40">
        <v>0.19503834033125267</v>
      </c>
      <c r="M309" s="40">
        <v>0.21459639479473441</v>
      </c>
    </row>
    <row r="310" spans="3:13" x14ac:dyDescent="0.3">
      <c r="C310" s="137"/>
      <c r="D310" s="139">
        <v>1.05</v>
      </c>
      <c r="E310" s="40">
        <v>7.0205219069846753E-2</v>
      </c>
      <c r="F310" s="40">
        <v>8.9763273533332341E-2</v>
      </c>
      <c r="G310" s="40">
        <v>0.10932132799680487</v>
      </c>
      <c r="H310" s="40">
        <v>0.12887938246028258</v>
      </c>
      <c r="I310" s="40">
        <v>0.14843743692376413</v>
      </c>
      <c r="J310" s="40">
        <v>0.1679954913872416</v>
      </c>
      <c r="K310" s="40">
        <v>0.18755354585071526</v>
      </c>
      <c r="L310" s="40">
        <v>0.20711160031419185</v>
      </c>
      <c r="M310" s="40">
        <v>0.22666965477767337</v>
      </c>
    </row>
    <row r="311" spans="3:13" x14ac:dyDescent="0.3">
      <c r="C311" s="137"/>
      <c r="D311" s="139">
        <v>1.2</v>
      </c>
      <c r="E311" s="40">
        <v>8.2278479052785944E-2</v>
      </c>
      <c r="F311" s="40">
        <v>0.10183653351627152</v>
      </c>
      <c r="G311" s="40">
        <v>0.12139458797974428</v>
      </c>
      <c r="H311" s="40">
        <v>0.14095264244322175</v>
      </c>
      <c r="I311" s="40">
        <v>0.1605106969067033</v>
      </c>
      <c r="J311" s="40">
        <v>0.180068751370181</v>
      </c>
      <c r="K311" s="40">
        <v>0.19962680583365444</v>
      </c>
      <c r="L311" s="40">
        <v>0.21918486029713102</v>
      </c>
      <c r="M311" s="40">
        <v>0.23874291476061277</v>
      </c>
    </row>
    <row r="312" spans="3:13" x14ac:dyDescent="0.3">
      <c r="C312" s="137"/>
      <c r="D312" s="139">
        <v>1.3499999999999999</v>
      </c>
      <c r="E312" s="40">
        <v>9.4351739035725121E-2</v>
      </c>
      <c r="F312" s="40">
        <v>0.11390979349921093</v>
      </c>
      <c r="G312" s="40">
        <v>0.13346784796268346</v>
      </c>
      <c r="H312" s="40">
        <v>0.15302590242616071</v>
      </c>
      <c r="I312" s="40">
        <v>0.17258395688964248</v>
      </c>
      <c r="J312" s="40">
        <v>0.19214201135312017</v>
      </c>
      <c r="K312" s="40">
        <v>0.21170006581659362</v>
      </c>
      <c r="L312" s="40">
        <v>0.23125812028007042</v>
      </c>
      <c r="M312" s="40">
        <v>0.25081617474355195</v>
      </c>
    </row>
    <row r="315" spans="3:13" x14ac:dyDescent="0.3">
      <c r="C315" s="137" t="s">
        <v>452</v>
      </c>
      <c r="D315" s="137" t="s">
        <v>451</v>
      </c>
      <c r="E315" s="137"/>
      <c r="F315" s="137"/>
      <c r="G315" s="137"/>
      <c r="H315" s="137"/>
      <c r="I315" s="137"/>
      <c r="J315" s="137"/>
      <c r="K315" s="137"/>
      <c r="L315" s="137"/>
      <c r="M315" s="137"/>
    </row>
    <row r="316" spans="3:13" x14ac:dyDescent="0.3">
      <c r="C316" s="138"/>
      <c r="D316" s="136">
        <f>H187</f>
        <v>0.231211583616031</v>
      </c>
      <c r="E316" s="139">
        <v>0.15</v>
      </c>
      <c r="F316" s="139">
        <v>0.3</v>
      </c>
      <c r="G316" s="139">
        <f>F316+15%</f>
        <v>0.44999999999999996</v>
      </c>
      <c r="H316" s="139">
        <f t="shared" ref="H316:M316" si="90">G316+15%</f>
        <v>0.6</v>
      </c>
      <c r="I316" s="139">
        <f t="shared" si="90"/>
        <v>0.75</v>
      </c>
      <c r="J316" s="139">
        <f t="shared" si="90"/>
        <v>0.9</v>
      </c>
      <c r="K316" s="139">
        <f t="shared" si="90"/>
        <v>1.05</v>
      </c>
      <c r="L316" s="139">
        <f t="shared" si="90"/>
        <v>1.2</v>
      </c>
      <c r="M316" s="139">
        <f t="shared" si="90"/>
        <v>1.3499999999999999</v>
      </c>
    </row>
    <row r="317" spans="3:13" x14ac:dyDescent="0.3">
      <c r="C317" s="137"/>
      <c r="D317" s="139">
        <f t="array" ref="D317:D325">TRANSPOSE(E316:M316)</f>
        <v>0.15</v>
      </c>
      <c r="E317" s="40">
        <f t="dataTable" ref="E317:M325" dt2D="1" dtr="1" r1="H17" r2="H18" ca="1"/>
        <v>2.9202700664311337E-2</v>
      </c>
      <c r="F317" s="40">
        <v>5.2215070964079395E-2</v>
      </c>
      <c r="G317" s="40">
        <v>7.5227441263857955E-2</v>
      </c>
      <c r="H317" s="40">
        <v>9.823981156363E-2</v>
      </c>
      <c r="I317" s="40">
        <v>0.12125218186340563</v>
      </c>
      <c r="J317" s="40">
        <v>0.14426455216318523</v>
      </c>
      <c r="K317" s="40">
        <v>0.16727692246295708</v>
      </c>
      <c r="L317" s="40">
        <v>0.19028929276273185</v>
      </c>
      <c r="M317" s="40">
        <v>0.21330166306251125</v>
      </c>
    </row>
    <row r="318" spans="3:13" x14ac:dyDescent="0.3">
      <c r="C318" s="137"/>
      <c r="D318" s="139">
        <v>0.3</v>
      </c>
      <c r="E318" s="40">
        <v>4.1838956767781231E-2</v>
      </c>
      <c r="F318" s="40">
        <v>6.4851327067549494E-2</v>
      </c>
      <c r="G318" s="40">
        <v>8.7863697367327853E-2</v>
      </c>
      <c r="H318" s="40">
        <v>0.11087606766709969</v>
      </c>
      <c r="I318" s="40">
        <v>0.13388843796687552</v>
      </c>
      <c r="J318" s="40">
        <v>0.15690080826665492</v>
      </c>
      <c r="K318" s="40">
        <v>0.17991317856642675</v>
      </c>
      <c r="L318" s="40">
        <v>0.20292554886620154</v>
      </c>
      <c r="M318" s="40">
        <v>0.22593791916598094</v>
      </c>
    </row>
    <row r="319" spans="3:13" x14ac:dyDescent="0.3">
      <c r="C319" s="137"/>
      <c r="D319" s="139">
        <v>0.44999999999999996</v>
      </c>
      <c r="E319" s="40">
        <v>5.4475212871250914E-2</v>
      </c>
      <c r="F319" s="40">
        <v>7.7487583171018976E-2</v>
      </c>
      <c r="G319" s="40">
        <v>0.10049995347079753</v>
      </c>
      <c r="H319" s="40">
        <v>0.12351232377056957</v>
      </c>
      <c r="I319" s="40">
        <v>0.14652469407034521</v>
      </c>
      <c r="J319" s="40">
        <v>0.16953706437012481</v>
      </c>
      <c r="K319" s="40">
        <v>0.19254943466989666</v>
      </c>
      <c r="L319" s="40">
        <v>0.21556180496967142</v>
      </c>
      <c r="M319" s="40">
        <v>0.23857417526945082</v>
      </c>
    </row>
    <row r="320" spans="3:13" x14ac:dyDescent="0.3">
      <c r="C320" s="137"/>
      <c r="D320" s="139">
        <v>0.6</v>
      </c>
      <c r="E320" s="40">
        <v>6.7111468974720812E-2</v>
      </c>
      <c r="F320" s="40">
        <v>9.0123839274489068E-2</v>
      </c>
      <c r="G320" s="40">
        <v>0.11313620957426743</v>
      </c>
      <c r="H320" s="40">
        <v>0.13614857987403928</v>
      </c>
      <c r="I320" s="40">
        <v>0.1591609501738151</v>
      </c>
      <c r="J320" s="40">
        <v>0.1821733204735945</v>
      </c>
      <c r="K320" s="40">
        <v>0.20518569077336635</v>
      </c>
      <c r="L320" s="40">
        <v>0.22819806107314111</v>
      </c>
      <c r="M320" s="40">
        <v>0.25121043137292071</v>
      </c>
    </row>
    <row r="321" spans="3:13" x14ac:dyDescent="0.3">
      <c r="C321" s="137"/>
      <c r="D321" s="139">
        <v>0.75</v>
      </c>
      <c r="E321" s="40">
        <v>7.9747725078190487E-2</v>
      </c>
      <c r="F321" s="40">
        <v>0.10276009537795876</v>
      </c>
      <c r="G321" s="40">
        <v>0.12577246567773731</v>
      </c>
      <c r="H321" s="40">
        <v>0.14878483597750916</v>
      </c>
      <c r="I321" s="40">
        <v>0.17179720627728479</v>
      </c>
      <c r="J321" s="40">
        <v>0.19480957657706438</v>
      </c>
      <c r="K321" s="40">
        <v>0.21782194687683623</v>
      </c>
      <c r="L321" s="40">
        <v>0.24083431717661102</v>
      </c>
      <c r="M321" s="40">
        <v>0.2638466874763904</v>
      </c>
    </row>
    <row r="322" spans="3:13" x14ac:dyDescent="0.3">
      <c r="C322" s="137"/>
      <c r="D322" s="139">
        <v>0.9</v>
      </c>
      <c r="E322" s="40">
        <v>9.2383981181660385E-2</v>
      </c>
      <c r="F322" s="40">
        <v>0.11539635148142866</v>
      </c>
      <c r="G322" s="40">
        <v>0.13840872178120722</v>
      </c>
      <c r="H322" s="40">
        <v>0.16142109208097905</v>
      </c>
      <c r="I322" s="40">
        <v>0.18443346238075467</v>
      </c>
      <c r="J322" s="40">
        <v>0.20744583268053407</v>
      </c>
      <c r="K322" s="40">
        <v>0.23045820298030611</v>
      </c>
      <c r="L322" s="40">
        <v>0.25347057328008088</v>
      </c>
      <c r="M322" s="40">
        <v>0.27648294357986031</v>
      </c>
    </row>
    <row r="323" spans="3:13" x14ac:dyDescent="0.3">
      <c r="C323" s="137"/>
      <c r="D323" s="139">
        <v>1.05</v>
      </c>
      <c r="E323" s="40">
        <v>0.10502023728513006</v>
      </c>
      <c r="F323" s="40">
        <v>0.12803260758489834</v>
      </c>
      <c r="G323" s="40">
        <v>0.15104497788467688</v>
      </c>
      <c r="H323" s="40">
        <v>0.17405734818444873</v>
      </c>
      <c r="I323" s="40">
        <v>0.19706971848422455</v>
      </c>
      <c r="J323" s="40">
        <v>0.22008208878400376</v>
      </c>
      <c r="K323" s="40">
        <v>0.2430944590837758</v>
      </c>
      <c r="L323" s="40">
        <v>0.26610682938355057</v>
      </c>
      <c r="M323" s="40">
        <v>0.28911919968333</v>
      </c>
    </row>
    <row r="324" spans="3:13" x14ac:dyDescent="0.3">
      <c r="C324" s="137"/>
      <c r="D324" s="139">
        <v>1.2</v>
      </c>
      <c r="E324" s="40">
        <v>0.11765649338860017</v>
      </c>
      <c r="F324" s="40">
        <v>0.14066886368836823</v>
      </c>
      <c r="G324" s="40">
        <v>0.1636812339881468</v>
      </c>
      <c r="H324" s="40">
        <v>0.18669360428791862</v>
      </c>
      <c r="I324" s="40">
        <v>0.20970597458769424</v>
      </c>
      <c r="J324" s="40">
        <v>0.23271834488747387</v>
      </c>
      <c r="K324" s="40">
        <v>0.25573071518724572</v>
      </c>
      <c r="L324" s="40">
        <v>0.27874308548702048</v>
      </c>
      <c r="M324" s="40">
        <v>0.30175545578679991</v>
      </c>
    </row>
    <row r="325" spans="3:13" x14ac:dyDescent="0.3">
      <c r="C325" s="137"/>
      <c r="D325" s="139">
        <v>1.3499999999999999</v>
      </c>
      <c r="E325" s="40">
        <v>0.13029274949206984</v>
      </c>
      <c r="F325" s="40">
        <v>0.15330511979183792</v>
      </c>
      <c r="G325" s="40">
        <v>0.17631749009161649</v>
      </c>
      <c r="H325" s="40">
        <v>0.19932986039138831</v>
      </c>
      <c r="I325" s="40">
        <v>0.22234223069116416</v>
      </c>
      <c r="J325" s="40">
        <v>0.24535460099094356</v>
      </c>
      <c r="K325" s="40">
        <v>0.26836697129071557</v>
      </c>
      <c r="L325" s="40">
        <v>0.29137934159049017</v>
      </c>
      <c r="M325" s="40">
        <v>0.31439171189026954</v>
      </c>
    </row>
    <row r="327" spans="3:13" x14ac:dyDescent="0.3">
      <c r="C327" s="137" t="s">
        <v>452</v>
      </c>
      <c r="D327" s="137" t="s">
        <v>451</v>
      </c>
      <c r="E327" s="137"/>
      <c r="F327" s="137"/>
      <c r="G327" s="137"/>
      <c r="H327" s="137"/>
      <c r="I327" s="137"/>
      <c r="J327" s="137"/>
      <c r="K327" s="137"/>
      <c r="L327" s="137"/>
      <c r="M327" s="137"/>
    </row>
    <row r="328" spans="3:13" x14ac:dyDescent="0.3">
      <c r="C328" s="138"/>
      <c r="D328" s="136">
        <f>I187</f>
        <v>0.33172179595412604</v>
      </c>
      <c r="E328" s="139">
        <v>0.15</v>
      </c>
      <c r="F328" s="139">
        <v>0.3</v>
      </c>
      <c r="G328" s="139">
        <f>F328+15%</f>
        <v>0.44999999999999996</v>
      </c>
      <c r="H328" s="139">
        <f t="shared" ref="H328:M328" si="91">G328+15%</f>
        <v>0.6</v>
      </c>
      <c r="I328" s="139">
        <f t="shared" si="91"/>
        <v>0.75</v>
      </c>
      <c r="J328" s="139">
        <f t="shared" si="91"/>
        <v>0.9</v>
      </c>
      <c r="K328" s="139">
        <f t="shared" si="91"/>
        <v>1.05</v>
      </c>
      <c r="L328" s="139">
        <f t="shared" si="91"/>
        <v>1.2</v>
      </c>
      <c r="M328" s="139">
        <f t="shared" si="91"/>
        <v>1.3499999999999999</v>
      </c>
    </row>
    <row r="329" spans="3:13" x14ac:dyDescent="0.3">
      <c r="C329" s="137"/>
      <c r="D329" s="139">
        <f t="array" ref="D329:D337">TRANSPOSE(E328:M328)</f>
        <v>0.15</v>
      </c>
      <c r="E329" s="40">
        <f t="dataTable" ref="E329:M337" dt2D="1" dtr="1" r1="H17" r2="H18" ca="1"/>
        <v>0.10008285926401274</v>
      </c>
      <c r="F329" s="40">
        <v>0.12636126615937679</v>
      </c>
      <c r="G329" s="40">
        <v>0.15263967305473708</v>
      </c>
      <c r="H329" s="40">
        <v>0.17891807995009659</v>
      </c>
      <c r="I329" s="40">
        <v>0.20519648684545336</v>
      </c>
      <c r="J329" s="40">
        <v>0.23147489374081387</v>
      </c>
      <c r="K329" s="40">
        <v>0.25775330063618146</v>
      </c>
      <c r="L329" s="40">
        <v>0.28403170753153745</v>
      </c>
      <c r="M329" s="40">
        <v>0.31031011442689671</v>
      </c>
    </row>
    <row r="330" spans="3:13" x14ac:dyDescent="0.3">
      <c r="C330" s="137"/>
      <c r="D330" s="139">
        <v>0.3</v>
      </c>
      <c r="E330" s="40">
        <v>0.11468191178455414</v>
      </c>
      <c r="F330" s="40">
        <v>0.14096031867991798</v>
      </c>
      <c r="G330" s="40">
        <v>0.1672387255752785</v>
      </c>
      <c r="H330" s="40">
        <v>0.19351713247063801</v>
      </c>
      <c r="I330" s="40">
        <v>0.21979553936599475</v>
      </c>
      <c r="J330" s="40">
        <v>0.24607394626135506</v>
      </c>
      <c r="K330" s="40">
        <v>0.27235235315672285</v>
      </c>
      <c r="L330" s="40">
        <v>0.29863076005207884</v>
      </c>
      <c r="M330" s="40">
        <v>0.32490916694743815</v>
      </c>
    </row>
    <row r="331" spans="3:13" x14ac:dyDescent="0.3">
      <c r="C331" s="137"/>
      <c r="D331" s="139">
        <v>0.44999999999999996</v>
      </c>
      <c r="E331" s="40">
        <v>0.12928096430509553</v>
      </c>
      <c r="F331" s="40">
        <v>0.15555937120045937</v>
      </c>
      <c r="G331" s="40">
        <v>0.18183777809581989</v>
      </c>
      <c r="H331" s="40">
        <v>0.2081161849911792</v>
      </c>
      <c r="I331" s="40">
        <v>0.23439459188653614</v>
      </c>
      <c r="J331" s="40">
        <v>0.26067299878189643</v>
      </c>
      <c r="K331" s="40">
        <v>0.28695140567726407</v>
      </c>
      <c r="L331" s="40">
        <v>0.313229812572621</v>
      </c>
      <c r="M331" s="40">
        <v>0.33950821946798132</v>
      </c>
    </row>
    <row r="332" spans="3:13" x14ac:dyDescent="0.3">
      <c r="C332" s="137"/>
      <c r="D332" s="139">
        <v>0.6</v>
      </c>
      <c r="E332" s="40">
        <v>0.14388001682563673</v>
      </c>
      <c r="F332" s="40">
        <v>0.17015842372100079</v>
      </c>
      <c r="G332" s="40">
        <v>0.19643683061636108</v>
      </c>
      <c r="H332" s="40">
        <v>0.22271523751172059</v>
      </c>
      <c r="I332" s="40">
        <v>0.24899364440707755</v>
      </c>
      <c r="J332" s="40">
        <v>0.27527205130243787</v>
      </c>
      <c r="K332" s="40">
        <v>0.30155045819780546</v>
      </c>
      <c r="L332" s="40">
        <v>0.32782886509316217</v>
      </c>
      <c r="M332" s="40">
        <v>0.35410727198852271</v>
      </c>
    </row>
    <row r="333" spans="3:13" x14ac:dyDescent="0.3">
      <c r="C333" s="137"/>
      <c r="D333" s="139">
        <v>0.75</v>
      </c>
      <c r="E333" s="40">
        <v>0.15847906934617811</v>
      </c>
      <c r="F333" s="40">
        <v>0.18475747624154198</v>
      </c>
      <c r="G333" s="40">
        <v>0.21103588313690247</v>
      </c>
      <c r="H333" s="40">
        <v>0.23731429003226198</v>
      </c>
      <c r="I333" s="40">
        <v>0.26359269692761872</v>
      </c>
      <c r="J333" s="40">
        <v>0.28987110382297926</v>
      </c>
      <c r="K333" s="40">
        <v>0.31614951071834685</v>
      </c>
      <c r="L333" s="40">
        <v>0.34242791761370361</v>
      </c>
      <c r="M333" s="40">
        <v>0.3687063245090641</v>
      </c>
    </row>
    <row r="334" spans="3:13" x14ac:dyDescent="0.3">
      <c r="C334" s="137"/>
      <c r="D334" s="139">
        <v>0.9</v>
      </c>
      <c r="E334" s="40">
        <v>0.1730781218667195</v>
      </c>
      <c r="F334" s="40">
        <v>0.19935652876208357</v>
      </c>
      <c r="G334" s="40">
        <v>0.22563493565744386</v>
      </c>
      <c r="H334" s="40">
        <v>0.25191334255280357</v>
      </c>
      <c r="I334" s="40">
        <v>0.27819174944816011</v>
      </c>
      <c r="J334" s="40">
        <v>0.30447015634352043</v>
      </c>
      <c r="K334" s="40">
        <v>0.33074856323888802</v>
      </c>
      <c r="L334" s="40">
        <v>0.357026970134245</v>
      </c>
      <c r="M334" s="40">
        <v>0.38330537702960527</v>
      </c>
    </row>
    <row r="335" spans="3:13" x14ac:dyDescent="0.3">
      <c r="C335" s="137"/>
      <c r="D335" s="139">
        <v>1.05</v>
      </c>
      <c r="E335" s="40">
        <v>0.18767717438726092</v>
      </c>
      <c r="F335" s="40">
        <v>0.21395558128262476</v>
      </c>
      <c r="G335" s="40">
        <v>0.24023398817798527</v>
      </c>
      <c r="H335" s="40">
        <v>0.26651239507334479</v>
      </c>
      <c r="I335" s="40">
        <v>0.29279080196870172</v>
      </c>
      <c r="J335" s="40">
        <v>0.31906920886406182</v>
      </c>
      <c r="K335" s="40">
        <v>0.3453476157594294</v>
      </c>
      <c r="L335" s="40">
        <v>0.37162602265478617</v>
      </c>
      <c r="M335" s="40">
        <v>0.39790442955014671</v>
      </c>
    </row>
    <row r="336" spans="3:13" x14ac:dyDescent="0.3">
      <c r="C336" s="137"/>
      <c r="D336" s="139">
        <v>1.2</v>
      </c>
      <c r="E336" s="40">
        <v>0.20227622690780211</v>
      </c>
      <c r="F336" s="40">
        <v>0.22855463380316615</v>
      </c>
      <c r="G336" s="40">
        <v>0.25483304069852664</v>
      </c>
      <c r="H336" s="40">
        <v>0.28111144759388618</v>
      </c>
      <c r="I336" s="40">
        <v>0.30738985448924294</v>
      </c>
      <c r="J336" s="40">
        <v>0.33366826138460343</v>
      </c>
      <c r="K336" s="40">
        <v>0.35994666827997085</v>
      </c>
      <c r="L336" s="40">
        <v>0.38622507517532756</v>
      </c>
      <c r="M336" s="40">
        <v>0.4125034820706881</v>
      </c>
    </row>
    <row r="337" spans="3:13" x14ac:dyDescent="0.3">
      <c r="C337" s="137"/>
      <c r="D337" s="139">
        <v>1.3499999999999999</v>
      </c>
      <c r="E337" s="40">
        <v>0.2168752794283435</v>
      </c>
      <c r="F337" s="40">
        <v>0.24315368632370754</v>
      </c>
      <c r="G337" s="40">
        <v>0.26943209321906786</v>
      </c>
      <c r="H337" s="40">
        <v>0.29571050011442757</v>
      </c>
      <c r="I337" s="40">
        <v>0.32198890700978433</v>
      </c>
      <c r="J337" s="40">
        <v>0.34826731390514482</v>
      </c>
      <c r="K337" s="40">
        <v>0.37454572080051202</v>
      </c>
      <c r="L337" s="40">
        <v>0.40082412769586895</v>
      </c>
      <c r="M337" s="40">
        <v>0.42710253459122927</v>
      </c>
    </row>
    <row r="339" spans="3:13" x14ac:dyDescent="0.3">
      <c r="C339" s="137" t="s">
        <v>452</v>
      </c>
      <c r="D339" s="137" t="s">
        <v>451</v>
      </c>
      <c r="E339" s="137"/>
      <c r="F339" s="137"/>
      <c r="G339" s="137"/>
      <c r="H339" s="137"/>
      <c r="I339" s="137"/>
      <c r="J339" s="137"/>
      <c r="K339" s="137"/>
      <c r="L339" s="137"/>
      <c r="M339" s="137"/>
    </row>
    <row r="340" spans="3:13" x14ac:dyDescent="0.3">
      <c r="C340" s="138"/>
      <c r="D340" s="136">
        <f>J187</f>
        <v>0.50774619518297492</v>
      </c>
      <c r="E340" s="139">
        <v>0.15</v>
      </c>
      <c r="F340" s="139">
        <v>0.3</v>
      </c>
      <c r="G340" s="139">
        <f>F340+15%</f>
        <v>0.44999999999999996</v>
      </c>
      <c r="H340" s="139">
        <f t="shared" ref="H340:M340" si="92">G340+15%</f>
        <v>0.6</v>
      </c>
      <c r="I340" s="139">
        <f t="shared" si="92"/>
        <v>0.75</v>
      </c>
      <c r="J340" s="139">
        <f t="shared" si="92"/>
        <v>0.9</v>
      </c>
      <c r="K340" s="139">
        <f t="shared" si="92"/>
        <v>1.05</v>
      </c>
      <c r="L340" s="139">
        <f t="shared" si="92"/>
        <v>1.2</v>
      </c>
      <c r="M340" s="139">
        <f t="shared" si="92"/>
        <v>1.3499999999999999</v>
      </c>
    </row>
    <row r="341" spans="3:13" x14ac:dyDescent="0.3">
      <c r="C341" s="137"/>
      <c r="D341" s="139">
        <f t="array" ref="D341:D349">TRANSPOSE(E340:M340)</f>
        <v>0.15</v>
      </c>
      <c r="E341" s="40">
        <f t="dataTable" ref="E341:M349" dt2D="1" dtr="1" r1="H17" r2="H18" ca="1"/>
        <v>0.25260824924854181</v>
      </c>
      <c r="F341" s="40">
        <v>0.28212539773182899</v>
      </c>
      <c r="G341" s="40">
        <v>0.31164254621511039</v>
      </c>
      <c r="H341" s="40">
        <v>0.34115969469839869</v>
      </c>
      <c r="I341" s="40">
        <v>0.37067684318168925</v>
      </c>
      <c r="J341" s="40">
        <v>0.40019399166497327</v>
      </c>
      <c r="K341" s="40">
        <v>0.42971114014826456</v>
      </c>
      <c r="L341" s="40">
        <v>0.45922828863154952</v>
      </c>
      <c r="M341" s="40">
        <v>0.48874543711483426</v>
      </c>
    </row>
    <row r="342" spans="3:13" x14ac:dyDescent="0.3">
      <c r="C342" s="137"/>
      <c r="D342" s="139">
        <v>0.3</v>
      </c>
      <c r="E342" s="40">
        <v>0.26811544416544864</v>
      </c>
      <c r="F342" s="40">
        <v>0.29763259264873582</v>
      </c>
      <c r="G342" s="40">
        <v>0.32714974113201761</v>
      </c>
      <c r="H342" s="40">
        <v>0.35666688961530552</v>
      </c>
      <c r="I342" s="40">
        <v>0.38618403809859608</v>
      </c>
      <c r="J342" s="40">
        <v>0.41570118658188082</v>
      </c>
      <c r="K342" s="40">
        <v>0.44521833506517139</v>
      </c>
      <c r="L342" s="40">
        <v>0.47473548354845635</v>
      </c>
      <c r="M342" s="40">
        <v>0.50425263203174109</v>
      </c>
    </row>
    <row r="343" spans="3:13" x14ac:dyDescent="0.3">
      <c r="C343" s="137"/>
      <c r="D343" s="139">
        <v>0.44999999999999996</v>
      </c>
      <c r="E343" s="40">
        <v>0.28362263908235547</v>
      </c>
      <c r="F343" s="40">
        <v>0.31313978756564265</v>
      </c>
      <c r="G343" s="40">
        <v>0.34265693604892405</v>
      </c>
      <c r="H343" s="40">
        <v>0.3721740845322124</v>
      </c>
      <c r="I343" s="40">
        <v>0.4016912330155033</v>
      </c>
      <c r="J343" s="40">
        <v>0.43120838149878765</v>
      </c>
      <c r="K343" s="40">
        <v>0.46072552998207861</v>
      </c>
      <c r="L343" s="40">
        <v>0.49024267846536318</v>
      </c>
      <c r="M343" s="40">
        <v>0.51975982694864797</v>
      </c>
    </row>
    <row r="344" spans="3:13" x14ac:dyDescent="0.3">
      <c r="C344" s="137"/>
      <c r="D344" s="139">
        <v>0.6</v>
      </c>
      <c r="E344" s="40">
        <v>0.29912983399926252</v>
      </c>
      <c r="F344" s="40">
        <v>0.32864698248254987</v>
      </c>
      <c r="G344" s="40">
        <v>0.35816413096583127</v>
      </c>
      <c r="H344" s="40">
        <v>0.38768127944911923</v>
      </c>
      <c r="I344" s="40">
        <v>0.41719842793240974</v>
      </c>
      <c r="J344" s="40">
        <v>0.44671557641569454</v>
      </c>
      <c r="K344" s="40">
        <v>0.47623272489898522</v>
      </c>
      <c r="L344" s="40">
        <v>0.50574987338227018</v>
      </c>
      <c r="M344" s="40">
        <v>0.53526702186555475</v>
      </c>
    </row>
    <row r="345" spans="3:13" x14ac:dyDescent="0.3">
      <c r="C345" s="137"/>
      <c r="D345" s="139">
        <v>0.75</v>
      </c>
      <c r="E345" s="40">
        <v>0.31463702891616935</v>
      </c>
      <c r="F345" s="40">
        <v>0.34415417739945653</v>
      </c>
      <c r="G345" s="40">
        <v>0.3736713258827381</v>
      </c>
      <c r="H345" s="40">
        <v>0.40318847436602606</v>
      </c>
      <c r="I345" s="40">
        <v>0.43270562284931696</v>
      </c>
      <c r="J345" s="40">
        <v>0.46222277133260153</v>
      </c>
      <c r="K345" s="40">
        <v>0.49173991981589227</v>
      </c>
      <c r="L345" s="40">
        <v>0.52125706829917684</v>
      </c>
      <c r="M345" s="40">
        <v>0.55077421678246197</v>
      </c>
    </row>
    <row r="346" spans="3:13" x14ac:dyDescent="0.3">
      <c r="C346" s="137"/>
      <c r="D346" s="139">
        <v>0.9</v>
      </c>
      <c r="E346" s="40">
        <v>0.33014422383307618</v>
      </c>
      <c r="F346" s="40">
        <v>0.35966137231636353</v>
      </c>
      <c r="G346" s="40">
        <v>0.38917852079964493</v>
      </c>
      <c r="H346" s="40">
        <v>0.41869566928293328</v>
      </c>
      <c r="I346" s="40">
        <v>0.44821281776622363</v>
      </c>
      <c r="J346" s="40">
        <v>0.47772996624950859</v>
      </c>
      <c r="K346" s="40">
        <v>0.50724711473279915</v>
      </c>
      <c r="L346" s="40">
        <v>0.53676426321608406</v>
      </c>
      <c r="M346" s="40">
        <v>0.56628141169936863</v>
      </c>
    </row>
    <row r="347" spans="3:13" x14ac:dyDescent="0.3">
      <c r="C347" s="137"/>
      <c r="D347" s="139">
        <v>1.05</v>
      </c>
      <c r="E347" s="40">
        <v>0.34565141874998301</v>
      </c>
      <c r="F347" s="40">
        <v>0.37516856723327041</v>
      </c>
      <c r="G347" s="40">
        <v>0.40468571571655182</v>
      </c>
      <c r="H347" s="40">
        <v>0.43420286419983972</v>
      </c>
      <c r="I347" s="40">
        <v>0.46372001268313062</v>
      </c>
      <c r="J347" s="40">
        <v>0.49323716116641519</v>
      </c>
      <c r="K347" s="40">
        <v>0.52275430964970615</v>
      </c>
      <c r="L347" s="40">
        <v>0.55227145813299083</v>
      </c>
      <c r="M347" s="40">
        <v>0.58178860661627563</v>
      </c>
    </row>
    <row r="348" spans="3:13" x14ac:dyDescent="0.3">
      <c r="C348" s="137"/>
      <c r="D348" s="139">
        <v>1.2</v>
      </c>
      <c r="E348" s="40">
        <v>0.36115861366688984</v>
      </c>
      <c r="F348" s="40">
        <v>0.39067576215017724</v>
      </c>
      <c r="G348" s="40">
        <v>0.42019291063345865</v>
      </c>
      <c r="H348" s="40">
        <v>0.44971005911674694</v>
      </c>
      <c r="I348" s="40">
        <v>0.47922720760003745</v>
      </c>
      <c r="J348" s="40">
        <v>0.50874435608332225</v>
      </c>
      <c r="K348" s="40">
        <v>0.53826150456661292</v>
      </c>
      <c r="L348" s="40">
        <v>0.56777865304989772</v>
      </c>
      <c r="M348" s="40">
        <v>0.59729580153318251</v>
      </c>
    </row>
    <row r="349" spans="3:13" x14ac:dyDescent="0.3">
      <c r="C349" s="137"/>
      <c r="D349" s="139">
        <v>1.3499999999999999</v>
      </c>
      <c r="E349" s="40">
        <v>0.37666580858379667</v>
      </c>
      <c r="F349" s="40">
        <v>0.40618295706708424</v>
      </c>
      <c r="G349" s="40">
        <v>0.43570010555036565</v>
      </c>
      <c r="H349" s="40">
        <v>0.46521725403365377</v>
      </c>
      <c r="I349" s="40">
        <v>0.49473440251694428</v>
      </c>
      <c r="J349" s="40">
        <v>0.52425155100022924</v>
      </c>
      <c r="K349" s="40">
        <v>0.55376869948351981</v>
      </c>
      <c r="L349" s="40">
        <v>0.5832858479668046</v>
      </c>
      <c r="M349" s="40">
        <v>0.61280299645008929</v>
      </c>
    </row>
    <row r="351" spans="3:13" x14ac:dyDescent="0.3">
      <c r="C351" s="137" t="s">
        <v>452</v>
      </c>
      <c r="D351" s="137" t="s">
        <v>451</v>
      </c>
      <c r="E351" s="137"/>
      <c r="F351" s="137"/>
      <c r="G351" s="137"/>
      <c r="H351" s="137"/>
      <c r="I351" s="137"/>
      <c r="J351" s="137"/>
      <c r="K351" s="137"/>
      <c r="L351" s="137"/>
      <c r="M351" s="137"/>
    </row>
    <row r="352" spans="3:13" x14ac:dyDescent="0.3">
      <c r="C352" s="138"/>
      <c r="D352" s="136">
        <f>K187</f>
        <v>0.54601367984741034</v>
      </c>
      <c r="E352" s="139">
        <v>0.15</v>
      </c>
      <c r="F352" s="139">
        <v>0.3</v>
      </c>
      <c r="G352" s="139">
        <f>F352+15%</f>
        <v>0.44999999999999996</v>
      </c>
      <c r="H352" s="139">
        <f t="shared" ref="H352:M352" si="93">G352+15%</f>
        <v>0.6</v>
      </c>
      <c r="I352" s="139">
        <f t="shared" si="93"/>
        <v>0.75</v>
      </c>
      <c r="J352" s="139">
        <f t="shared" si="93"/>
        <v>0.9</v>
      </c>
      <c r="K352" s="139">
        <f t="shared" si="93"/>
        <v>1.05</v>
      </c>
      <c r="L352" s="139">
        <f t="shared" si="93"/>
        <v>1.2</v>
      </c>
      <c r="M352" s="139">
        <f t="shared" si="93"/>
        <v>1.3499999999999999</v>
      </c>
    </row>
    <row r="353" spans="3:13" x14ac:dyDescent="0.3">
      <c r="C353" s="137"/>
      <c r="D353" s="139">
        <f t="array" ref="D353:D361">TRANSPOSE(E352:M352)</f>
        <v>0.15</v>
      </c>
      <c r="E353" s="40">
        <f t="dataTable" ref="E353:M361" dt2D="1" dtr="1" r1="H17" r2="H18" ca="1"/>
        <v>0.26785898895710647</v>
      </c>
      <c r="F353" s="40">
        <v>0.30060572380060552</v>
      </c>
      <c r="G353" s="40">
        <v>0.33335245864410712</v>
      </c>
      <c r="H353" s="40">
        <v>0.36609919348760778</v>
      </c>
      <c r="I353" s="40">
        <v>0.39884592833110299</v>
      </c>
      <c r="J353" s="40">
        <v>0.4315926631746077</v>
      </c>
      <c r="K353" s="40">
        <v>0.46433939801811425</v>
      </c>
      <c r="L353" s="40">
        <v>0.49708613286160624</v>
      </c>
      <c r="M353" s="40">
        <v>0.52983286770511095</v>
      </c>
    </row>
    <row r="354" spans="3:13" x14ac:dyDescent="0.3">
      <c r="C354" s="137"/>
      <c r="D354" s="139">
        <v>0.3</v>
      </c>
      <c r="E354" s="40">
        <v>0.28419837603542458</v>
      </c>
      <c r="F354" s="40">
        <v>0.31694511087892346</v>
      </c>
      <c r="G354" s="40">
        <v>0.34969184572242507</v>
      </c>
      <c r="H354" s="40">
        <v>0.38243858056592589</v>
      </c>
      <c r="I354" s="40">
        <v>0.41518531540942111</v>
      </c>
      <c r="J354" s="40">
        <v>0.44793205025292587</v>
      </c>
      <c r="K354" s="40">
        <v>0.48067878509643236</v>
      </c>
      <c r="L354" s="40">
        <v>0.51342551993992436</v>
      </c>
      <c r="M354" s="40">
        <v>0.54617225478342912</v>
      </c>
    </row>
    <row r="355" spans="3:13" x14ac:dyDescent="0.3">
      <c r="C355" s="137"/>
      <c r="D355" s="139">
        <v>0.44999999999999996</v>
      </c>
      <c r="E355" s="40">
        <v>0.30053776311374253</v>
      </c>
      <c r="F355" s="40">
        <v>0.33328449795724163</v>
      </c>
      <c r="G355" s="40">
        <v>0.36603123280074318</v>
      </c>
      <c r="H355" s="40">
        <v>0.39877796764424422</v>
      </c>
      <c r="I355" s="40">
        <v>0.43152470248773922</v>
      </c>
      <c r="J355" s="40">
        <v>0.46427143733124399</v>
      </c>
      <c r="K355" s="40">
        <v>0.49701817217475047</v>
      </c>
      <c r="L355" s="40">
        <v>0.52976490701824253</v>
      </c>
      <c r="M355" s="40">
        <v>0.56251164186174729</v>
      </c>
    </row>
    <row r="356" spans="3:13" x14ac:dyDescent="0.3">
      <c r="C356" s="137"/>
      <c r="D356" s="139">
        <v>0.6</v>
      </c>
      <c r="E356" s="40">
        <v>0.31687715019206064</v>
      </c>
      <c r="F356" s="40">
        <v>0.34962388503555991</v>
      </c>
      <c r="G356" s="40">
        <v>0.38237061987906146</v>
      </c>
      <c r="H356" s="40">
        <v>0.41511735472256284</v>
      </c>
      <c r="I356" s="40">
        <v>0.44786408956605717</v>
      </c>
      <c r="J356" s="40">
        <v>0.48061082440956193</v>
      </c>
      <c r="K356" s="40">
        <v>0.51335755925306847</v>
      </c>
      <c r="L356" s="40">
        <v>0.54610429409656047</v>
      </c>
      <c r="M356" s="40">
        <v>0.57885102894006524</v>
      </c>
    </row>
    <row r="357" spans="3:13" x14ac:dyDescent="0.3">
      <c r="C357" s="137"/>
      <c r="D357" s="139">
        <v>0.75</v>
      </c>
      <c r="E357" s="40">
        <v>0.33321653727037875</v>
      </c>
      <c r="F357" s="40">
        <v>0.36596327211387802</v>
      </c>
      <c r="G357" s="40">
        <v>0.39871000695737946</v>
      </c>
      <c r="H357" s="40">
        <v>0.43145674180088101</v>
      </c>
      <c r="I357" s="40">
        <v>0.46420347664437533</v>
      </c>
      <c r="J357" s="40">
        <v>0.49695021148788004</v>
      </c>
      <c r="K357" s="40">
        <v>0.52969694633138653</v>
      </c>
      <c r="L357" s="40">
        <v>0.56244368117487864</v>
      </c>
      <c r="M357" s="40">
        <v>0.59519041601838318</v>
      </c>
    </row>
    <row r="358" spans="3:13" x14ac:dyDescent="0.3">
      <c r="C358" s="137"/>
      <c r="D358" s="139">
        <v>0.9</v>
      </c>
      <c r="E358" s="40">
        <v>0.34955592434869676</v>
      </c>
      <c r="F358" s="40">
        <v>0.38230265919219603</v>
      </c>
      <c r="G358" s="40">
        <v>0.41504939403569757</v>
      </c>
      <c r="H358" s="40">
        <v>0.44779612887919912</v>
      </c>
      <c r="I358" s="40">
        <v>0.48054286372269361</v>
      </c>
      <c r="J358" s="40">
        <v>0.51328959856619838</v>
      </c>
      <c r="K358" s="40">
        <v>0.54603633340970448</v>
      </c>
      <c r="L358" s="40">
        <v>0.57878306825319659</v>
      </c>
      <c r="M358" s="40">
        <v>0.61152980309670146</v>
      </c>
    </row>
    <row r="359" spans="3:13" x14ac:dyDescent="0.3">
      <c r="C359" s="137"/>
      <c r="D359" s="139">
        <v>1.05</v>
      </c>
      <c r="E359" s="40">
        <v>0.36589531142701487</v>
      </c>
      <c r="F359" s="40">
        <v>0.39864204627051414</v>
      </c>
      <c r="G359" s="40">
        <v>0.43138878111401568</v>
      </c>
      <c r="H359" s="40">
        <v>0.46413551595751706</v>
      </c>
      <c r="I359" s="40">
        <v>0.49688225080101156</v>
      </c>
      <c r="J359" s="40">
        <v>0.52962898564451633</v>
      </c>
      <c r="K359" s="40">
        <v>0.56237572048802265</v>
      </c>
      <c r="L359" s="40">
        <v>0.59512245533151464</v>
      </c>
      <c r="M359" s="40">
        <v>0.62786919017501941</v>
      </c>
    </row>
    <row r="360" spans="3:13" x14ac:dyDescent="0.3">
      <c r="C360" s="137"/>
      <c r="D360" s="139">
        <v>1.2</v>
      </c>
      <c r="E360" s="40">
        <v>0.38223469850533281</v>
      </c>
      <c r="F360" s="40">
        <v>0.41498143334883208</v>
      </c>
      <c r="G360" s="40">
        <v>0.44772816819233363</v>
      </c>
      <c r="H360" s="40">
        <v>0.48047490303583518</v>
      </c>
      <c r="I360" s="40">
        <v>0.51322163787932973</v>
      </c>
      <c r="J360" s="40">
        <v>0.54596837272283449</v>
      </c>
      <c r="K360" s="40">
        <v>0.57871510756634081</v>
      </c>
      <c r="L360" s="40">
        <v>0.61146184240983259</v>
      </c>
      <c r="M360" s="40">
        <v>0.64420857725333736</v>
      </c>
    </row>
    <row r="361" spans="3:13" x14ac:dyDescent="0.3">
      <c r="C361" s="137"/>
      <c r="D361" s="139">
        <v>1.3499999999999999</v>
      </c>
      <c r="E361" s="40">
        <v>0.39857408558365093</v>
      </c>
      <c r="F361" s="40">
        <v>0.4313208204271502</v>
      </c>
      <c r="G361" s="40">
        <v>0.46406755527065174</v>
      </c>
      <c r="H361" s="40">
        <v>0.49681429011415318</v>
      </c>
      <c r="I361" s="40">
        <v>0.52956102495764779</v>
      </c>
      <c r="J361" s="40">
        <v>0.56230775980115255</v>
      </c>
      <c r="K361" s="40">
        <v>0.59505449464465887</v>
      </c>
      <c r="L361" s="40">
        <v>0.62780122948815098</v>
      </c>
      <c r="M361" s="40">
        <v>0.66054796433165563</v>
      </c>
    </row>
    <row r="363" spans="3:13" x14ac:dyDescent="0.3">
      <c r="C363" s="137" t="s">
        <v>452</v>
      </c>
      <c r="D363" s="137" t="s">
        <v>451</v>
      </c>
      <c r="E363" s="137"/>
      <c r="F363" s="137"/>
      <c r="G363" s="137"/>
      <c r="H363" s="137"/>
      <c r="I363" s="137"/>
      <c r="J363" s="137"/>
      <c r="K363" s="137"/>
      <c r="L363" s="137"/>
      <c r="M363" s="137"/>
    </row>
    <row r="364" spans="3:13" x14ac:dyDescent="0.3">
      <c r="C364" s="138"/>
      <c r="D364" s="136">
        <f>L187</f>
        <v>0.5618203275019279</v>
      </c>
      <c r="E364" s="139">
        <v>0.15</v>
      </c>
      <c r="F364" s="139">
        <v>0.3</v>
      </c>
      <c r="G364" s="139">
        <f>F364+15%</f>
        <v>0.44999999999999996</v>
      </c>
      <c r="H364" s="139">
        <f t="shared" ref="H364:M364" si="94">G364+15%</f>
        <v>0.6</v>
      </c>
      <c r="I364" s="139">
        <f t="shared" si="94"/>
        <v>0.75</v>
      </c>
      <c r="J364" s="139">
        <f t="shared" si="94"/>
        <v>0.9</v>
      </c>
      <c r="K364" s="139">
        <f t="shared" si="94"/>
        <v>1.05</v>
      </c>
      <c r="L364" s="139">
        <f t="shared" si="94"/>
        <v>1.2</v>
      </c>
      <c r="M364" s="139">
        <f t="shared" si="94"/>
        <v>1.3499999999999999</v>
      </c>
    </row>
    <row r="365" spans="3:13" x14ac:dyDescent="0.3">
      <c r="C365" s="137"/>
      <c r="D365" s="139">
        <f t="array" ref="D365:D373">TRANSPOSE(E364:M364)</f>
        <v>0.15</v>
      </c>
      <c r="E365" s="40">
        <f t="dataTable" ref="E365:M373" dt2D="1" dtr="1" r1="H17" r2="H18" ca="1"/>
        <v>0.27658073365836</v>
      </c>
      <c r="F365" s="40">
        <v>0.31136973908827525</v>
      </c>
      <c r="G365" s="40">
        <v>0.34615874451819284</v>
      </c>
      <c r="H365" s="40">
        <v>0.38094774994810393</v>
      </c>
      <c r="I365" s="40">
        <v>0.41573675537802218</v>
      </c>
      <c r="J365" s="40">
        <v>0.45052576080793477</v>
      </c>
      <c r="K365" s="40">
        <v>0.48531476623785308</v>
      </c>
      <c r="L365" s="40">
        <v>0.52010377166777155</v>
      </c>
      <c r="M365" s="40">
        <v>0.55489277709769003</v>
      </c>
    </row>
    <row r="366" spans="3:13" x14ac:dyDescent="0.3">
      <c r="C366" s="137"/>
      <c r="D366" s="139">
        <v>0.3</v>
      </c>
      <c r="E366" s="40">
        <v>0.2921281271420148</v>
      </c>
      <c r="F366" s="40">
        <v>0.32691713257193006</v>
      </c>
      <c r="G366" s="40">
        <v>0.3617061380018477</v>
      </c>
      <c r="H366" s="40">
        <v>0.39649514343175873</v>
      </c>
      <c r="I366" s="40">
        <v>0.43128414886167704</v>
      </c>
      <c r="J366" s="40">
        <v>0.46607315429158946</v>
      </c>
      <c r="K366" s="40">
        <v>0.50086215972150794</v>
      </c>
      <c r="L366" s="40">
        <v>0.53565116515142619</v>
      </c>
      <c r="M366" s="40">
        <v>0.57044017058134466</v>
      </c>
    </row>
    <row r="367" spans="3:13" x14ac:dyDescent="0.3">
      <c r="C367" s="137"/>
      <c r="D367" s="139">
        <v>0.44999999999999996</v>
      </c>
      <c r="E367" s="40">
        <v>0.3076755206256695</v>
      </c>
      <c r="F367" s="40">
        <v>0.34246452605558508</v>
      </c>
      <c r="G367" s="40">
        <v>0.37725353148550267</v>
      </c>
      <c r="H367" s="40">
        <v>0.41204253691541343</v>
      </c>
      <c r="I367" s="40">
        <v>0.44683154234533184</v>
      </c>
      <c r="J367" s="40">
        <v>0.48162054777524427</v>
      </c>
      <c r="K367" s="40">
        <v>0.51640955320516269</v>
      </c>
      <c r="L367" s="40">
        <v>0.55119855863508083</v>
      </c>
      <c r="M367" s="40">
        <v>0.58598756406499963</v>
      </c>
    </row>
    <row r="368" spans="3:13" x14ac:dyDescent="0.3">
      <c r="C368" s="137"/>
      <c r="D368" s="139">
        <v>0.6</v>
      </c>
      <c r="E368" s="40">
        <v>0.3232229141093243</v>
      </c>
      <c r="F368" s="40">
        <v>0.35801191953923972</v>
      </c>
      <c r="G368" s="40">
        <v>0.39280092496915736</v>
      </c>
      <c r="H368" s="40">
        <v>0.42758993039906823</v>
      </c>
      <c r="I368" s="40">
        <v>0.46237893582898654</v>
      </c>
      <c r="J368" s="40">
        <v>0.49716794125889896</v>
      </c>
      <c r="K368" s="40">
        <v>0.53195694668881743</v>
      </c>
      <c r="L368" s="40">
        <v>0.56674595211873591</v>
      </c>
      <c r="M368" s="40">
        <v>0.60153495754865427</v>
      </c>
    </row>
    <row r="369" spans="3:13" x14ac:dyDescent="0.3">
      <c r="C369" s="137"/>
      <c r="D369" s="139">
        <v>0.75</v>
      </c>
      <c r="E369" s="40">
        <v>0.33877030759297894</v>
      </c>
      <c r="F369" s="40">
        <v>0.37355931302289458</v>
      </c>
      <c r="G369" s="40">
        <v>0.40834831845281216</v>
      </c>
      <c r="H369" s="40">
        <v>0.44313732388272292</v>
      </c>
      <c r="I369" s="40">
        <v>0.47792632931264134</v>
      </c>
      <c r="J369" s="40">
        <v>0.51271533474255382</v>
      </c>
      <c r="K369" s="40">
        <v>0.54750434017247207</v>
      </c>
      <c r="L369" s="40">
        <v>0.58229334560239054</v>
      </c>
      <c r="M369" s="40">
        <v>0.61708235103230902</v>
      </c>
    </row>
    <row r="370" spans="3:13" x14ac:dyDescent="0.3">
      <c r="C370" s="137"/>
      <c r="D370" s="139">
        <v>0.9</v>
      </c>
      <c r="E370" s="40">
        <v>0.3543177010766338</v>
      </c>
      <c r="F370" s="40">
        <v>0.38910670650654938</v>
      </c>
      <c r="G370" s="40">
        <v>0.42389571193646702</v>
      </c>
      <c r="H370" s="40">
        <v>0.45868471736637773</v>
      </c>
      <c r="I370" s="40">
        <v>0.49347372279629603</v>
      </c>
      <c r="J370" s="40">
        <v>0.52826272822620857</v>
      </c>
      <c r="K370" s="40">
        <v>0.56305173365612704</v>
      </c>
      <c r="L370" s="40">
        <v>0.59784073908604551</v>
      </c>
      <c r="M370" s="40">
        <v>0.63262974451596399</v>
      </c>
    </row>
    <row r="371" spans="3:13" x14ac:dyDescent="0.3">
      <c r="C371" s="137"/>
      <c r="D371" s="139">
        <v>1.05</v>
      </c>
      <c r="E371" s="40">
        <v>0.3698650945602886</v>
      </c>
      <c r="F371" s="40">
        <v>0.40465409999020407</v>
      </c>
      <c r="G371" s="40">
        <v>0.43944310542012166</v>
      </c>
      <c r="H371" s="40">
        <v>0.47423211085003258</v>
      </c>
      <c r="I371" s="40">
        <v>0.50902111627995084</v>
      </c>
      <c r="J371" s="40">
        <v>0.54381012170986331</v>
      </c>
      <c r="K371" s="40">
        <v>0.57859912713978201</v>
      </c>
      <c r="L371" s="40">
        <v>0.61338813256970015</v>
      </c>
      <c r="M371" s="40">
        <v>0.64817713799961862</v>
      </c>
    </row>
    <row r="372" spans="3:13" x14ac:dyDescent="0.3">
      <c r="C372" s="137"/>
      <c r="D372" s="139">
        <v>1.2</v>
      </c>
      <c r="E372" s="40">
        <v>0.38541248804394329</v>
      </c>
      <c r="F372" s="40">
        <v>0.42020149347385888</v>
      </c>
      <c r="G372" s="40">
        <v>0.45499049890377652</v>
      </c>
      <c r="H372" s="40">
        <v>0.48977950433368722</v>
      </c>
      <c r="I372" s="40">
        <v>0.52456850976360547</v>
      </c>
      <c r="J372" s="40">
        <v>0.55935751519351795</v>
      </c>
      <c r="K372" s="40">
        <v>0.59414652062343676</v>
      </c>
      <c r="L372" s="40">
        <v>0.62893552605335512</v>
      </c>
      <c r="M372" s="40">
        <v>0.66372453148327359</v>
      </c>
    </row>
    <row r="373" spans="3:13" x14ac:dyDescent="0.3">
      <c r="C373" s="137"/>
      <c r="D373" s="139">
        <v>1.3499999999999999</v>
      </c>
      <c r="E373" s="40">
        <v>0.40095988152759826</v>
      </c>
      <c r="F373" s="40">
        <v>0.43574888695751357</v>
      </c>
      <c r="G373" s="40">
        <v>0.47053789238743132</v>
      </c>
      <c r="H373" s="40">
        <v>0.50532689781734208</v>
      </c>
      <c r="I373" s="40">
        <v>0.54011590324726055</v>
      </c>
      <c r="J373" s="40">
        <v>0.57490490867717292</v>
      </c>
      <c r="K373" s="40">
        <v>0.60969391410709139</v>
      </c>
      <c r="L373" s="40">
        <v>0.64448291953700987</v>
      </c>
      <c r="M373" s="40">
        <v>0.67927192496692834</v>
      </c>
    </row>
    <row r="375" spans="3:13" x14ac:dyDescent="0.3">
      <c r="C375" s="137" t="s">
        <v>452</v>
      </c>
      <c r="D375" s="137" t="s">
        <v>451</v>
      </c>
      <c r="E375" s="137"/>
      <c r="F375" s="137"/>
      <c r="G375" s="137"/>
      <c r="H375" s="137"/>
      <c r="I375" s="137"/>
      <c r="J375" s="137"/>
      <c r="K375" s="137"/>
      <c r="L375" s="137"/>
      <c r="M375" s="137"/>
    </row>
    <row r="376" spans="3:13" x14ac:dyDescent="0.3">
      <c r="C376" s="138"/>
      <c r="D376" s="136">
        <f>M187</f>
        <v>0.56531327123705655</v>
      </c>
      <c r="E376" s="139">
        <v>0.15</v>
      </c>
      <c r="F376" s="139">
        <v>0.3</v>
      </c>
      <c r="G376" s="139">
        <f>F376+15%</f>
        <v>0.44999999999999996</v>
      </c>
      <c r="H376" s="139">
        <f t="shared" ref="H376:M376" si="95">G376+15%</f>
        <v>0.6</v>
      </c>
      <c r="I376" s="139">
        <f t="shared" si="95"/>
        <v>0.75</v>
      </c>
      <c r="J376" s="139">
        <f t="shared" si="95"/>
        <v>0.9</v>
      </c>
      <c r="K376" s="139">
        <f t="shared" si="95"/>
        <v>1.05</v>
      </c>
      <c r="L376" s="139">
        <f t="shared" si="95"/>
        <v>1.2</v>
      </c>
      <c r="M376" s="139">
        <f t="shared" si="95"/>
        <v>1.3499999999999999</v>
      </c>
    </row>
    <row r="377" spans="3:13" x14ac:dyDescent="0.3">
      <c r="C377" s="137"/>
      <c r="D377" s="139">
        <f t="array" ref="D377:D385">TRANSPOSE(E376:M376)</f>
        <v>0.15</v>
      </c>
      <c r="E377" s="40">
        <f t="dataTable" ref="E377:M385" dt2D="1" dtr="1" r1="H17" r2="H18" ca="1"/>
        <v>0.28542689999831683</v>
      </c>
      <c r="F377" s="40">
        <v>0.31997570964724964</v>
      </c>
      <c r="G377" s="40">
        <v>0.35452451929618839</v>
      </c>
      <c r="H377" s="40">
        <v>0.3890733289451257</v>
      </c>
      <c r="I377" s="40">
        <v>0.42362213859406428</v>
      </c>
      <c r="J377" s="40">
        <v>0.45817094824299726</v>
      </c>
      <c r="K377" s="40">
        <v>0.49271975789193445</v>
      </c>
      <c r="L377" s="40">
        <v>0.52726856754087315</v>
      </c>
      <c r="M377" s="40">
        <v>0.56181737718981195</v>
      </c>
    </row>
    <row r="378" spans="3:13" x14ac:dyDescent="0.3">
      <c r="C378" s="137"/>
      <c r="D378" s="139">
        <v>0.3</v>
      </c>
      <c r="E378" s="40">
        <v>0.30026980292092359</v>
      </c>
      <c r="F378" s="40">
        <v>0.33481861256985557</v>
      </c>
      <c r="G378" s="40">
        <v>0.36936742221879448</v>
      </c>
      <c r="H378" s="40">
        <v>0.40391623186773168</v>
      </c>
      <c r="I378" s="40">
        <v>0.43846504151667026</v>
      </c>
      <c r="J378" s="40">
        <v>0.47301385116560324</v>
      </c>
      <c r="K378" s="40">
        <v>0.50756266081454038</v>
      </c>
      <c r="L378" s="40">
        <v>0.54211147046347952</v>
      </c>
      <c r="M378" s="40">
        <v>0.57666028011241788</v>
      </c>
    </row>
    <row r="379" spans="3:13" x14ac:dyDescent="0.3">
      <c r="C379" s="137"/>
      <c r="D379" s="139">
        <v>0.44999999999999996</v>
      </c>
      <c r="E379" s="40">
        <v>0.31511270584352968</v>
      </c>
      <c r="F379" s="40">
        <v>0.34966151549246172</v>
      </c>
      <c r="G379" s="40">
        <v>0.38421032514140047</v>
      </c>
      <c r="H379" s="40">
        <v>0.41875913479033777</v>
      </c>
      <c r="I379" s="40">
        <v>0.45330794443927652</v>
      </c>
      <c r="J379" s="40">
        <v>0.48785675408820922</v>
      </c>
      <c r="K379" s="40">
        <v>0.52240556373714664</v>
      </c>
      <c r="L379" s="40">
        <v>0.55695437338608544</v>
      </c>
      <c r="M379" s="40">
        <v>0.59150318303502381</v>
      </c>
    </row>
    <row r="380" spans="3:13" x14ac:dyDescent="0.3">
      <c r="C380" s="137"/>
      <c r="D380" s="139">
        <v>0.6</v>
      </c>
      <c r="E380" s="40">
        <v>0.32995560876613567</v>
      </c>
      <c r="F380" s="40">
        <v>0.36450441841506798</v>
      </c>
      <c r="G380" s="40">
        <v>0.39905322806400656</v>
      </c>
      <c r="H380" s="40">
        <v>0.43360203771294392</v>
      </c>
      <c r="I380" s="40">
        <v>0.46815084736188284</v>
      </c>
      <c r="J380" s="40">
        <v>0.50269965701081543</v>
      </c>
      <c r="K380" s="40">
        <v>0.53724846665975268</v>
      </c>
      <c r="L380" s="40">
        <v>0.57179727630869137</v>
      </c>
      <c r="M380" s="40">
        <v>0.60634608595762984</v>
      </c>
    </row>
    <row r="381" spans="3:13" x14ac:dyDescent="0.3">
      <c r="C381" s="137"/>
      <c r="D381" s="139">
        <v>0.75</v>
      </c>
      <c r="E381" s="40">
        <v>0.34479851168874176</v>
      </c>
      <c r="F381" s="40">
        <v>0.37934732133767413</v>
      </c>
      <c r="G381" s="40">
        <v>0.41389613098661271</v>
      </c>
      <c r="H381" s="40">
        <v>0.44844494063555002</v>
      </c>
      <c r="I381" s="40">
        <v>0.48299375028448877</v>
      </c>
      <c r="J381" s="40">
        <v>0.51754255993342146</v>
      </c>
      <c r="K381" s="40">
        <v>0.5520913695823586</v>
      </c>
      <c r="L381" s="40">
        <v>0.5866401792312973</v>
      </c>
      <c r="M381" s="40">
        <v>0.6211889888802361</v>
      </c>
    </row>
    <row r="382" spans="3:13" x14ac:dyDescent="0.3">
      <c r="C382" s="137"/>
      <c r="D382" s="139">
        <v>0.9</v>
      </c>
      <c r="E382" s="40">
        <v>0.35964141461134785</v>
      </c>
      <c r="F382" s="40">
        <v>0.39419022426028005</v>
      </c>
      <c r="G382" s="40">
        <v>0.42873903390921864</v>
      </c>
      <c r="H382" s="40">
        <v>0.46328784355815594</v>
      </c>
      <c r="I382" s="40">
        <v>0.49783665320709475</v>
      </c>
      <c r="J382" s="40">
        <v>0.53238546285602772</v>
      </c>
      <c r="K382" s="40">
        <v>0.56693427250496486</v>
      </c>
      <c r="L382" s="40">
        <v>0.60148308215390334</v>
      </c>
      <c r="M382" s="40">
        <v>0.63603189180284203</v>
      </c>
    </row>
    <row r="383" spans="3:13" x14ac:dyDescent="0.3">
      <c r="C383" s="137"/>
      <c r="D383" s="139">
        <v>1.05</v>
      </c>
      <c r="E383" s="40">
        <v>0.37448431753395384</v>
      </c>
      <c r="F383" s="40">
        <v>0.4090331271828862</v>
      </c>
      <c r="G383" s="40">
        <v>0.44358193683182479</v>
      </c>
      <c r="H383" s="40">
        <v>0.47813074648076193</v>
      </c>
      <c r="I383" s="40">
        <v>0.51267955612970073</v>
      </c>
      <c r="J383" s="40">
        <v>0.54722836577863365</v>
      </c>
      <c r="K383" s="40">
        <v>0.58177717542757112</v>
      </c>
      <c r="L383" s="40">
        <v>0.61632598507650926</v>
      </c>
      <c r="M383" s="40">
        <v>0.65087479472544829</v>
      </c>
    </row>
    <row r="384" spans="3:13" x14ac:dyDescent="0.3">
      <c r="C384" s="137"/>
      <c r="D384" s="139">
        <v>1.2</v>
      </c>
      <c r="E384" s="40">
        <v>0.38932722045655993</v>
      </c>
      <c r="F384" s="40">
        <v>0.42387603010549213</v>
      </c>
      <c r="G384" s="40">
        <v>0.45842483975443105</v>
      </c>
      <c r="H384" s="40">
        <v>0.49297364940336819</v>
      </c>
      <c r="I384" s="40">
        <v>0.52752245905230699</v>
      </c>
      <c r="J384" s="40">
        <v>0.56207126870123991</v>
      </c>
      <c r="K384" s="40">
        <v>0.59662007835017672</v>
      </c>
      <c r="L384" s="40">
        <v>0.63116888799911552</v>
      </c>
      <c r="M384" s="40">
        <v>0.66571769764805433</v>
      </c>
    </row>
    <row r="385" spans="3:13" x14ac:dyDescent="0.3">
      <c r="C385" s="137"/>
      <c r="D385" s="139">
        <v>1.3499999999999999</v>
      </c>
      <c r="E385" s="40">
        <v>0.40417012337916591</v>
      </c>
      <c r="F385" s="40">
        <v>0.43871893302809822</v>
      </c>
      <c r="G385" s="40">
        <v>0.47326774267703703</v>
      </c>
      <c r="H385" s="40">
        <v>0.50781655232597445</v>
      </c>
      <c r="I385" s="40">
        <v>0.54236536197491292</v>
      </c>
      <c r="J385" s="40">
        <v>0.57691417162384584</v>
      </c>
      <c r="K385" s="40">
        <v>0.61146298127278309</v>
      </c>
      <c r="L385" s="40">
        <v>0.64601179092172145</v>
      </c>
      <c r="M385" s="40">
        <v>0.68056060057066026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EC86-E460-41A8-9306-0E0F9C159E93}">
  <dimension ref="A1:S47"/>
  <sheetViews>
    <sheetView showGridLines="0" topLeftCell="A27" zoomScale="85" zoomScaleNormal="85" workbookViewId="0">
      <selection activeCell="G58" sqref="G58"/>
    </sheetView>
  </sheetViews>
  <sheetFormatPr defaultRowHeight="15.6" outlineLevelCol="1" x14ac:dyDescent="0.3"/>
  <cols>
    <col min="1" max="2" width="1.77734375" style="4" customWidth="1"/>
    <col min="3" max="3" width="26.109375" style="4" bestFit="1" customWidth="1"/>
    <col min="4" max="6" width="13.77734375" style="4" customWidth="1"/>
    <col min="7" max="7" width="13.77734375" style="104" customWidth="1"/>
    <col min="8" max="8" width="13.77734375" style="105" customWidth="1"/>
    <col min="9" max="9" width="13.77734375" style="4" customWidth="1"/>
    <col min="10" max="18" width="13.77734375" style="4" customWidth="1" outlineLevel="1"/>
    <col min="19" max="16384" width="8.88671875" style="4"/>
  </cols>
  <sheetData>
    <row r="1" spans="1:19" ht="18" x14ac:dyDescent="0.35">
      <c r="A1" s="6" t="s">
        <v>411</v>
      </c>
      <c r="F1" s="104"/>
      <c r="G1" s="4"/>
      <c r="H1" s="4"/>
    </row>
    <row r="2" spans="1:19" ht="18" x14ac:dyDescent="0.35">
      <c r="A2" s="6"/>
      <c r="G2" s="4"/>
    </row>
    <row r="3" spans="1:19" x14ac:dyDescent="0.3">
      <c r="B3" s="1" t="s">
        <v>333</v>
      </c>
      <c r="C3" s="3"/>
      <c r="D3" s="3"/>
      <c r="E3" s="101" t="s">
        <v>412</v>
      </c>
      <c r="F3" s="101" t="s">
        <v>414</v>
      </c>
      <c r="G3" s="13" t="s">
        <v>413</v>
      </c>
      <c r="H3" s="102"/>
      <c r="I3" s="103" t="s">
        <v>417</v>
      </c>
      <c r="J3" s="103"/>
      <c r="K3" s="103"/>
      <c r="L3" s="103"/>
      <c r="M3" s="103"/>
      <c r="N3" s="103"/>
      <c r="O3" s="103"/>
      <c r="P3" s="103"/>
      <c r="Q3" s="103"/>
      <c r="R3" s="103"/>
    </row>
    <row r="4" spans="1:19" x14ac:dyDescent="0.3">
      <c r="B4" s="15" t="s">
        <v>144</v>
      </c>
      <c r="C4" s="80"/>
      <c r="D4" s="81" t="s">
        <v>334</v>
      </c>
      <c r="E4" s="17">
        <f>DATE(2023,12,31)</f>
        <v>45291</v>
      </c>
      <c r="F4" s="17">
        <f>E4</f>
        <v>45291</v>
      </c>
      <c r="G4" s="99" t="s">
        <v>420</v>
      </c>
      <c r="H4" s="100" t="s">
        <v>421</v>
      </c>
      <c r="I4" s="17">
        <f>F4</f>
        <v>45291</v>
      </c>
      <c r="J4" s="17">
        <f>EOMONTH(I4,12)</f>
        <v>45657</v>
      </c>
      <c r="K4" s="17">
        <f t="shared" ref="K4:N4" si="0">EOMONTH(J4,12)</f>
        <v>46022</v>
      </c>
      <c r="L4" s="17">
        <f t="shared" si="0"/>
        <v>46387</v>
      </c>
      <c r="M4" s="17">
        <f t="shared" si="0"/>
        <v>46752</v>
      </c>
      <c r="N4" s="17">
        <f t="shared" si="0"/>
        <v>47118</v>
      </c>
      <c r="O4" s="17">
        <f t="shared" ref="O4:R4" si="1">EOMONTH(N4,12)</f>
        <v>47483</v>
      </c>
      <c r="P4" s="17">
        <f t="shared" si="1"/>
        <v>47848</v>
      </c>
      <c r="Q4" s="17">
        <f t="shared" si="1"/>
        <v>48213</v>
      </c>
      <c r="R4" s="17">
        <f t="shared" si="1"/>
        <v>48579</v>
      </c>
    </row>
    <row r="5" spans="1:19" x14ac:dyDescent="0.3">
      <c r="B5" s="116" t="s">
        <v>34</v>
      </c>
      <c r="C5" s="111"/>
      <c r="D5" s="112"/>
      <c r="E5" s="113"/>
      <c r="F5" s="113"/>
      <c r="G5" s="114"/>
      <c r="H5" s="115"/>
      <c r="I5" s="113"/>
      <c r="J5" s="113"/>
      <c r="K5" s="113"/>
      <c r="L5" s="113"/>
      <c r="M5" s="113"/>
      <c r="N5" s="113"/>
      <c r="O5" s="113"/>
      <c r="P5" s="113"/>
      <c r="Q5" s="113"/>
      <c r="R5" s="113"/>
    </row>
    <row r="6" spans="1:19" x14ac:dyDescent="0.3">
      <c r="C6" s="5" t="s">
        <v>35</v>
      </c>
      <c r="S6" s="43"/>
    </row>
    <row r="7" spans="1:19" x14ac:dyDescent="0.3">
      <c r="C7" s="83" t="s">
        <v>36</v>
      </c>
      <c r="D7" s="84" t="s">
        <v>454</v>
      </c>
      <c r="E7" s="86">
        <f>Kroger_Financial_Model!I142</f>
        <v>5098.4871850294094</v>
      </c>
      <c r="F7" s="85">
        <f>Albertsons_Financial_Model!H140</f>
        <v>894.319937040794</v>
      </c>
      <c r="G7" s="86">
        <v>0</v>
      </c>
      <c r="H7" s="85">
        <f>-Merger_Model!E31-Merger_Model!E35</f>
        <v>-3199.7923214067632</v>
      </c>
      <c r="I7" s="86">
        <f>E7+F7+G7+H7</f>
        <v>2793.0148006634399</v>
      </c>
      <c r="J7" s="86">
        <f>I7+Merger_Model!E269</f>
        <v>8863.4828972391806</v>
      </c>
      <c r="K7" s="86">
        <f>J7+Merger_Model!F269</f>
        <v>13650.429997733343</v>
      </c>
      <c r="L7" s="86">
        <f>K7+Merger_Model!G269</f>
        <v>16426.528656224564</v>
      </c>
      <c r="M7" s="86">
        <f>L7+Merger_Model!H269</f>
        <v>19577.574130526424</v>
      </c>
      <c r="N7" s="86">
        <f>M7+Merger_Model!I269</f>
        <v>25744.614379610146</v>
      </c>
      <c r="O7" s="86">
        <f>N7+Merger_Model!J269</f>
        <v>34565.986049532119</v>
      </c>
      <c r="P7" s="86">
        <f>O7+Merger_Model!K269</f>
        <v>44227.158009029372</v>
      </c>
      <c r="Q7" s="86">
        <f>P7+Merger_Model!L269</f>
        <v>54329.839633816009</v>
      </c>
      <c r="R7" s="86">
        <f>Q7+Merger_Model!M269</f>
        <v>65146.417795042806</v>
      </c>
    </row>
    <row r="8" spans="1:19" x14ac:dyDescent="0.3">
      <c r="C8" s="9" t="s">
        <v>167</v>
      </c>
      <c r="D8" s="167" t="s">
        <v>454</v>
      </c>
      <c r="E8" s="24">
        <f>Kroger_Financial_Model!I143</f>
        <v>3565.8489525715568</v>
      </c>
      <c r="F8" s="24">
        <f>Albertsons_Financial_Model!H141</f>
        <v>663.60161119416387</v>
      </c>
      <c r="I8" s="24">
        <f t="shared" ref="I8:I10" si="2">E8+F8+G8+H8</f>
        <v>4229.4505637657203</v>
      </c>
      <c r="J8" s="24">
        <f>Kroger_Financial_Model!J143+Albertsons_Financial_Model!I141</f>
        <v>4486.8860842215199</v>
      </c>
      <c r="K8" s="24">
        <f>Kroger_Financial_Model!K143+Albertsons_Financial_Model!J141</f>
        <v>4750.9314012600362</v>
      </c>
      <c r="L8" s="24">
        <f>Kroger_Financial_Model!L143+Albertsons_Financial_Model!K141</f>
        <v>4988.6187175604546</v>
      </c>
      <c r="M8" s="24">
        <f>Kroger_Financial_Model!M143+Albertsons_Financial_Model!L141</f>
        <v>5182.2214736928763</v>
      </c>
      <c r="N8" s="24">
        <f>Kroger_Financial_Model!N143+Albertsons_Financial_Model!M141</f>
        <v>5361.2128900537346</v>
      </c>
      <c r="O8" s="24">
        <f>Kroger_Financial_Model!O143+Albertsons_Financial_Model!N141</f>
        <v>5532.8837426253995</v>
      </c>
      <c r="P8" s="24">
        <f>Kroger_Financial_Model!P143+Albertsons_Financial_Model!O141</f>
        <v>5695.6084170398526</v>
      </c>
      <c r="Q8" s="24">
        <f>Kroger_Financial_Model!Q143+Albertsons_Financial_Model!P141</f>
        <v>5852.1574626126876</v>
      </c>
      <c r="R8" s="24">
        <f>Kroger_Financial_Model!R143+Albertsons_Financial_Model!Q141</f>
        <v>6001.0223423065372</v>
      </c>
    </row>
    <row r="9" spans="1:19" x14ac:dyDescent="0.3">
      <c r="C9" s="9" t="s">
        <v>38</v>
      </c>
      <c r="D9" s="167" t="s">
        <v>454</v>
      </c>
      <c r="E9" s="24">
        <f>Kroger_Financial_Model!I144</f>
        <v>10378.375014294425</v>
      </c>
      <c r="F9" s="24">
        <f>Albertsons_Financial_Model!H142</f>
        <v>5023.6310820339622</v>
      </c>
      <c r="I9" s="24">
        <f t="shared" si="2"/>
        <v>15402.006096328387</v>
      </c>
      <c r="J9" s="24">
        <f>Kroger_Financial_Model!J144+Albertsons_Financial_Model!I142</f>
        <v>16286.484295015671</v>
      </c>
      <c r="K9" s="24">
        <f>Kroger_Financial_Model!K144+Albertsons_Financial_Model!J142</f>
        <v>17188.798266913516</v>
      </c>
      <c r="L9" s="24">
        <f>Kroger_Financial_Model!L144+Albertsons_Financial_Model!K142</f>
        <v>18009.395555681993</v>
      </c>
      <c r="M9" s="24">
        <f>Kroger_Financial_Model!M144+Albertsons_Financial_Model!L142</f>
        <v>18690.282123366185</v>
      </c>
      <c r="N9" s="24">
        <f>Kroger_Financial_Model!N144+Albertsons_Financial_Model!M142</f>
        <v>19332.718352704964</v>
      </c>
      <c r="O9" s="24">
        <f>Kroger_Financial_Model!O144+Albertsons_Financial_Model!N142</f>
        <v>19956.745391850578</v>
      </c>
      <c r="P9" s="24">
        <f>Kroger_Financial_Model!P144+Albertsons_Financial_Model!O142</f>
        <v>20556.230145500951</v>
      </c>
      <c r="Q9" s="24">
        <f>Kroger_Financial_Model!Q144+Albertsons_Financial_Model!P142</f>
        <v>21141.734877822098</v>
      </c>
      <c r="R9" s="24">
        <f>Kroger_Financial_Model!R144+Albertsons_Financial_Model!Q142</f>
        <v>21706.340159311319</v>
      </c>
    </row>
    <row r="10" spans="1:19" x14ac:dyDescent="0.3">
      <c r="C10" s="22" t="s">
        <v>41</v>
      </c>
      <c r="D10" s="171" t="s">
        <v>454</v>
      </c>
      <c r="E10" s="25">
        <f>Kroger_Financial_Model!I145</f>
        <v>825.31197922123317</v>
      </c>
      <c r="F10" s="106">
        <f>Albertsons_Financial_Model!H143</f>
        <v>433.92115797889983</v>
      </c>
      <c r="G10" s="107"/>
      <c r="H10" s="108"/>
      <c r="I10" s="25">
        <f t="shared" si="2"/>
        <v>1259.2331372001331</v>
      </c>
      <c r="J10" s="25">
        <f>Kroger_Financial_Model!J145+Albertsons_Financial_Model!I143</f>
        <v>1331.0744066132074</v>
      </c>
      <c r="K10" s="25">
        <f>Kroger_Financial_Model!K145+Albertsons_Financial_Model!J143</f>
        <v>1404.3184067383334</v>
      </c>
      <c r="L10" s="25">
        <f>Kroger_Financial_Model!L145+Albertsons_Financial_Model!K143</f>
        <v>1471.0084160439626</v>
      </c>
      <c r="M10" s="25">
        <f>Kroger_Financial_Model!M145+Albertsons_Financial_Model!L143</f>
        <v>1526.4613440574694</v>
      </c>
      <c r="N10" s="25">
        <f>Kroger_Financial_Model!N145+Albertsons_Financial_Model!M143</f>
        <v>1578.9019965850598</v>
      </c>
      <c r="O10" s="25">
        <f>Kroger_Financial_Model!O145+Albertsons_Financial_Model!N143</f>
        <v>1629.9109681188299</v>
      </c>
      <c r="P10" s="25">
        <f>Kroger_Financial_Model!P145+Albertsons_Financial_Model!O143</f>
        <v>1678.9849330029183</v>
      </c>
      <c r="Q10" s="25">
        <f>Kroger_Financial_Model!Q145+Albertsons_Financial_Model!P143</f>
        <v>1726.9916473704907</v>
      </c>
      <c r="R10" s="25">
        <f>Kroger_Financial_Model!R145+Albertsons_Financial_Model!Q143</f>
        <v>1773.3527048516564</v>
      </c>
    </row>
    <row r="11" spans="1:19" s="5" customFormat="1" x14ac:dyDescent="0.3">
      <c r="C11" s="27" t="s">
        <v>35</v>
      </c>
      <c r="D11" s="167" t="s">
        <v>454</v>
      </c>
      <c r="E11" s="26">
        <f>SUM(E7:E10)</f>
        <v>19868.023131116624</v>
      </c>
      <c r="F11" s="26">
        <f>SUM(F7:F10)</f>
        <v>7015.4737882478194</v>
      </c>
      <c r="G11" s="109"/>
      <c r="H11" s="110"/>
      <c r="I11" s="26">
        <f>SUM(I7:I10)</f>
        <v>23683.70459795768</v>
      </c>
      <c r="J11" s="26">
        <f>SUM(J7:J10)</f>
        <v>30967.92768308958</v>
      </c>
      <c r="K11" s="26">
        <f t="shared" ref="K11:R11" si="3">SUM(K7:K10)</f>
        <v>36994.47807264523</v>
      </c>
      <c r="L11" s="26">
        <f t="shared" si="3"/>
        <v>40895.551345510976</v>
      </c>
      <c r="M11" s="26">
        <f t="shared" si="3"/>
        <v>44976.539071642954</v>
      </c>
      <c r="N11" s="26">
        <f t="shared" si="3"/>
        <v>52017.447618953905</v>
      </c>
      <c r="O11" s="26">
        <f t="shared" si="3"/>
        <v>61685.526152126928</v>
      </c>
      <c r="P11" s="26">
        <f t="shared" si="3"/>
        <v>72157.981504573094</v>
      </c>
      <c r="Q11" s="26">
        <f t="shared" si="3"/>
        <v>83050.723621621291</v>
      </c>
      <c r="R11" s="26">
        <f t="shared" si="3"/>
        <v>94627.133001512324</v>
      </c>
    </row>
    <row r="12" spans="1:19" x14ac:dyDescent="0.3">
      <c r="D12" s="167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9" x14ac:dyDescent="0.3">
      <c r="C13" s="27" t="s">
        <v>62</v>
      </c>
      <c r="D13" s="167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9" x14ac:dyDescent="0.3">
      <c r="C14" s="83" t="s">
        <v>43</v>
      </c>
      <c r="D14" s="84" t="s">
        <v>454</v>
      </c>
      <c r="E14" s="86">
        <f>Kroger_Financial_Model!I149</f>
        <v>24993.00923206906</v>
      </c>
      <c r="F14" s="85">
        <f>Albertsons_Financial_Model!H147</f>
        <v>9223.9702817081015</v>
      </c>
      <c r="G14" s="86">
        <f>Merger_Model!L43</f>
        <v>922.39702817081024</v>
      </c>
      <c r="H14" s="85">
        <v>0</v>
      </c>
      <c r="I14" s="86">
        <f>E14+F14+G14+H14</f>
        <v>35139.376541947968</v>
      </c>
      <c r="J14" s="86">
        <f>I14-Merger_Model!E253-Merger_Model!E237-Merger_Model!E238-Merger_Model!E246-Kroger_Financial_Model!J92-Albertsons_Financial_Model!I99</f>
        <v>35568.832193275673</v>
      </c>
      <c r="K14" s="86">
        <f>J14-Merger_Model!F253-Merger_Model!F237-Merger_Model!F238-Merger_Model!F246-Kroger_Financial_Model!K92-Albertsons_Financial_Model!J99</f>
        <v>36024.484736518396</v>
      </c>
      <c r="L14" s="86">
        <f>K14-Merger_Model!G253-Merger_Model!G237-Merger_Model!G238-Merger_Model!G246-Kroger_Financial_Model!L92-Albertsons_Financial_Model!K99</f>
        <v>36504.120316956352</v>
      </c>
      <c r="M14" s="86">
        <f>L14-Merger_Model!H253-Merger_Model!H237-Merger_Model!H238-Merger_Model!H246-Kroger_Financial_Model!M92-Albertsons_Financial_Model!L99</f>
        <v>37003.890363009639</v>
      </c>
      <c r="N14" s="86">
        <f>M14-Merger_Model!I253-Merger_Model!I237-Merger_Model!I238-Merger_Model!I246-Kroger_Financial_Model!N92-Albertsons_Financial_Model!M99</f>
        <v>37522.896494947243</v>
      </c>
      <c r="O14" s="86">
        <f>N14-Merger_Model!J253-Merger_Model!J237-Merger_Model!J238-Merger_Model!J246-Kroger_Financial_Model!O92-Albertsons_Financial_Model!N99</f>
        <v>38060.729670199129</v>
      </c>
      <c r="P14" s="86">
        <f>O14-Merger_Model!K253-Merger_Model!K237-Merger_Model!K238-Merger_Model!K246-Kroger_Financial_Model!P92-Albertsons_Financial_Model!O99</f>
        <v>38616.791812349897</v>
      </c>
      <c r="Q14" s="86">
        <f>P14-Merger_Model!L253-Merger_Model!L237-Merger_Model!L238-Merger_Model!L246-Kroger_Financial_Model!Q92-Albertsons_Financial_Model!P99</f>
        <v>39190.812278533318</v>
      </c>
      <c r="R14" s="86">
        <f>Q14-Merger_Model!M253-Merger_Model!M237-Merger_Model!M238-Merger_Model!M246-Kroger_Financial_Model!R92-Albertsons_Financial_Model!Q99</f>
        <v>39782.286039129984</v>
      </c>
    </row>
    <row r="15" spans="1:19" x14ac:dyDescent="0.3">
      <c r="C15" s="9" t="s">
        <v>44</v>
      </c>
      <c r="D15" s="167" t="s">
        <v>454</v>
      </c>
      <c r="E15" s="24">
        <f>Kroger_Financial_Model!I150</f>
        <v>6728.0699156100118</v>
      </c>
      <c r="F15" s="24">
        <f>Albertsons_Financial_Model!H148</f>
        <v>5884.2994565298795</v>
      </c>
      <c r="I15" s="24">
        <f t="shared" ref="I15:I19" si="4">E15+F15+G15+H15</f>
        <v>12612.369372139892</v>
      </c>
      <c r="J15" s="24">
        <f>Kroger_Financial_Model!J150+Albertsons_Financial_Model!I148</f>
        <v>12746.224901955859</v>
      </c>
      <c r="K15" s="24">
        <f>Kroger_Financial_Model!K150+Albertsons_Financial_Model!J148</f>
        <v>12937.805017550945</v>
      </c>
      <c r="L15" s="24">
        <f>Kroger_Financial_Model!L150+Albertsons_Financial_Model!K148</f>
        <v>13176.421348941312</v>
      </c>
      <c r="M15" s="24">
        <f>Kroger_Financial_Model!M150+Albertsons_Financial_Model!L148</f>
        <v>13448.148811211169</v>
      </c>
      <c r="N15" s="24">
        <f>Kroger_Financial_Model!N150+Albertsons_Financial_Model!M148</f>
        <v>13748.111323203037</v>
      </c>
      <c r="O15" s="24">
        <f>Kroger_Financial_Model!O150+Albertsons_Financial_Model!N148</f>
        <v>14072.885435142325</v>
      </c>
      <c r="P15" s="24">
        <f>Kroger_Financial_Model!P150+Albertsons_Financial_Model!O148</f>
        <v>14418.81869554687</v>
      </c>
      <c r="Q15" s="24">
        <f>Kroger_Financial_Model!Q150+Albertsons_Financial_Model!P148</f>
        <v>14783.501959541278</v>
      </c>
      <c r="R15" s="24">
        <f>Kroger_Financial_Model!R150+Albertsons_Financial_Model!Q148</f>
        <v>15164.023041889082</v>
      </c>
    </row>
    <row r="16" spans="1:19" x14ac:dyDescent="0.3">
      <c r="C16" s="9" t="s">
        <v>84</v>
      </c>
      <c r="D16" s="167" t="s">
        <v>454</v>
      </c>
      <c r="E16" s="24">
        <f>Kroger_Financial_Model!I151</f>
        <v>1866.01</v>
      </c>
      <c r="F16" s="24">
        <f>Albertsons_Financial_Model!H149</f>
        <v>295.9111111111111</v>
      </c>
      <c r="G16" s="128"/>
      <c r="H16" s="108"/>
      <c r="I16" s="24">
        <f t="shared" si="4"/>
        <v>2161.9211111111113</v>
      </c>
      <c r="J16" s="24">
        <f>Kroger_Financial_Model!J151+Albertsons_Financial_Model!I149</f>
        <v>1967.6225722222223</v>
      </c>
      <c r="K16" s="24">
        <f>Kroger_Financial_Model!K151+Albertsons_Financial_Model!J149</f>
        <v>1767.8181955833334</v>
      </c>
      <c r="L16" s="24">
        <f>Kroger_Financial_Model!L151+Albertsons_Financial_Model!K149</f>
        <v>1562.3152768731943</v>
      </c>
      <c r="M16" s="24">
        <f>Kroger_Financial_Model!M151+Albertsons_Financial_Model!L149</f>
        <v>1350.9143671193117</v>
      </c>
      <c r="N16" s="24">
        <f>Kroger_Financial_Model!N151+Albertsons_Financial_Model!M149</f>
        <v>1133.4090366351543</v>
      </c>
      <c r="O16" s="24">
        <f>Kroger_Financial_Model!O151+Albertsons_Financial_Model!N149</f>
        <v>909.58563069516254</v>
      </c>
      <c r="P16" s="24">
        <f>Kroger_Financial_Model!P151+Albertsons_Financial_Model!O149</f>
        <v>679.22301665838211</v>
      </c>
      <c r="Q16" s="24">
        <f>Kroger_Financial_Model!Q151+Albertsons_Financial_Model!P149</f>
        <v>442.09232224142545</v>
      </c>
      <c r="R16" s="24">
        <f>Kroger_Financial_Model!R151+Albertsons_Financial_Model!Q149</f>
        <v>234.94555351987535</v>
      </c>
    </row>
    <row r="17" spans="2:19" x14ac:dyDescent="0.3">
      <c r="C17" s="87" t="s">
        <v>45</v>
      </c>
      <c r="D17" s="88" t="s">
        <v>454</v>
      </c>
      <c r="E17" s="89">
        <f>Kroger_Financial_Model!I152</f>
        <v>899</v>
      </c>
      <c r="F17" s="118">
        <f>Albertsons_Financial_Model!H150</f>
        <v>2465.4</v>
      </c>
      <c r="G17" s="89">
        <f>-(Merger_Model!E48+Merger_Model!E49)</f>
        <v>9872.4191084466183</v>
      </c>
      <c r="H17" s="118">
        <f>Merger_Model!M49+Merger_Model!M52</f>
        <v>0</v>
      </c>
      <c r="I17" s="89">
        <f>E17+F17+G17+H17</f>
        <v>13236.819108446618</v>
      </c>
      <c r="J17" s="89">
        <f>I17-Merger_Model!E245</f>
        <v>12339.326462224199</v>
      </c>
      <c r="K17" s="89">
        <f>J17-Merger_Model!F245</f>
        <v>11441.833816001779</v>
      </c>
      <c r="L17" s="89">
        <f>K17-Merger_Model!G245</f>
        <v>10544.34116977936</v>
      </c>
      <c r="M17" s="89">
        <f>L17-Merger_Model!H245</f>
        <v>9646.8485235569406</v>
      </c>
      <c r="N17" s="89">
        <f>M17-Merger_Model!I245</f>
        <v>8749.3558773345212</v>
      </c>
      <c r="O17" s="89">
        <f>N17-Merger_Model!J245</f>
        <v>8749.3558773345212</v>
      </c>
      <c r="P17" s="89">
        <f>O17-Merger_Model!K245</f>
        <v>8749.3558773345212</v>
      </c>
      <c r="Q17" s="89">
        <f>P17-Merger_Model!L245</f>
        <v>8749.3558773345212</v>
      </c>
      <c r="R17" s="89">
        <f>Q17-Merger_Model!M245</f>
        <v>8749.3558773345212</v>
      </c>
    </row>
    <row r="18" spans="2:19" x14ac:dyDescent="0.3">
      <c r="C18" s="90" t="s">
        <v>39</v>
      </c>
      <c r="D18" s="91" t="s">
        <v>454</v>
      </c>
      <c r="E18" s="92">
        <f>Kroger_Financial_Model!I153</f>
        <v>2916</v>
      </c>
      <c r="F18" s="119">
        <f>Albertsons_Financial_Model!H151</f>
        <v>1201</v>
      </c>
      <c r="G18" s="92">
        <f>Merger_Model!E52</f>
        <v>10658.530803592806</v>
      </c>
      <c r="H18" s="119">
        <f>-Merger_Model!E44</f>
        <v>-1201</v>
      </c>
      <c r="I18" s="92">
        <f t="shared" si="4"/>
        <v>13574.530803592806</v>
      </c>
      <c r="J18" s="92">
        <f>I18</f>
        <v>13574.530803592806</v>
      </c>
      <c r="K18" s="92">
        <f t="shared" ref="K18:R18" si="5">J18</f>
        <v>13574.530803592806</v>
      </c>
      <c r="L18" s="92">
        <f t="shared" si="5"/>
        <v>13574.530803592806</v>
      </c>
      <c r="M18" s="92">
        <f t="shared" si="5"/>
        <v>13574.530803592806</v>
      </c>
      <c r="N18" s="92">
        <f t="shared" si="5"/>
        <v>13574.530803592806</v>
      </c>
      <c r="O18" s="92">
        <f t="shared" si="5"/>
        <v>13574.530803592806</v>
      </c>
      <c r="P18" s="92">
        <f t="shared" si="5"/>
        <v>13574.530803592806</v>
      </c>
      <c r="Q18" s="92">
        <f t="shared" si="5"/>
        <v>13574.530803592806</v>
      </c>
      <c r="R18" s="92">
        <f t="shared" si="5"/>
        <v>13574.530803592806</v>
      </c>
    </row>
    <row r="19" spans="2:19" x14ac:dyDescent="0.3">
      <c r="C19" s="22" t="s">
        <v>46</v>
      </c>
      <c r="D19" s="171" t="s">
        <v>454</v>
      </c>
      <c r="E19" s="25">
        <f>Kroger_Financial_Model!I154</f>
        <v>-268</v>
      </c>
      <c r="F19" s="25">
        <f>Albertsons_Financial_Model!H152</f>
        <v>993.6</v>
      </c>
      <c r="G19" s="107"/>
      <c r="H19" s="108"/>
      <c r="I19" s="25">
        <f t="shared" si="4"/>
        <v>725.6</v>
      </c>
      <c r="J19" s="25">
        <f>Kroger_Financial_Model!J154+Albertsons_Financial_Model!I152</f>
        <v>725.6</v>
      </c>
      <c r="K19" s="25">
        <f>Kroger_Financial_Model!K154+Albertsons_Financial_Model!J152</f>
        <v>725.6</v>
      </c>
      <c r="L19" s="25">
        <f>Kroger_Financial_Model!L154+Albertsons_Financial_Model!K152</f>
        <v>725.6</v>
      </c>
      <c r="M19" s="25">
        <f>Kroger_Financial_Model!M154+Albertsons_Financial_Model!L152</f>
        <v>725.6</v>
      </c>
      <c r="N19" s="25">
        <f>Kroger_Financial_Model!N154+Albertsons_Financial_Model!M152</f>
        <v>725.6</v>
      </c>
      <c r="O19" s="25">
        <f>Kroger_Financial_Model!O154+Albertsons_Financial_Model!N152</f>
        <v>725.6</v>
      </c>
      <c r="P19" s="25">
        <f>Kroger_Financial_Model!P154+Albertsons_Financial_Model!O152</f>
        <v>725.6</v>
      </c>
      <c r="Q19" s="25">
        <f>Kroger_Financial_Model!Q154+Albertsons_Financial_Model!P152</f>
        <v>725.6</v>
      </c>
      <c r="R19" s="25">
        <f>Kroger_Financial_Model!R154+Albertsons_Financial_Model!Q152</f>
        <v>725.6</v>
      </c>
    </row>
    <row r="20" spans="2:19" s="5" customFormat="1" x14ac:dyDescent="0.3">
      <c r="C20" s="5" t="s">
        <v>47</v>
      </c>
      <c r="D20" s="167" t="s">
        <v>454</v>
      </c>
      <c r="E20" s="26">
        <f>SUM(E14:E19)</f>
        <v>37134.089147679071</v>
      </c>
      <c r="F20" s="26">
        <f>SUM(F14:F19)</f>
        <v>20064.18084934909</v>
      </c>
      <c r="G20" s="122"/>
      <c r="H20" s="110"/>
      <c r="I20" s="26">
        <f t="shared" ref="I20:J20" si="6">SUM(I14:I19)</f>
        <v>77450.616937238403</v>
      </c>
      <c r="J20" s="26">
        <f t="shared" si="6"/>
        <v>76922.136933270769</v>
      </c>
      <c r="K20" s="26">
        <f t="shared" ref="K20" si="7">SUM(K14:K19)</f>
        <v>76472.072569247262</v>
      </c>
      <c r="L20" s="26">
        <f t="shared" ref="L20" si="8">SUM(L14:L19)</f>
        <v>76087.328916143029</v>
      </c>
      <c r="M20" s="26">
        <f t="shared" ref="M20" si="9">SUM(M14:M19)</f>
        <v>75749.932868489865</v>
      </c>
      <c r="N20" s="26">
        <f t="shared" ref="N20" si="10">SUM(N14:N19)</f>
        <v>75453.903535712758</v>
      </c>
      <c r="O20" s="26">
        <f t="shared" ref="O20" si="11">SUM(O14:O19)</f>
        <v>76092.687416963949</v>
      </c>
      <c r="P20" s="26">
        <f t="shared" ref="P20" si="12">SUM(P14:P19)</f>
        <v>76764.32020548248</v>
      </c>
      <c r="Q20" s="26">
        <f t="shared" ref="Q20" si="13">SUM(Q14:Q19)</f>
        <v>77465.893241243364</v>
      </c>
      <c r="R20" s="26">
        <f t="shared" ref="R20" si="14">SUM(R14:R19)</f>
        <v>78230.741315466264</v>
      </c>
      <c r="S20" s="26"/>
    </row>
    <row r="21" spans="2:19" x14ac:dyDescent="0.3">
      <c r="D21" s="167"/>
      <c r="I21" s="10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s="5" customFormat="1" x14ac:dyDescent="0.3">
      <c r="C22" s="5" t="s">
        <v>48</v>
      </c>
      <c r="D22" s="167" t="s">
        <v>454</v>
      </c>
      <c r="E22" s="26">
        <f>E20+E11</f>
        <v>57002.112278795699</v>
      </c>
      <c r="F22" s="26">
        <f>F20+F11</f>
        <v>27079.654637596908</v>
      </c>
      <c r="G22" s="122"/>
      <c r="H22" s="110"/>
      <c r="I22" s="26">
        <f t="shared" ref="I22:J22" si="15">I20+I11</f>
        <v>101134.32153519608</v>
      </c>
      <c r="J22" s="26">
        <f t="shared" si="15"/>
        <v>107890.06461636035</v>
      </c>
      <c r="K22" s="26">
        <f t="shared" ref="K22:R22" si="16">K20+K11</f>
        <v>113466.55064189249</v>
      </c>
      <c r="L22" s="26">
        <f t="shared" si="16"/>
        <v>116982.88026165401</v>
      </c>
      <c r="M22" s="26">
        <f t="shared" si="16"/>
        <v>120726.47194013282</v>
      </c>
      <c r="N22" s="26">
        <f t="shared" si="16"/>
        <v>127471.35115466666</v>
      </c>
      <c r="O22" s="26">
        <f t="shared" si="16"/>
        <v>137778.21356909088</v>
      </c>
      <c r="P22" s="26">
        <f t="shared" si="16"/>
        <v>148922.30171005556</v>
      </c>
      <c r="Q22" s="26">
        <f t="shared" si="16"/>
        <v>160516.61686286464</v>
      </c>
      <c r="R22" s="26">
        <f t="shared" si="16"/>
        <v>172857.87431697859</v>
      </c>
    </row>
    <row r="23" spans="2:19" x14ac:dyDescent="0.3">
      <c r="D23" s="167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2:19" x14ac:dyDescent="0.3">
      <c r="B24" s="116" t="s">
        <v>415</v>
      </c>
      <c r="C24" s="111"/>
      <c r="D24" s="168"/>
      <c r="E24" s="113"/>
      <c r="F24" s="113"/>
      <c r="G24" s="114"/>
      <c r="H24" s="115"/>
      <c r="I24" s="121"/>
      <c r="J24" s="121"/>
      <c r="K24" s="121"/>
      <c r="L24" s="121"/>
      <c r="M24" s="121"/>
      <c r="N24" s="121"/>
      <c r="O24" s="121"/>
      <c r="P24" s="121"/>
      <c r="Q24" s="121"/>
      <c r="R24" s="121"/>
    </row>
    <row r="25" spans="2:19" x14ac:dyDescent="0.3">
      <c r="C25" s="5" t="s">
        <v>418</v>
      </c>
      <c r="D25" s="167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2:19" x14ac:dyDescent="0.3">
      <c r="C26" s="9" t="s">
        <v>51</v>
      </c>
      <c r="D26" s="167" t="s">
        <v>454</v>
      </c>
      <c r="E26" s="24">
        <f>Kroger_Financial_Model!I161</f>
        <v>8085.1592353304459</v>
      </c>
      <c r="F26" s="24">
        <f>Albertsons_Financial_Model!H159</f>
        <v>4396.5806990486553</v>
      </c>
      <c r="I26" s="24">
        <f t="shared" ref="I26:I28" si="17">E26+F26+G26+H26</f>
        <v>12481.7399343791</v>
      </c>
      <c r="J26" s="24">
        <f>Kroger_Financial_Model!J161+Albertsons_Financial_Model!I159</f>
        <v>13191.902143155074</v>
      </c>
      <c r="K26" s="24">
        <f>Kroger_Financial_Model!K161+Albertsons_Financial_Model!J159</f>
        <v>13915.740138366025</v>
      </c>
      <c r="L26" s="24">
        <f>Kroger_Financial_Model!L161+Albertsons_Financial_Model!K159</f>
        <v>14575.136393559214</v>
      </c>
      <c r="M26" s="24">
        <f>Kroger_Financial_Model!M161+Albertsons_Financial_Model!L159</f>
        <v>15123.911509751753</v>
      </c>
      <c r="N26" s="24">
        <f>Kroger_Financial_Model!N161+Albertsons_Financial_Model!M159</f>
        <v>15643.368920574034</v>
      </c>
      <c r="O26" s="24">
        <f>Kroger_Financial_Model!O161+Albertsons_Financial_Model!N159</f>
        <v>16148.937376990434</v>
      </c>
      <c r="P26" s="24">
        <f>Kroger_Financial_Model!P161+Albertsons_Financial_Model!O159</f>
        <v>16635.62001714209</v>
      </c>
      <c r="Q26" s="24">
        <f>Kroger_Financial_Model!Q161+Albertsons_Financial_Model!P159</f>
        <v>17112.035515057476</v>
      </c>
      <c r="R26" s="24">
        <f>Kroger_Financial_Model!R161+Albertsons_Financial_Model!Q159</f>
        <v>17572.398383583059</v>
      </c>
    </row>
    <row r="27" spans="2:19" x14ac:dyDescent="0.3">
      <c r="C27" s="9" t="s">
        <v>52</v>
      </c>
      <c r="D27" s="167" t="s">
        <v>454</v>
      </c>
      <c r="E27" s="24">
        <f>Kroger_Financial_Model!I162</f>
        <v>1896.8660432989786</v>
      </c>
      <c r="F27" s="24">
        <f>Albertsons_Financial_Model!H160</f>
        <v>1613.5025301890616</v>
      </c>
      <c r="I27" s="24">
        <f t="shared" si="17"/>
        <v>3510.3685734880401</v>
      </c>
      <c r="J27" s="24">
        <f>Kroger_Financial_Model!J162+Albertsons_Financial_Model!I160</f>
        <v>3692.3418613577796</v>
      </c>
      <c r="K27" s="24">
        <f>Kroger_Financial_Model!K162+Albertsons_Financial_Model!J160</f>
        <v>3876.0083438714601</v>
      </c>
      <c r="L27" s="24">
        <f>Kroger_Financial_Model!L162+Albertsons_Financial_Model!K160</f>
        <v>4042.5649064142863</v>
      </c>
      <c r="M27" s="24">
        <f>Kroger_Financial_Model!M162+Albertsons_Financial_Model!L160</f>
        <v>4180.348166737017</v>
      </c>
      <c r="N27" s="24">
        <f>Kroger_Financial_Model!N162+Albertsons_Financial_Model!M160</f>
        <v>4311.330666454628</v>
      </c>
      <c r="O27" s="24">
        <f>Kroger_Financial_Model!O162+Albertsons_Financial_Model!N160</f>
        <v>4438.9135023970493</v>
      </c>
      <c r="P27" s="24">
        <f>Kroger_Financial_Model!P162+Albertsons_Financial_Model!O160</f>
        <v>4561.7485279703269</v>
      </c>
      <c r="Q27" s="24">
        <f>Kroger_Financial_Model!Q162+Albertsons_Financial_Model!P160</f>
        <v>4682.3544569043488</v>
      </c>
      <c r="R27" s="24">
        <f>Kroger_Financial_Model!R162+Albertsons_Financial_Model!Q160</f>
        <v>4798.9771828901557</v>
      </c>
      <c r="S27" s="24"/>
    </row>
    <row r="28" spans="2:19" x14ac:dyDescent="0.3">
      <c r="C28" s="22" t="s">
        <v>53</v>
      </c>
      <c r="D28" s="171" t="s">
        <v>454</v>
      </c>
      <c r="E28" s="25">
        <f>Kroger_Financial_Model!I163</f>
        <v>7094.0992618164337</v>
      </c>
      <c r="F28" s="25">
        <f>Albertsons_Financial_Model!H161</f>
        <v>488.3322009490729</v>
      </c>
      <c r="G28" s="107"/>
      <c r="H28" s="108"/>
      <c r="I28" s="25">
        <f t="shared" si="17"/>
        <v>7582.4314627655067</v>
      </c>
      <c r="J28" s="25">
        <f>Kroger_Financial_Model!J163+Albertsons_Financial_Model!I161</f>
        <v>8066.6734541297901</v>
      </c>
      <c r="K28" s="25">
        <f>Kroger_Financial_Model!K163+Albertsons_Financial_Model!J161</f>
        <v>8565.1440966970004</v>
      </c>
      <c r="L28" s="25">
        <f>Kroger_Financial_Model!L163+Albertsons_Financial_Model!K161</f>
        <v>9013.1845346286464</v>
      </c>
      <c r="M28" s="25">
        <f>Kroger_Financial_Model!M163+Albertsons_Financial_Model!L161</f>
        <v>9377.1441115655816</v>
      </c>
      <c r="N28" s="25">
        <f>Kroger_Financial_Model!N163+Albertsons_Financial_Model!M161</f>
        <v>9711.6075829087022</v>
      </c>
      <c r="O28" s="25">
        <f>Kroger_Financial_Model!O163+Albertsons_Financial_Model!N161</f>
        <v>10031.4102103113</v>
      </c>
      <c r="P28" s="25">
        <f>Kroger_Financial_Model!P163+Albertsons_Financial_Model!O161</f>
        <v>10333.692070702105</v>
      </c>
      <c r="Q28" s="25">
        <f>Kroger_Financial_Model!Q163+Albertsons_Financial_Model!P161</f>
        <v>10623.357035618781</v>
      </c>
      <c r="R28" s="25">
        <f>Kroger_Financial_Model!R163+Albertsons_Financial_Model!Q161</f>
        <v>10898.055996901816</v>
      </c>
      <c r="S28" s="24"/>
    </row>
    <row r="29" spans="2:19" s="5" customFormat="1" x14ac:dyDescent="0.3">
      <c r="C29" s="5" t="s">
        <v>416</v>
      </c>
      <c r="D29" s="167" t="s">
        <v>454</v>
      </c>
      <c r="E29" s="26">
        <f>SUM(E26:E28)</f>
        <v>17076.124540445857</v>
      </c>
      <c r="F29" s="26">
        <f>SUM(F26:F28)</f>
        <v>6498.4154301867902</v>
      </c>
      <c r="G29" s="109"/>
      <c r="H29" s="110"/>
      <c r="I29" s="26">
        <f>SUM(I26:I28)</f>
        <v>23574.539970632646</v>
      </c>
      <c r="J29" s="26">
        <f>SUM(J26:J28)</f>
        <v>24950.917458642645</v>
      </c>
      <c r="K29" s="26">
        <f t="shared" ref="K29:R29" si="18">SUM(K26:K28)</f>
        <v>26356.892578934487</v>
      </c>
      <c r="L29" s="26">
        <f t="shared" si="18"/>
        <v>27630.885834602148</v>
      </c>
      <c r="M29" s="26">
        <f t="shared" si="18"/>
        <v>28681.403788054355</v>
      </c>
      <c r="N29" s="26">
        <f t="shared" si="18"/>
        <v>29666.307169937365</v>
      </c>
      <c r="O29" s="26">
        <f t="shared" si="18"/>
        <v>30619.261089698783</v>
      </c>
      <c r="P29" s="26">
        <f t="shared" si="18"/>
        <v>31531.060615814524</v>
      </c>
      <c r="Q29" s="26">
        <f t="shared" si="18"/>
        <v>32417.747007580605</v>
      </c>
      <c r="R29" s="26">
        <f t="shared" si="18"/>
        <v>33269.43156337503</v>
      </c>
    </row>
    <row r="30" spans="2:19" x14ac:dyDescent="0.3">
      <c r="D30" s="167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2:19" x14ac:dyDescent="0.3">
      <c r="C31" s="5" t="s">
        <v>62</v>
      </c>
      <c r="D31" s="167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2:19" x14ac:dyDescent="0.3">
      <c r="C32" s="9" t="s">
        <v>422</v>
      </c>
      <c r="D32" s="167" t="s">
        <v>454</v>
      </c>
      <c r="E32" s="24">
        <f>Kroger_Financial_Model!I167</f>
        <v>10139</v>
      </c>
      <c r="F32" s="24">
        <f>Albertsons_Financial_Model!H165</f>
        <v>7392.1</v>
      </c>
      <c r="H32" s="108"/>
      <c r="I32" s="24">
        <f t="shared" ref="I32:I37" si="19">E32+F32+G32+H32</f>
        <v>17531.099999999999</v>
      </c>
      <c r="J32" s="24">
        <f>Kroger_Financial_Model!J167+Albertsons_Financial_Model!I165</f>
        <v>17489.2</v>
      </c>
      <c r="K32" s="24">
        <f>Kroger_Financial_Model!K167+Albertsons_Financial_Model!J165</f>
        <v>17391.099999999999</v>
      </c>
      <c r="L32" s="24">
        <f>Kroger_Financial_Model!L167+Albertsons_Financial_Model!K165</f>
        <v>13245</v>
      </c>
      <c r="M32" s="24">
        <f>Kroger_Financial_Model!M167+Albertsons_Financial_Model!L165</f>
        <v>10981.4</v>
      </c>
      <c r="N32" s="24">
        <f>Kroger_Financial_Model!N167+Albertsons_Financial_Model!M165</f>
        <v>10035.959999999999</v>
      </c>
      <c r="O32" s="24">
        <f>Kroger_Financial_Model!O167+Albertsons_Financial_Model!N165</f>
        <v>9090.52</v>
      </c>
      <c r="P32" s="24">
        <f>Kroger_Financial_Model!P167+Albertsons_Financial_Model!O165</f>
        <v>8145.08</v>
      </c>
      <c r="Q32" s="24">
        <f>Kroger_Financial_Model!Q167+Albertsons_Financial_Model!P165</f>
        <v>7199.6399999999994</v>
      </c>
      <c r="R32" s="24">
        <f>Kroger_Financial_Model!R167+Albertsons_Financial_Model!Q165</f>
        <v>6254.2</v>
      </c>
    </row>
    <row r="33" spans="1:18" x14ac:dyDescent="0.3">
      <c r="C33" s="83" t="s">
        <v>430</v>
      </c>
      <c r="D33" s="84" t="s">
        <v>454</v>
      </c>
      <c r="E33" s="86"/>
      <c r="F33" s="85"/>
      <c r="G33" s="86">
        <f>-Merger_Model!L33</f>
        <v>-524.08868902865674</v>
      </c>
      <c r="H33" s="85">
        <f>Merger_Model!E32</f>
        <v>17469.622967621894</v>
      </c>
      <c r="I33" s="86">
        <f t="shared" si="19"/>
        <v>16945.534278593237</v>
      </c>
      <c r="J33" s="86">
        <f>Merger_Model!E144</f>
        <v>17765.644995634902</v>
      </c>
      <c r="K33" s="86">
        <f>Merger_Model!F144</f>
        <v>16069.782079226354</v>
      </c>
      <c r="L33" s="86">
        <f>Merger_Model!G144</f>
        <v>15575.39349620495</v>
      </c>
      <c r="M33" s="86">
        <f>Merger_Model!H144</f>
        <v>12795.73143565494</v>
      </c>
      <c r="N33" s="86">
        <f>Merger_Model!I144</f>
        <v>10588.942628978097</v>
      </c>
      <c r="O33" s="86">
        <f>Merger_Model!J144</f>
        <v>10031.287073209074</v>
      </c>
      <c r="P33" s="86">
        <f>Merger_Model!K144</f>
        <v>9480.328783120216</v>
      </c>
      <c r="Q33" s="86">
        <f>Merger_Model!L144</f>
        <v>8883.3808746844934</v>
      </c>
      <c r="R33" s="86">
        <f>Merger_Model!M144</f>
        <v>8240.1780965707549</v>
      </c>
    </row>
    <row r="34" spans="1:18" x14ac:dyDescent="0.3">
      <c r="C34" s="9" t="s">
        <v>56</v>
      </c>
      <c r="D34" s="167" t="s">
        <v>454</v>
      </c>
      <c r="E34" s="24">
        <f>Kroger_Financial_Model!I168</f>
        <v>7100.0699156100127</v>
      </c>
      <c r="F34" s="24">
        <f>Albertsons_Financial_Model!H166</f>
        <v>6056.1994565298792</v>
      </c>
      <c r="H34" s="120"/>
      <c r="I34" s="24">
        <f t="shared" si="19"/>
        <v>13156.269372139892</v>
      </c>
      <c r="J34" s="24">
        <f>Kroger_Financial_Model!J168+Albertsons_Financial_Model!I166</f>
        <v>13290.124901955858</v>
      </c>
      <c r="K34" s="24">
        <f>Kroger_Financial_Model!K168+Albertsons_Financial_Model!J166</f>
        <v>13481.705017550947</v>
      </c>
      <c r="L34" s="24">
        <f>Kroger_Financial_Model!L168+Albertsons_Financial_Model!K166</f>
        <v>13720.321348941314</v>
      </c>
      <c r="M34" s="24">
        <f>Kroger_Financial_Model!M168+Albertsons_Financial_Model!L166</f>
        <v>13992.048811211171</v>
      </c>
      <c r="N34" s="24">
        <f>Kroger_Financial_Model!N168+Albertsons_Financial_Model!M166</f>
        <v>14292.011323203038</v>
      </c>
      <c r="O34" s="24">
        <f>Kroger_Financial_Model!O168+Albertsons_Financial_Model!N166</f>
        <v>14616.785435142327</v>
      </c>
      <c r="P34" s="24">
        <f>Kroger_Financial_Model!P168+Albertsons_Financial_Model!O166</f>
        <v>14962.718695546871</v>
      </c>
      <c r="Q34" s="24">
        <f>Kroger_Financial_Model!Q168+Albertsons_Financial_Model!P166</f>
        <v>15327.401959541279</v>
      </c>
      <c r="R34" s="24">
        <f>Kroger_Financial_Model!R168+Albertsons_Financial_Model!Q166</f>
        <v>15707.923041889084</v>
      </c>
    </row>
    <row r="35" spans="1:18" x14ac:dyDescent="0.3">
      <c r="C35" s="9" t="s">
        <v>85</v>
      </c>
      <c r="D35" s="167" t="s">
        <v>454</v>
      </c>
      <c r="E35" s="24">
        <f>Kroger_Financial_Model!I169</f>
        <v>1934.01</v>
      </c>
      <c r="F35" s="24">
        <f>Albertsons_Financial_Model!H167</f>
        <v>467.11260000000004</v>
      </c>
      <c r="G35" s="107"/>
      <c r="H35" s="108"/>
      <c r="I35" s="24">
        <f t="shared" si="19"/>
        <v>2401.1226000000001</v>
      </c>
      <c r="J35" s="24">
        <f>Kroger_Financial_Model!J169+Albertsons_Financial_Model!I167</f>
        <v>2189.1268856000002</v>
      </c>
      <c r="K35" s="24">
        <f>Kroger_Financial_Model!K169+Albertsons_Financial_Model!J167</f>
        <v>1978.5286106235999</v>
      </c>
      <c r="L35" s="24">
        <f>Kroger_Financial_Model!L169+Albertsons_Financial_Model!K167</f>
        <v>1773.3668181299515</v>
      </c>
      <c r="M35" s="24">
        <f>Kroger_Financial_Model!M169+Albertsons_Financial_Model!L167</f>
        <v>1571.7223717492852</v>
      </c>
      <c r="N35" s="24">
        <f>Kroger_Financial_Model!N169+Albertsons_Financial_Model!M167</f>
        <v>1360.339853081344</v>
      </c>
      <c r="O35" s="24">
        <f>Kroger_Financial_Model!O169+Albertsons_Financial_Model!N167</f>
        <v>1145.8069123570313</v>
      </c>
      <c r="P35" s="24">
        <f>Kroger_Financial_Model!P169+Albertsons_Financial_Model!O167</f>
        <v>927.57733422288891</v>
      </c>
      <c r="Q35" s="24">
        <f>Kroger_Financial_Model!Q169+Albertsons_Financial_Model!P167</f>
        <v>510.09232224142545</v>
      </c>
      <c r="R35" s="24">
        <f>Kroger_Financial_Model!R169+Albertsons_Financial_Model!Q167</f>
        <v>302.94555351987538</v>
      </c>
    </row>
    <row r="36" spans="1:18" x14ac:dyDescent="0.3">
      <c r="C36" s="83" t="s">
        <v>57</v>
      </c>
      <c r="D36" s="84" t="s">
        <v>454</v>
      </c>
      <c r="E36" s="86">
        <f>Kroger_Financial_Model!I170</f>
        <v>1710.3212942940813</v>
      </c>
      <c r="F36" s="85">
        <f>Albertsons_Financial_Model!H168</f>
        <v>1248.5534086619787</v>
      </c>
      <c r="G36" s="86">
        <f>Merger_Model!E50</f>
        <v>-1248.5534086619787</v>
      </c>
      <c r="H36" s="85">
        <f>Merger_Model!E51</f>
        <v>4752.0474244238148</v>
      </c>
      <c r="I36" s="86">
        <f t="shared" si="19"/>
        <v>6462.3687187178966</v>
      </c>
      <c r="J36" s="86">
        <f>I36+Merger_Model!E248+Merger_Model!E243</f>
        <v>6325.9757450732723</v>
      </c>
      <c r="K36" s="86">
        <f>J36+Merger_Model!F248+Merger_Model!F243</f>
        <v>6193.3595742527805</v>
      </c>
      <c r="L36" s="86">
        <f>K36+Merger_Model!G248+Merger_Model!G243</f>
        <v>6065.2652382977731</v>
      </c>
      <c r="M36" s="86">
        <f>L36+Merger_Model!H248+Merger_Model!H243</f>
        <v>5942.8607785043614</v>
      </c>
      <c r="N36" s="86">
        <f>M36+Merger_Model!I248+Merger_Model!I243</f>
        <v>5825.6107099595474</v>
      </c>
      <c r="O36" s="86">
        <f>N36+Merger_Model!J248+Merger_Model!J243</f>
        <v>5895.355947652678</v>
      </c>
      <c r="P36" s="86">
        <f>O36+Merger_Model!K248+Merger_Model!K243</f>
        <v>5969.4327919579955</v>
      </c>
      <c r="Q36" s="86">
        <f>P36+Merger_Model!L248+Merger_Model!L243</f>
        <v>6047.9532215508352</v>
      </c>
      <c r="R36" s="86">
        <f>Q36+Merger_Model!M248+Merger_Model!M243</f>
        <v>6130.6793334494323</v>
      </c>
    </row>
    <row r="37" spans="1:18" x14ac:dyDescent="0.3">
      <c r="C37" s="22" t="s">
        <v>58</v>
      </c>
      <c r="D37" s="171" t="s">
        <v>454</v>
      </c>
      <c r="E37" s="25">
        <f>Kroger_Financial_Model!I171</f>
        <v>2544.75</v>
      </c>
      <c r="F37" s="25">
        <f>Albertsons_Financial_Model!H169</f>
        <v>2299.4666666666585</v>
      </c>
      <c r="G37" s="107"/>
      <c r="H37" s="108"/>
      <c r="I37" s="25">
        <f t="shared" si="19"/>
        <v>4844.2166666666581</v>
      </c>
      <c r="J37" s="25">
        <f>Kroger_Financial_Model!J171+Albertsons_Financial_Model!I169</f>
        <v>5065.5333333333174</v>
      </c>
      <c r="K37" s="25">
        <f>Kroger_Financial_Model!K171+Albertsons_Financial_Model!J169</f>
        <v>5286.8499999999767</v>
      </c>
      <c r="L37" s="25">
        <f>Kroger_Financial_Model!L171+Albertsons_Financial_Model!K169</f>
        <v>5508.1666666666351</v>
      </c>
      <c r="M37" s="25">
        <f>Kroger_Financial_Model!M171+Albertsons_Financial_Model!L169</f>
        <v>5729.4833333332936</v>
      </c>
      <c r="N37" s="25">
        <f>Kroger_Financial_Model!N171+Albertsons_Financial_Model!M169</f>
        <v>5950.7999999999529</v>
      </c>
      <c r="O37" s="25">
        <f>Kroger_Financial_Model!O171+Albertsons_Financial_Model!N169</f>
        <v>6172.1166666666113</v>
      </c>
      <c r="P37" s="25">
        <f>Kroger_Financial_Model!P171+Albertsons_Financial_Model!O169</f>
        <v>6393.4333333332706</v>
      </c>
      <c r="Q37" s="25">
        <f>Kroger_Financial_Model!Q171+Albertsons_Financial_Model!P169</f>
        <v>6614.7499999999291</v>
      </c>
      <c r="R37" s="25">
        <f>Kroger_Financial_Model!R171+Albertsons_Financial_Model!Q169</f>
        <v>6836.0666666665884</v>
      </c>
    </row>
    <row r="38" spans="1:18" s="5" customFormat="1" x14ac:dyDescent="0.3">
      <c r="C38" s="5" t="s">
        <v>47</v>
      </c>
      <c r="D38" s="167" t="s">
        <v>454</v>
      </c>
      <c r="E38" s="26">
        <f>SUM(E32:E37)</f>
        <v>23428.151209904092</v>
      </c>
      <c r="F38" s="26">
        <f>SUM(F32:F37)</f>
        <v>17463.432131858517</v>
      </c>
      <c r="G38" s="109"/>
      <c r="H38" s="110"/>
      <c r="I38" s="26">
        <f>SUM(I32:I37)</f>
        <v>61340.611636117683</v>
      </c>
      <c r="J38" s="26">
        <f>SUM(J32:J37)</f>
        <v>62125.60586159736</v>
      </c>
      <c r="K38" s="26">
        <f t="shared" ref="K38:R38" si="20">SUM(K32:K37)</f>
        <v>60401.325281653655</v>
      </c>
      <c r="L38" s="26">
        <f t="shared" si="20"/>
        <v>55887.513568240625</v>
      </c>
      <c r="M38" s="26">
        <f t="shared" si="20"/>
        <v>51013.246730453051</v>
      </c>
      <c r="N38" s="26">
        <f t="shared" si="20"/>
        <v>48053.664515221972</v>
      </c>
      <c r="O38" s="26">
        <f t="shared" si="20"/>
        <v>46951.872035027722</v>
      </c>
      <c r="P38" s="26">
        <f t="shared" si="20"/>
        <v>45878.570938181241</v>
      </c>
      <c r="Q38" s="26">
        <f t="shared" si="20"/>
        <v>44583.218378017955</v>
      </c>
      <c r="R38" s="26">
        <f t="shared" si="20"/>
        <v>43471.99269209573</v>
      </c>
    </row>
    <row r="39" spans="1:18" x14ac:dyDescent="0.3">
      <c r="D39" s="167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 s="5" customFormat="1" x14ac:dyDescent="0.3">
      <c r="C40" s="5" t="s">
        <v>40</v>
      </c>
      <c r="D40" s="167" t="s">
        <v>454</v>
      </c>
      <c r="E40" s="26">
        <f>Kroger_Financial_Model!I174</f>
        <v>16497.836528445747</v>
      </c>
      <c r="F40" s="26">
        <f>Albertsons_Financial_Model!H172</f>
        <v>3117.8070755516028</v>
      </c>
      <c r="G40" s="122">
        <f>-F40-Merger_Model!L34</f>
        <v>-3396.4736755516028</v>
      </c>
      <c r="H40" s="123">
        <f>Merger_Model!E33</f>
        <v>0</v>
      </c>
      <c r="I40" s="26">
        <f t="shared" ref="I40" si="21">SUM(E40:H40)</f>
        <v>16219.169928445746</v>
      </c>
      <c r="J40" s="26">
        <f>I40+Merger_Model!E235+Merger_Model!E263+Merger_Model!E262</f>
        <v>20813.541296120347</v>
      </c>
      <c r="K40" s="26">
        <f>J40+Merger_Model!F235+Merger_Model!F263+Merger_Model!F262</f>
        <v>26708.332781304358</v>
      </c>
      <c r="L40" s="26">
        <f>K40+Merger_Model!G235+Merger_Model!G263+Merger_Model!G262</f>
        <v>33464.480858811236</v>
      </c>
      <c r="M40" s="26">
        <f>L40+Merger_Model!H235+Merger_Model!H263+Merger_Model!H262</f>
        <v>41031.821421625427</v>
      </c>
      <c r="N40" s="26">
        <f>M40+Merger_Model!I235+Merger_Model!I263+Merger_Model!I262</f>
        <v>49751.379469507323</v>
      </c>
      <c r="O40" s="26">
        <f>N40+Merger_Model!J235+Merger_Model!J263+Merger_Model!J262</f>
        <v>60207.080444364357</v>
      </c>
      <c r="P40" s="26">
        <f>O40+Merger_Model!K235+Merger_Model!K263+Merger_Model!K262</f>
        <v>71512.670156059801</v>
      </c>
      <c r="Q40" s="26">
        <f>P40+Merger_Model!L235+Merger_Model!L263+Merger_Model!L262</f>
        <v>83515.651477266059</v>
      </c>
      <c r="R40" s="26">
        <f>Q40+Merger_Model!M235+Merger_Model!M263+Merger_Model!M262</f>
        <v>96116.450061507814</v>
      </c>
    </row>
    <row r="41" spans="1:18" x14ac:dyDescent="0.3">
      <c r="D41" s="167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s="5" customFormat="1" x14ac:dyDescent="0.3">
      <c r="C42" s="5" t="s">
        <v>173</v>
      </c>
      <c r="D42" s="167" t="s">
        <v>454</v>
      </c>
      <c r="E42" s="28">
        <f>E40+E38+E29</f>
        <v>57002.112278795699</v>
      </c>
      <c r="F42" s="28">
        <f>F40+F38+F29</f>
        <v>27079.654637596908</v>
      </c>
      <c r="G42" s="127"/>
      <c r="H42" s="124"/>
      <c r="I42" s="26">
        <f>I40+I38+I29</f>
        <v>101134.32153519607</v>
      </c>
      <c r="J42" s="26">
        <f>J40+J38+J29</f>
        <v>107890.06461636035</v>
      </c>
      <c r="K42" s="26">
        <f t="shared" ref="K42:R42" si="22">K40+K38+K29</f>
        <v>113466.55064189251</v>
      </c>
      <c r="L42" s="26">
        <f t="shared" si="22"/>
        <v>116982.88026165401</v>
      </c>
      <c r="M42" s="26">
        <f t="shared" si="22"/>
        <v>120726.47194013285</v>
      </c>
      <c r="N42" s="26">
        <f t="shared" si="22"/>
        <v>127471.35115466667</v>
      </c>
      <c r="O42" s="26">
        <f t="shared" si="22"/>
        <v>137778.21356909088</v>
      </c>
      <c r="P42" s="26">
        <f t="shared" si="22"/>
        <v>148922.30171005556</v>
      </c>
      <c r="Q42" s="26">
        <f t="shared" si="22"/>
        <v>160516.61686286464</v>
      </c>
      <c r="R42" s="26">
        <f t="shared" si="22"/>
        <v>172857.87431697856</v>
      </c>
    </row>
    <row r="44" spans="1:18" s="34" customFormat="1" x14ac:dyDescent="0.3">
      <c r="A44" s="5"/>
      <c r="B44" s="5"/>
      <c r="C44" s="5" t="s">
        <v>419</v>
      </c>
      <c r="D44" s="5"/>
      <c r="E44" s="34">
        <f>E22-E42</f>
        <v>0</v>
      </c>
      <c r="F44" s="34">
        <f>F22-F42</f>
        <v>0</v>
      </c>
      <c r="G44" s="117"/>
      <c r="H44" s="124"/>
      <c r="I44" s="34">
        <f>I22-I42</f>
        <v>0</v>
      </c>
      <c r="J44" s="130">
        <f>J22-J42</f>
        <v>0</v>
      </c>
      <c r="K44" s="130">
        <f t="shared" ref="K44:R44" si="23">K22-K42</f>
        <v>0</v>
      </c>
      <c r="L44" s="130">
        <f t="shared" si="23"/>
        <v>0</v>
      </c>
      <c r="M44" s="130">
        <f t="shared" si="23"/>
        <v>0</v>
      </c>
      <c r="N44" s="130">
        <f t="shared" si="23"/>
        <v>0</v>
      </c>
      <c r="O44" s="130">
        <f t="shared" si="23"/>
        <v>0</v>
      </c>
      <c r="P44" s="130">
        <f t="shared" si="23"/>
        <v>0</v>
      </c>
      <c r="Q44" s="130">
        <f t="shared" si="23"/>
        <v>0</v>
      </c>
      <c r="R44" s="130">
        <f t="shared" si="23"/>
        <v>0</v>
      </c>
    </row>
    <row r="45" spans="1:18" x14ac:dyDescent="0.3">
      <c r="G45" s="126"/>
      <c r="J45" s="34"/>
      <c r="K45" s="23"/>
      <c r="L45" s="23"/>
      <c r="M45" s="23"/>
      <c r="N45" s="23"/>
      <c r="O45" s="23"/>
      <c r="P45" s="23"/>
      <c r="Q45" s="23"/>
      <c r="R45" s="23"/>
    </row>
    <row r="46" spans="1:18" x14ac:dyDescent="0.3">
      <c r="K46" s="12"/>
      <c r="L46" s="12"/>
      <c r="M46" s="12"/>
      <c r="N46" s="12"/>
      <c r="O46" s="12"/>
      <c r="P46" s="12"/>
      <c r="Q46" s="12"/>
    </row>
    <row r="47" spans="1:18" x14ac:dyDescent="0.3">
      <c r="K4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482C-5303-406D-B491-421A7E15C554}">
  <dimension ref="B2:M19"/>
  <sheetViews>
    <sheetView showGridLines="0" workbookViewId="0">
      <selection activeCell="D11" sqref="D11"/>
    </sheetView>
  </sheetViews>
  <sheetFormatPr defaultRowHeight="15.6" x14ac:dyDescent="0.3"/>
  <cols>
    <col min="1" max="2" width="1.77734375" style="4" customWidth="1"/>
    <col min="3" max="3" width="38.44140625" style="4" bestFit="1" customWidth="1"/>
    <col min="4" max="4" width="10.109375" style="4" bestFit="1" customWidth="1"/>
    <col min="5" max="13" width="13.77734375" style="4" customWidth="1"/>
    <col min="14" max="14" width="8.88671875" style="4"/>
    <col min="15" max="15" width="28.33203125" style="4" bestFit="1" customWidth="1"/>
    <col min="16" max="16" width="10.109375" style="4" bestFit="1" customWidth="1"/>
    <col min="17" max="16384" width="8.88671875" style="4"/>
  </cols>
  <sheetData>
    <row r="2" spans="2:13" x14ac:dyDescent="0.3">
      <c r="B2" s="15" t="s">
        <v>362</v>
      </c>
      <c r="C2" s="80"/>
      <c r="D2" s="81"/>
      <c r="E2" s="17"/>
      <c r="F2" s="17"/>
      <c r="G2" s="17"/>
      <c r="H2" s="17"/>
      <c r="I2" s="17"/>
      <c r="J2" s="17"/>
      <c r="K2" s="17"/>
      <c r="L2" s="17"/>
      <c r="M2" s="17"/>
    </row>
    <row r="3" spans="2:13" x14ac:dyDescent="0.3">
      <c r="C3" s="4" t="s">
        <v>361</v>
      </c>
      <c r="D3" s="146">
        <v>1000</v>
      </c>
    </row>
    <row r="4" spans="2:13" x14ac:dyDescent="0.3">
      <c r="C4" s="4" t="s">
        <v>364</v>
      </c>
      <c r="D4" s="146">
        <v>2</v>
      </c>
    </row>
    <row r="5" spans="2:13" x14ac:dyDescent="0.3">
      <c r="C5" s="4" t="s">
        <v>365</v>
      </c>
      <c r="D5" s="146">
        <v>4</v>
      </c>
    </row>
    <row r="6" spans="2:13" x14ac:dyDescent="0.3">
      <c r="C6" s="4" t="s">
        <v>366</v>
      </c>
      <c r="D6" s="146">
        <v>7</v>
      </c>
    </row>
    <row r="7" spans="2:13" x14ac:dyDescent="0.3">
      <c r="C7" s="4" t="s">
        <v>368</v>
      </c>
      <c r="D7" s="11">
        <v>0.4</v>
      </c>
    </row>
    <row r="9" spans="2:13" x14ac:dyDescent="0.3">
      <c r="B9" s="1" t="s">
        <v>359</v>
      </c>
      <c r="C9" s="79"/>
      <c r="D9" s="3"/>
      <c r="E9" s="79" t="s">
        <v>16</v>
      </c>
      <c r="F9" s="79"/>
      <c r="G9" s="79"/>
      <c r="H9" s="79"/>
      <c r="I9" s="79"/>
      <c r="J9" s="79"/>
      <c r="K9" s="79"/>
      <c r="L9" s="79"/>
      <c r="M9" s="79"/>
    </row>
    <row r="10" spans="2:13" x14ac:dyDescent="0.3">
      <c r="B10" s="15" t="s">
        <v>357</v>
      </c>
      <c r="C10" s="80"/>
      <c r="D10" s="81" t="s">
        <v>334</v>
      </c>
      <c r="E10" s="17">
        <f>DATE(2024,12,31)</f>
        <v>45657</v>
      </c>
      <c r="F10" s="17">
        <f>EOMONTH(E10,12)</f>
        <v>46022</v>
      </c>
      <c r="G10" s="17">
        <f t="shared" ref="G10:M10" si="0">EOMONTH(F10,12)</f>
        <v>46387</v>
      </c>
      <c r="H10" s="17">
        <f t="shared" si="0"/>
        <v>46752</v>
      </c>
      <c r="I10" s="17">
        <f t="shared" si="0"/>
        <v>47118</v>
      </c>
      <c r="J10" s="17">
        <f t="shared" si="0"/>
        <v>47483</v>
      </c>
      <c r="K10" s="17">
        <f t="shared" si="0"/>
        <v>47848</v>
      </c>
      <c r="L10" s="17">
        <f t="shared" si="0"/>
        <v>48213</v>
      </c>
      <c r="M10" s="17">
        <f t="shared" si="0"/>
        <v>48579</v>
      </c>
    </row>
    <row r="11" spans="2:13" x14ac:dyDescent="0.3">
      <c r="C11" s="4" t="s">
        <v>358</v>
      </c>
      <c r="E11" s="68">
        <v>0.05</v>
      </c>
      <c r="F11" s="68">
        <f>E11+1.5%</f>
        <v>6.5000000000000002E-2</v>
      </c>
      <c r="G11" s="68">
        <f t="shared" ref="G11:K11" si="1">F11+1.5%</f>
        <v>0.08</v>
      </c>
      <c r="H11" s="68">
        <f t="shared" si="1"/>
        <v>9.5000000000000001E-2</v>
      </c>
      <c r="I11" s="68">
        <f t="shared" si="1"/>
        <v>0.11</v>
      </c>
      <c r="J11" s="68">
        <f t="shared" si="1"/>
        <v>0.125</v>
      </c>
      <c r="K11" s="68">
        <f t="shared" si="1"/>
        <v>0.14000000000000001</v>
      </c>
      <c r="L11" s="68">
        <v>0.15</v>
      </c>
      <c r="M11" s="68">
        <v>0.15</v>
      </c>
    </row>
    <row r="14" spans="2:13" x14ac:dyDescent="0.3">
      <c r="B14" s="1" t="s">
        <v>360</v>
      </c>
      <c r="C14" s="79"/>
      <c r="D14" s="3"/>
      <c r="E14" s="79" t="s">
        <v>16</v>
      </c>
      <c r="F14" s="79"/>
      <c r="G14" s="79"/>
      <c r="H14" s="79"/>
      <c r="I14" s="79"/>
      <c r="J14" s="79"/>
      <c r="K14" s="79"/>
      <c r="L14" s="79"/>
      <c r="M14" s="79"/>
    </row>
    <row r="15" spans="2:13" x14ac:dyDescent="0.3">
      <c r="B15" s="15" t="s">
        <v>357</v>
      </c>
      <c r="C15" s="80"/>
      <c r="D15" s="81" t="s">
        <v>334</v>
      </c>
      <c r="E15" s="17">
        <f>DATE(2024,12,31)</f>
        <v>45657</v>
      </c>
      <c r="F15" s="17">
        <f>EOMONTH(E15,12)</f>
        <v>46022</v>
      </c>
      <c r="G15" s="17">
        <f t="shared" ref="G15:M15" si="2">EOMONTH(F15,12)</f>
        <v>46387</v>
      </c>
      <c r="H15" s="17">
        <f t="shared" si="2"/>
        <v>46752</v>
      </c>
      <c r="I15" s="17">
        <f t="shared" si="2"/>
        <v>47118</v>
      </c>
      <c r="J15" s="17">
        <f t="shared" si="2"/>
        <v>47483</v>
      </c>
      <c r="K15" s="17">
        <f t="shared" si="2"/>
        <v>47848</v>
      </c>
      <c r="L15" s="17">
        <f t="shared" si="2"/>
        <v>48213</v>
      </c>
      <c r="M15" s="17">
        <f t="shared" si="2"/>
        <v>48579</v>
      </c>
    </row>
    <row r="16" spans="2:13" x14ac:dyDescent="0.3">
      <c r="C16" s="4" t="s">
        <v>367</v>
      </c>
      <c r="E16" s="4">
        <v>200</v>
      </c>
      <c r="F16" s="4">
        <f>D3*50%</f>
        <v>500</v>
      </c>
      <c r="G16" s="4">
        <v>680</v>
      </c>
      <c r="H16" s="4">
        <v>750</v>
      </c>
      <c r="I16" s="4">
        <v>800</v>
      </c>
      <c r="J16" s="4">
        <v>900</v>
      </c>
      <c r="K16" s="4">
        <v>1000</v>
      </c>
      <c r="L16" s="4">
        <v>1000</v>
      </c>
      <c r="M16" s="4">
        <v>1000</v>
      </c>
    </row>
    <row r="18" spans="3:8" x14ac:dyDescent="0.3">
      <c r="C18" s="4" t="s">
        <v>369</v>
      </c>
      <c r="E18" s="68">
        <v>0.25</v>
      </c>
      <c r="F18" s="68">
        <v>0.25</v>
      </c>
      <c r="G18" s="68">
        <v>0.25</v>
      </c>
      <c r="H18" s="68">
        <v>0.25</v>
      </c>
    </row>
    <row r="19" spans="3:8" x14ac:dyDescent="0.3">
      <c r="C19" s="4" t="s">
        <v>370</v>
      </c>
      <c r="E19" s="43">
        <f>E18*$D$7*$D$3</f>
        <v>100</v>
      </c>
      <c r="F19" s="43">
        <f t="shared" ref="F19:H19" si="3">F18*$D$7*$D$3</f>
        <v>100</v>
      </c>
      <c r="G19" s="43">
        <f t="shared" si="3"/>
        <v>100</v>
      </c>
      <c r="H19" s="43">
        <f t="shared" si="3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0"/>
  <sheetViews>
    <sheetView showGridLines="0" topLeftCell="A198" zoomScale="85" zoomScaleNormal="85" workbookViewId="0">
      <selection activeCell="C2" sqref="C2"/>
    </sheetView>
  </sheetViews>
  <sheetFormatPr defaultRowHeight="15.6" outlineLevelRow="1" outlineLevelCol="1" x14ac:dyDescent="0.3"/>
  <cols>
    <col min="1" max="2" width="1.77734375" style="4" customWidth="1"/>
    <col min="3" max="3" width="47.6640625" style="4" bestFit="1" customWidth="1"/>
    <col min="4" max="4" width="14.6640625" style="4" bestFit="1" customWidth="1"/>
    <col min="5" max="8" width="13.77734375" style="4" customWidth="1" outlineLevel="1"/>
    <col min="9" max="9" width="13.77734375" style="4" customWidth="1" outlineLevel="1" collapsed="1"/>
    <col min="10" max="18" width="13.77734375" style="4" customWidth="1"/>
    <col min="19" max="16384" width="8.88671875" style="4"/>
  </cols>
  <sheetData>
    <row r="1" spans="1:18" ht="18" x14ac:dyDescent="0.35">
      <c r="A1" s="6" t="s">
        <v>2</v>
      </c>
    </row>
    <row r="2" spans="1:18" x14ac:dyDescent="0.3">
      <c r="A2" s="7" t="s">
        <v>3</v>
      </c>
    </row>
    <row r="3" spans="1:18" x14ac:dyDescent="0.3">
      <c r="B3" s="1" t="s">
        <v>1</v>
      </c>
      <c r="C3" s="2"/>
      <c r="D3" s="2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C4" s="4" t="s">
        <v>4</v>
      </c>
      <c r="D4" s="69" t="s">
        <v>6</v>
      </c>
    </row>
    <row r="5" spans="1:18" x14ac:dyDescent="0.3">
      <c r="B5" s="10"/>
      <c r="C5" s="4" t="s">
        <v>7</v>
      </c>
      <c r="D5" s="69" t="s">
        <v>8</v>
      </c>
    </row>
    <row r="6" spans="1:18" x14ac:dyDescent="0.3">
      <c r="B6" s="10"/>
      <c r="C6" s="4" t="s">
        <v>5</v>
      </c>
      <c r="D6" s="11">
        <f>$I$50</f>
        <v>0.20342918541197424</v>
      </c>
    </row>
    <row r="7" spans="1:18" x14ac:dyDescent="0.3">
      <c r="B7" s="8"/>
      <c r="C7" s="4" t="s">
        <v>9</v>
      </c>
      <c r="D7" s="70">
        <v>1000000</v>
      </c>
    </row>
    <row r="8" spans="1:18" x14ac:dyDescent="0.3">
      <c r="B8" s="8"/>
      <c r="C8" s="4" t="s">
        <v>10</v>
      </c>
      <c r="D8" s="141">
        <v>47.57</v>
      </c>
    </row>
    <row r="9" spans="1:18" x14ac:dyDescent="0.3">
      <c r="B9" s="8"/>
      <c r="C9" s="4" t="s">
        <v>11</v>
      </c>
      <c r="D9" s="143">
        <v>727</v>
      </c>
    </row>
    <row r="10" spans="1:18" x14ac:dyDescent="0.3">
      <c r="B10" s="8"/>
      <c r="C10" s="4" t="s">
        <v>12</v>
      </c>
      <c r="D10" s="12">
        <f>Kroger_Price*Kroger_Shares</f>
        <v>34583.39</v>
      </c>
    </row>
    <row r="11" spans="1:18" x14ac:dyDescent="0.3">
      <c r="B11" s="8"/>
      <c r="C11" s="4" t="s">
        <v>117</v>
      </c>
      <c r="D11" s="11">
        <v>4.2000000000000003E-2</v>
      </c>
    </row>
    <row r="12" spans="1:18" x14ac:dyDescent="0.3">
      <c r="B12" s="8"/>
      <c r="C12" s="4" t="s">
        <v>128</v>
      </c>
      <c r="D12" s="11">
        <v>3.5000000000000003E-2</v>
      </c>
    </row>
    <row r="13" spans="1:18" x14ac:dyDescent="0.3">
      <c r="B13" s="8"/>
    </row>
    <row r="14" spans="1:18" x14ac:dyDescent="0.3">
      <c r="B14" s="1"/>
      <c r="C14" s="1"/>
      <c r="D14" s="1"/>
      <c r="E14" s="13" t="s">
        <v>15</v>
      </c>
      <c r="F14" s="13"/>
      <c r="G14" s="13"/>
      <c r="H14" s="14"/>
      <c r="I14" s="18" t="s">
        <v>16</v>
      </c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">
      <c r="B15" s="15" t="s">
        <v>13</v>
      </c>
      <c r="C15" s="16"/>
      <c r="D15" s="81"/>
      <c r="E15" s="17">
        <f>DATE(2019,12,31)</f>
        <v>43830</v>
      </c>
      <c r="F15" s="17">
        <f>EOMONTH(E15,12)</f>
        <v>44196</v>
      </c>
      <c r="G15" s="17">
        <f t="shared" ref="G15:R15" si="0">EOMONTH(F15,12)</f>
        <v>44561</v>
      </c>
      <c r="H15" s="20">
        <f t="shared" si="0"/>
        <v>44926</v>
      </c>
      <c r="I15" s="17">
        <f t="shared" si="0"/>
        <v>45291</v>
      </c>
      <c r="J15" s="17">
        <f t="shared" si="0"/>
        <v>45657</v>
      </c>
      <c r="K15" s="17">
        <f t="shared" si="0"/>
        <v>46022</v>
      </c>
      <c r="L15" s="17">
        <f t="shared" si="0"/>
        <v>46387</v>
      </c>
      <c r="M15" s="17">
        <f t="shared" si="0"/>
        <v>46752</v>
      </c>
      <c r="N15" s="17">
        <f t="shared" si="0"/>
        <v>47118</v>
      </c>
      <c r="O15" s="17">
        <f t="shared" si="0"/>
        <v>47483</v>
      </c>
      <c r="P15" s="17">
        <f t="shared" si="0"/>
        <v>47848</v>
      </c>
      <c r="Q15" s="17">
        <f t="shared" si="0"/>
        <v>48213</v>
      </c>
      <c r="R15" s="17">
        <f t="shared" si="0"/>
        <v>48579</v>
      </c>
    </row>
    <row r="16" spans="1:18" outlineLevel="1" x14ac:dyDescent="0.3">
      <c r="B16" s="38" t="s">
        <v>86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</row>
    <row r="17" spans="3:20" outlineLevel="1" x14ac:dyDescent="0.3">
      <c r="C17" s="4" t="s">
        <v>87</v>
      </c>
      <c r="E17" s="147">
        <v>2757</v>
      </c>
      <c r="F17" s="147">
        <v>2742</v>
      </c>
      <c r="G17" s="147">
        <v>2726</v>
      </c>
      <c r="H17" s="147">
        <v>2719</v>
      </c>
      <c r="I17" s="39">
        <f>H17*(1+I18)</f>
        <v>2713.5619999999999</v>
      </c>
      <c r="J17" s="39">
        <f t="shared" ref="J17:R17" si="1">I17*(1+J18)</f>
        <v>2709.491657</v>
      </c>
      <c r="K17" s="39">
        <f t="shared" si="1"/>
        <v>2708.1369111715003</v>
      </c>
      <c r="L17" s="39">
        <f t="shared" si="1"/>
        <v>2706.7828427159147</v>
      </c>
      <c r="M17" s="39">
        <f t="shared" si="1"/>
        <v>2705.4294512945571</v>
      </c>
      <c r="N17" s="39">
        <f t="shared" si="1"/>
        <v>2704.0767365689098</v>
      </c>
      <c r="O17" s="39">
        <f t="shared" si="1"/>
        <v>2702.7246982006254</v>
      </c>
      <c r="P17" s="39">
        <f t="shared" si="1"/>
        <v>2701.3733358515251</v>
      </c>
      <c r="Q17" s="39">
        <f t="shared" si="1"/>
        <v>2700.0226491835997</v>
      </c>
      <c r="R17" s="39">
        <f t="shared" si="1"/>
        <v>2698.6726378590079</v>
      </c>
    </row>
    <row r="18" spans="3:20" outlineLevel="1" x14ac:dyDescent="0.3">
      <c r="C18" s="9" t="s">
        <v>93</v>
      </c>
      <c r="E18" s="40"/>
      <c r="F18" s="40">
        <f>F17/E17-1</f>
        <v>-5.4406964091403553E-3</v>
      </c>
      <c r="G18" s="40">
        <f t="shared" ref="G18:H18" si="2">G17/F17-1</f>
        <v>-5.8351568198394821E-3</v>
      </c>
      <c r="H18" s="40">
        <f t="shared" si="2"/>
        <v>-2.5678650036683459E-3</v>
      </c>
      <c r="I18" s="41">
        <v>-2E-3</v>
      </c>
      <c r="J18" s="41">
        <v>-1.5E-3</v>
      </c>
      <c r="K18" s="41">
        <v>-5.0000000000000001E-4</v>
      </c>
      <c r="L18" s="41">
        <f>K18</f>
        <v>-5.0000000000000001E-4</v>
      </c>
      <c r="M18" s="41">
        <f t="shared" ref="M18:R18" si="3">L18</f>
        <v>-5.0000000000000001E-4</v>
      </c>
      <c r="N18" s="41">
        <f t="shared" si="3"/>
        <v>-5.0000000000000001E-4</v>
      </c>
      <c r="O18" s="41">
        <f t="shared" si="3"/>
        <v>-5.0000000000000001E-4</v>
      </c>
      <c r="P18" s="41">
        <f t="shared" si="3"/>
        <v>-5.0000000000000001E-4</v>
      </c>
      <c r="Q18" s="41">
        <f t="shared" si="3"/>
        <v>-5.0000000000000001E-4</v>
      </c>
      <c r="R18" s="41">
        <f t="shared" si="3"/>
        <v>-5.0000000000000001E-4</v>
      </c>
    </row>
    <row r="19" spans="3:20" outlineLevel="1" x14ac:dyDescent="0.3">
      <c r="E19" s="39"/>
      <c r="F19" s="39"/>
      <c r="G19" s="39"/>
      <c r="H19" s="39"/>
    </row>
    <row r="20" spans="3:20" outlineLevel="1" x14ac:dyDescent="0.3">
      <c r="C20" s="4" t="s">
        <v>90</v>
      </c>
      <c r="E20" s="147">
        <v>2270</v>
      </c>
      <c r="F20" s="147">
        <v>2255</v>
      </c>
      <c r="G20" s="147">
        <v>2252</v>
      </c>
      <c r="H20" s="147">
        <v>2252</v>
      </c>
      <c r="I20" s="39">
        <f>I17*I21</f>
        <v>2238.7671204943581</v>
      </c>
      <c r="J20" s="39">
        <f t="shared" ref="J20:R20" si="4">J17*J21</f>
        <v>2235.4089698136167</v>
      </c>
      <c r="K20" s="39">
        <f t="shared" si="4"/>
        <v>2234.2912653287099</v>
      </c>
      <c r="L20" s="39">
        <f t="shared" si="4"/>
        <v>2233.1741196960456</v>
      </c>
      <c r="M20" s="39">
        <f t="shared" si="4"/>
        <v>2232.0575326361982</v>
      </c>
      <c r="N20" s="39">
        <f t="shared" si="4"/>
        <v>2230.9415038698799</v>
      </c>
      <c r="O20" s="39">
        <f t="shared" si="4"/>
        <v>2229.8260331179449</v>
      </c>
      <c r="P20" s="39">
        <f t="shared" si="4"/>
        <v>2228.7111201013859</v>
      </c>
      <c r="Q20" s="39">
        <f t="shared" si="4"/>
        <v>2227.5967645413357</v>
      </c>
      <c r="R20" s="39">
        <f t="shared" si="4"/>
        <v>2226.4829661590647</v>
      </c>
    </row>
    <row r="21" spans="3:20" outlineLevel="1" x14ac:dyDescent="0.3">
      <c r="C21" s="9" t="s">
        <v>89</v>
      </c>
      <c r="E21" s="40">
        <f>E20/E17</f>
        <v>0.82335872324990933</v>
      </c>
      <c r="F21" s="40">
        <f t="shared" ref="F21:H21" si="5">F20/F17</f>
        <v>0.82239241429613419</v>
      </c>
      <c r="G21" s="40">
        <f t="shared" si="5"/>
        <v>0.82611885546588404</v>
      </c>
      <c r="H21" s="40">
        <f t="shared" si="5"/>
        <v>0.82824567855829345</v>
      </c>
      <c r="I21" s="41">
        <f>AVERAGE(E21:H21)</f>
        <v>0.82502891789255528</v>
      </c>
      <c r="J21" s="41">
        <f>I21</f>
        <v>0.82502891789255528</v>
      </c>
      <c r="K21" s="41">
        <f t="shared" ref="K21:R21" si="6">J21</f>
        <v>0.82502891789255528</v>
      </c>
      <c r="L21" s="41">
        <f t="shared" si="6"/>
        <v>0.82502891789255528</v>
      </c>
      <c r="M21" s="41">
        <f t="shared" si="6"/>
        <v>0.82502891789255528</v>
      </c>
      <c r="N21" s="41">
        <f t="shared" si="6"/>
        <v>0.82502891789255528</v>
      </c>
      <c r="O21" s="41">
        <f t="shared" si="6"/>
        <v>0.82502891789255528</v>
      </c>
      <c r="P21" s="41">
        <f t="shared" si="6"/>
        <v>0.82502891789255528</v>
      </c>
      <c r="Q21" s="41">
        <f t="shared" si="6"/>
        <v>0.82502891789255528</v>
      </c>
      <c r="R21" s="41">
        <f t="shared" si="6"/>
        <v>0.82502891789255528</v>
      </c>
    </row>
    <row r="22" spans="3:20" outlineLevel="1" x14ac:dyDescent="0.3">
      <c r="C22" s="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3:20" outlineLevel="1" x14ac:dyDescent="0.3">
      <c r="C23" s="4" t="s">
        <v>88</v>
      </c>
      <c r="E23" s="147">
        <v>1567</v>
      </c>
      <c r="F23" s="147">
        <v>1596</v>
      </c>
      <c r="G23" s="147">
        <v>1613</v>
      </c>
      <c r="H23" s="147">
        <v>1637</v>
      </c>
      <c r="I23" s="39">
        <f>I24*I17</f>
        <v>1661.5609682644824</v>
      </c>
      <c r="J23" s="39">
        <f t="shared" ref="J23:R23" si="7">J24*J17</f>
        <v>1686.5058413757331</v>
      </c>
      <c r="K23" s="39">
        <f t="shared" si="7"/>
        <v>1712.6967752503128</v>
      </c>
      <c r="L23" s="39">
        <f t="shared" si="7"/>
        <v>1738.438526321077</v>
      </c>
      <c r="M23" s="39">
        <f t="shared" si="7"/>
        <v>1763.6983900325467</v>
      </c>
      <c r="N23" s="39">
        <f t="shared" si="7"/>
        <v>1788.4438764068525</v>
      </c>
      <c r="O23" s="39">
        <f t="shared" si="7"/>
        <v>1812.6427783235256</v>
      </c>
      <c r="P23" s="39">
        <f t="shared" si="7"/>
        <v>1836.2632401528647</v>
      </c>
      <c r="Q23" s="39">
        <f t="shared" si="7"/>
        <v>1859.2738265425726</v>
      </c>
      <c r="R23" s="39">
        <f t="shared" si="7"/>
        <v>1881.6435911537051</v>
      </c>
    </row>
    <row r="24" spans="3:20" outlineLevel="1" x14ac:dyDescent="0.3">
      <c r="C24" s="9" t="s">
        <v>91</v>
      </c>
      <c r="E24" s="40">
        <f>E23/E17</f>
        <v>0.56837141820819737</v>
      </c>
      <c r="F24" s="40">
        <f t="shared" ref="F24:H24" si="8">F23/F17</f>
        <v>0.58205689277899342</v>
      </c>
      <c r="G24" s="40">
        <f t="shared" si="8"/>
        <v>0.59170946441672778</v>
      </c>
      <c r="H24" s="40">
        <f t="shared" si="8"/>
        <v>0.60205958072820887</v>
      </c>
      <c r="I24" s="40">
        <f>H24*(1+I25)</f>
        <v>0.61231730406914697</v>
      </c>
      <c r="J24" s="40">
        <f t="shared" ref="J24:R24" si="9">I24*(1+J25)</f>
        <v>0.62244363698948013</v>
      </c>
      <c r="K24" s="40">
        <f t="shared" si="9"/>
        <v>0.63242621456292081</v>
      </c>
      <c r="L24" s="40">
        <f t="shared" si="9"/>
        <v>0.6422526768260336</v>
      </c>
      <c r="M24" s="40">
        <f t="shared" si="9"/>
        <v>0.65191069358271792</v>
      </c>
      <c r="N24" s="40">
        <f t="shared" si="9"/>
        <v>0.66138798955688449</v>
      </c>
      <c r="O24" s="40">
        <f t="shared" si="9"/>
        <v>0.67067236982379907</v>
      </c>
      <c r="P24" s="40">
        <f t="shared" si="9"/>
        <v>0.67975174544840877</v>
      </c>
      <c r="Q24" s="40">
        <f t="shared" si="9"/>
        <v>0.6886141592570556</v>
      </c>
      <c r="R24" s="40">
        <f t="shared" si="9"/>
        <v>0.69724781166733407</v>
      </c>
    </row>
    <row r="25" spans="3:20" outlineLevel="1" x14ac:dyDescent="0.3">
      <c r="C25" s="42" t="s">
        <v>92</v>
      </c>
      <c r="F25" s="40">
        <f>F24/E24-1</f>
        <v>2.4078400377590681E-2</v>
      </c>
      <c r="G25" s="40">
        <f t="shared" ref="G25:H25" si="10">G24/F24-1</f>
        <v>1.6583553527987238E-2</v>
      </c>
      <c r="H25" s="40">
        <f t="shared" si="10"/>
        <v>1.7491889067016375E-2</v>
      </c>
      <c r="I25" s="41">
        <f>AVERAGE(G25:H25)</f>
        <v>1.7037721297501807E-2</v>
      </c>
      <c r="J25" s="41">
        <f>I25-0.05%</f>
        <v>1.6537721297501806E-2</v>
      </c>
      <c r="K25" s="41">
        <f t="shared" ref="K25:R25" si="11">J25-0.05%</f>
        <v>1.6037721297501806E-2</v>
      </c>
      <c r="L25" s="41">
        <f t="shared" si="11"/>
        <v>1.5537721297501805E-2</v>
      </c>
      <c r="M25" s="41">
        <f t="shared" si="11"/>
        <v>1.5037721297501805E-2</v>
      </c>
      <c r="N25" s="41">
        <f t="shared" si="11"/>
        <v>1.4537721297501804E-2</v>
      </c>
      <c r="O25" s="41">
        <f t="shared" si="11"/>
        <v>1.4037721297501804E-2</v>
      </c>
      <c r="P25" s="41">
        <f t="shared" si="11"/>
        <v>1.3537721297501804E-2</v>
      </c>
      <c r="Q25" s="41">
        <f t="shared" si="11"/>
        <v>1.3037721297501803E-2</v>
      </c>
      <c r="R25" s="41">
        <f t="shared" si="11"/>
        <v>1.2537721297501803E-2</v>
      </c>
    </row>
    <row r="26" spans="3:20" outlineLevel="1" x14ac:dyDescent="0.3"/>
    <row r="27" spans="3:20" outlineLevel="1" x14ac:dyDescent="0.3">
      <c r="C27" s="4" t="s">
        <v>101</v>
      </c>
      <c r="E27" s="148">
        <f>E115/E17</f>
        <v>22.29379760609358</v>
      </c>
      <c r="F27" s="148">
        <f>F115/F17</f>
        <v>26.051787016776075</v>
      </c>
      <c r="G27" s="148">
        <f>G115/G17</f>
        <v>25.549523110785032</v>
      </c>
      <c r="H27" s="148">
        <f>H115/H17</f>
        <v>27.260389849209268</v>
      </c>
      <c r="I27" s="43">
        <f>H27*(1+I28)</f>
        <v>28.896013240161825</v>
      </c>
      <c r="J27" s="43">
        <f t="shared" ref="J27:R27" si="12">I27*(1+J28)</f>
        <v>30.340813902169916</v>
      </c>
      <c r="K27" s="43">
        <f t="shared" si="12"/>
        <v>31.649143288164968</v>
      </c>
      <c r="L27" s="43">
        <f t="shared" si="12"/>
        <v>32.91510901969157</v>
      </c>
      <c r="M27" s="43">
        <f t="shared" si="12"/>
        <v>34.06713783538077</v>
      </c>
      <c r="N27" s="43">
        <f t="shared" si="12"/>
        <v>35.089151970442195</v>
      </c>
      <c r="O27" s="43">
        <f t="shared" si="12"/>
        <v>36.054103649629361</v>
      </c>
      <c r="P27" s="43">
        <f t="shared" si="12"/>
        <v>36.955456240870092</v>
      </c>
      <c r="Q27" s="43">
        <f t="shared" si="12"/>
        <v>37.842387190650975</v>
      </c>
      <c r="R27" s="43">
        <f t="shared" si="12"/>
        <v>38.712762096035945</v>
      </c>
    </row>
    <row r="28" spans="3:20" outlineLevel="1" x14ac:dyDescent="0.3">
      <c r="C28" s="9" t="s">
        <v>94</v>
      </c>
      <c r="F28" s="40">
        <f>F27/E27-1</f>
        <v>0.16856658865761487</v>
      </c>
      <c r="G28" s="40">
        <f t="shared" ref="G28" si="13">G27/F27-1</f>
        <v>-1.9279441585623669E-2</v>
      </c>
      <c r="H28" s="40">
        <f t="shared" ref="H28" si="14">H27/G27-1</f>
        <v>6.6962766036992694E-2</v>
      </c>
      <c r="I28" s="41">
        <v>0.06</v>
      </c>
      <c r="J28" s="41">
        <v>0.05</v>
      </c>
      <c r="K28" s="41">
        <v>4.3121103811308181E-2</v>
      </c>
      <c r="L28" s="41">
        <v>0.04</v>
      </c>
      <c r="M28" s="41">
        <v>3.5000000000000003E-2</v>
      </c>
      <c r="N28" s="41">
        <v>0.03</v>
      </c>
      <c r="O28" s="41">
        <v>2.75E-2</v>
      </c>
      <c r="P28" s="41">
        <v>2.5000000000000001E-2</v>
      </c>
      <c r="Q28" s="41">
        <v>2.4E-2</v>
      </c>
      <c r="R28" s="41">
        <v>2.3E-2</v>
      </c>
    </row>
    <row r="29" spans="3:20" outlineLevel="1" x14ac:dyDescent="0.3">
      <c r="C29" s="9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3:20" outlineLevel="1" x14ac:dyDescent="0.3">
      <c r="C30" s="4" t="s">
        <v>102</v>
      </c>
      <c r="E30" s="43">
        <f>E116/E17</f>
        <v>10.682626042800145</v>
      </c>
      <c r="F30" s="43">
        <f>F116/F17</f>
        <v>12.198760029175784</v>
      </c>
      <c r="G30" s="43">
        <f>G116/G17</f>
        <v>12.462215700660309</v>
      </c>
      <c r="H30" s="43">
        <f>H116/H17</f>
        <v>13.031629275468923</v>
      </c>
      <c r="I30" s="43">
        <f>H30*(1+I31)</f>
        <v>13.552894446487681</v>
      </c>
      <c r="J30" s="43">
        <f t="shared" ref="J30:R30" si="15">I30*(1+J31)</f>
        <v>14.027245752114748</v>
      </c>
      <c r="K30" s="43">
        <f t="shared" si="15"/>
        <v>14.490144861934533</v>
      </c>
      <c r="L30" s="43">
        <f t="shared" si="15"/>
        <v>14.924849207792569</v>
      </c>
      <c r="M30" s="43">
        <f t="shared" si="15"/>
        <v>15.335282561006865</v>
      </c>
      <c r="N30" s="43">
        <f t="shared" si="15"/>
        <v>15.718664625032035</v>
      </c>
      <c r="O30" s="43">
        <f t="shared" si="15"/>
        <v>16.095912576032806</v>
      </c>
      <c r="P30" s="43">
        <f t="shared" si="15"/>
        <v>16.466118565281558</v>
      </c>
      <c r="Q30" s="43">
        <f t="shared" si="15"/>
        <v>16.828373173717754</v>
      </c>
      <c r="R30" s="43">
        <f t="shared" si="15"/>
        <v>17.181769010365826</v>
      </c>
    </row>
    <row r="31" spans="3:20" outlineLevel="1" x14ac:dyDescent="0.3">
      <c r="C31" s="9" t="s">
        <v>94</v>
      </c>
      <c r="F31" s="40">
        <f>F30/E30-1</f>
        <v>0.14192521392223401</v>
      </c>
      <c r="G31" s="40">
        <f t="shared" ref="G31:H31" si="16">G30/F30-1</f>
        <v>2.1596922216226666E-2</v>
      </c>
      <c r="H31" s="40">
        <f t="shared" si="16"/>
        <v>4.5691198779238329E-2</v>
      </c>
      <c r="I31" s="41">
        <v>0.04</v>
      </c>
      <c r="J31" s="41">
        <v>3.5000000000000003E-2</v>
      </c>
      <c r="K31" s="41">
        <v>3.3000000000000002E-2</v>
      </c>
      <c r="L31" s="41">
        <v>0.03</v>
      </c>
      <c r="M31" s="41">
        <v>2.75E-2</v>
      </c>
      <c r="N31" s="41">
        <v>2.5000000000000001E-2</v>
      </c>
      <c r="O31" s="41">
        <v>2.4E-2</v>
      </c>
      <c r="P31" s="41">
        <v>2.3E-2</v>
      </c>
      <c r="Q31" s="41">
        <v>2.1999999999999999E-2</v>
      </c>
      <c r="R31" s="41">
        <v>2.1000000000000001E-2</v>
      </c>
    </row>
    <row r="32" spans="3:20" outlineLevel="1" x14ac:dyDescent="0.3"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1:19" outlineLevel="1" x14ac:dyDescent="0.3">
      <c r="C33" s="4" t="s">
        <v>95</v>
      </c>
      <c r="E33" s="43">
        <f>E117/E23</f>
        <v>8.9674537332482451</v>
      </c>
      <c r="F33" s="43">
        <f>F117/F23</f>
        <v>5.9436090225563909</v>
      </c>
      <c r="G33" s="43">
        <f>G117/G23</f>
        <v>9.0998140111593298</v>
      </c>
      <c r="H33" s="43">
        <f>H117/H23</f>
        <v>11.381795968234576</v>
      </c>
      <c r="I33" s="43">
        <f>H33*(1+I34)</f>
        <v>13.666946158329388</v>
      </c>
      <c r="J33" s="43">
        <f t="shared" ref="J33:R33" si="17">I33*(1+J34)</f>
        <v>15.72754406774809</v>
      </c>
      <c r="K33" s="43">
        <f t="shared" si="17"/>
        <v>18.058341045119171</v>
      </c>
      <c r="L33" s="43">
        <f t="shared" si="17"/>
        <v>19.831641369396468</v>
      </c>
      <c r="M33" s="43">
        <f t="shared" si="17"/>
        <v>20.787494892237891</v>
      </c>
      <c r="N33" s="43">
        <f t="shared" si="17"/>
        <v>21.618994687927408</v>
      </c>
      <c r="O33" s="43">
        <f t="shared" si="17"/>
        <v>22.375659502004865</v>
      </c>
      <c r="P33" s="43">
        <f t="shared" si="17"/>
        <v>23.046929287065012</v>
      </c>
      <c r="Q33" s="43">
        <f t="shared" si="17"/>
        <v>23.623102519241634</v>
      </c>
      <c r="R33" s="43">
        <f t="shared" si="17"/>
        <v>24.095564569626468</v>
      </c>
    </row>
    <row r="34" spans="1:19" outlineLevel="1" x14ac:dyDescent="0.3">
      <c r="C34" s="9" t="s">
        <v>94</v>
      </c>
      <c r="F34" s="40">
        <f>F33/E33-1</f>
        <v>-0.33720215354783201</v>
      </c>
      <c r="G34" s="40">
        <f t="shared" ref="G34" si="18">G33/F33-1</f>
        <v>0.53102500124502328</v>
      </c>
      <c r="H34" s="40">
        <f t="shared" ref="H34" si="19">H33/G33-1</f>
        <v>0.25077237339980729</v>
      </c>
      <c r="I34" s="41">
        <f>H34-5%</f>
        <v>0.2007723733998073</v>
      </c>
      <c r="J34" s="41">
        <f>I34-5%</f>
        <v>0.15077237339980731</v>
      </c>
      <c r="K34" s="41">
        <v>0.14819840703233286</v>
      </c>
      <c r="L34" s="41">
        <f>K34-5%</f>
        <v>9.819840703233286E-2</v>
      </c>
      <c r="M34" s="41">
        <f t="shared" ref="M34" si="20">L34-5%</f>
        <v>4.8198407032332857E-2</v>
      </c>
      <c r="N34" s="41">
        <v>0.04</v>
      </c>
      <c r="O34" s="41">
        <v>3.5000000000000003E-2</v>
      </c>
      <c r="P34" s="41">
        <v>0.03</v>
      </c>
      <c r="Q34" s="41">
        <v>2.5000000000000001E-2</v>
      </c>
      <c r="R34" s="41">
        <v>0.02</v>
      </c>
    </row>
    <row r="35" spans="1:19" outlineLevel="1" x14ac:dyDescent="0.3"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</row>
    <row r="36" spans="1:19" outlineLevel="1" x14ac:dyDescent="0.3">
      <c r="C36" s="4" t="s">
        <v>99</v>
      </c>
      <c r="E36" s="43">
        <f>E118/E20</f>
        <v>4.8524229074889869</v>
      </c>
      <c r="F36" s="43">
        <f>F118/F20</f>
        <v>5.0501108647450108</v>
      </c>
      <c r="G36" s="43">
        <f>G118/G20</f>
        <v>5.5066607460035524</v>
      </c>
      <c r="H36" s="43">
        <f>H118/H20</f>
        <v>5.9400532859680286</v>
      </c>
      <c r="I36" s="43">
        <f>H36*(1+I37)</f>
        <v>6.3555546947798467</v>
      </c>
      <c r="J36" s="43">
        <f t="shared" ref="J36:R36" si="21">I36*(1+J37)</f>
        <v>6.7683422816369267</v>
      </c>
      <c r="K36" s="43">
        <f t="shared" si="21"/>
        <v>7.1740983412548358</v>
      </c>
      <c r="L36" s="43">
        <f t="shared" si="21"/>
        <v>7.5683086216390256</v>
      </c>
      <c r="M36" s="43">
        <f t="shared" si="21"/>
        <v>7.9463388608583285</v>
      </c>
      <c r="N36" s="43">
        <f t="shared" si="21"/>
        <v>8.3039241095969523</v>
      </c>
      <c r="O36" s="43">
        <f t="shared" si="21"/>
        <v>8.6360810739808311</v>
      </c>
      <c r="P36" s="43">
        <f t="shared" si="21"/>
        <v>8.9383439115701595</v>
      </c>
      <c r="Q36" s="43">
        <f t="shared" si="21"/>
        <v>9.2064942289172649</v>
      </c>
      <c r="R36" s="43">
        <f t="shared" si="21"/>
        <v>9.4366565846401951</v>
      </c>
    </row>
    <row r="37" spans="1:19" outlineLevel="1" x14ac:dyDescent="0.3">
      <c r="C37" s="9" t="s">
        <v>94</v>
      </c>
      <c r="F37" s="40">
        <f>F36/E36-1</f>
        <v>4.0740051109502851E-2</v>
      </c>
      <c r="G37" s="40">
        <f t="shared" ref="G37:H37" si="22">G36/F36-1</f>
        <v>9.0403932405866749E-2</v>
      </c>
      <c r="H37" s="40">
        <f t="shared" si="22"/>
        <v>7.8703330376582503E-2</v>
      </c>
      <c r="I37" s="41">
        <f>AVERAGE(F37:H37)</f>
        <v>6.9949104630650696E-2</v>
      </c>
      <c r="J37" s="41">
        <f>I37-0.5%</f>
        <v>6.4949104630650692E-2</v>
      </c>
      <c r="K37" s="41">
        <f t="shared" ref="K37:O37" si="23">J37-0.5%</f>
        <v>5.9949104630650694E-2</v>
      </c>
      <c r="L37" s="41">
        <f t="shared" si="23"/>
        <v>5.4949104630650697E-2</v>
      </c>
      <c r="M37" s="41">
        <f t="shared" si="23"/>
        <v>4.9949104630650699E-2</v>
      </c>
      <c r="N37" s="41">
        <v>4.4999999999999998E-2</v>
      </c>
      <c r="O37" s="41">
        <f t="shared" si="23"/>
        <v>0.04</v>
      </c>
      <c r="P37" s="41">
        <v>3.5000000000000003E-2</v>
      </c>
      <c r="Q37" s="41">
        <v>0.03</v>
      </c>
      <c r="R37" s="41">
        <v>2.5000000000000001E-2</v>
      </c>
    </row>
    <row r="38" spans="1:19" outlineLevel="1" x14ac:dyDescent="0.3">
      <c r="C38" s="9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9" outlineLevel="1" x14ac:dyDescent="0.3">
      <c r="C39" s="4" t="s">
        <v>100</v>
      </c>
      <c r="E39" s="40">
        <f>E119/E120</f>
        <v>5.1543103871252639E-2</v>
      </c>
      <c r="F39" s="40">
        <f t="shared" ref="F39:H39" si="24">F119/F120</f>
        <v>5.0876239641353078E-2</v>
      </c>
      <c r="G39" s="40">
        <f t="shared" si="24"/>
        <v>5.2136516593177071E-2</v>
      </c>
      <c r="H39" s="40">
        <f t="shared" si="24"/>
        <v>4.5157765516869244E-2</v>
      </c>
      <c r="I39" s="41">
        <f>AVERAGE(E39:H39)</f>
        <v>4.9928406405663012E-2</v>
      </c>
      <c r="J39" s="41">
        <f>I39</f>
        <v>4.9928406405663012E-2</v>
      </c>
      <c r="K39" s="41">
        <f t="shared" ref="K39:R41" si="25">J39</f>
        <v>4.9928406405663012E-2</v>
      </c>
      <c r="L39" s="41">
        <f t="shared" si="25"/>
        <v>4.9928406405663012E-2</v>
      </c>
      <c r="M39" s="41">
        <f t="shared" si="25"/>
        <v>4.9928406405663012E-2</v>
      </c>
      <c r="N39" s="41">
        <f t="shared" si="25"/>
        <v>4.9928406405663012E-2</v>
      </c>
      <c r="O39" s="41">
        <f t="shared" si="25"/>
        <v>4.9928406405663012E-2</v>
      </c>
      <c r="P39" s="41">
        <f t="shared" si="25"/>
        <v>4.9928406405663012E-2</v>
      </c>
      <c r="Q39" s="41">
        <f t="shared" si="25"/>
        <v>4.9928406405663012E-2</v>
      </c>
      <c r="R39" s="41">
        <f t="shared" si="25"/>
        <v>4.9928406405663012E-2</v>
      </c>
    </row>
    <row r="40" spans="1:19" outlineLevel="1" x14ac:dyDescent="0.3"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outlineLevel="1" x14ac:dyDescent="0.3">
      <c r="C41" s="4" t="s">
        <v>103</v>
      </c>
      <c r="E41" s="40">
        <f>-E121/E120</f>
        <v>0.77841290090443715</v>
      </c>
      <c r="F41" s="40">
        <f t="shared" ref="F41:H41" si="26">-F121/F120</f>
        <v>0.76683421636553006</v>
      </c>
      <c r="G41" s="40">
        <f t="shared" si="26"/>
        <v>0.77847238338361568</v>
      </c>
      <c r="H41" s="40">
        <f t="shared" si="26"/>
        <v>0.78143506589863621</v>
      </c>
      <c r="I41" s="41">
        <f>AVERAGE(E41:H41)</f>
        <v>0.77628864163805478</v>
      </c>
      <c r="J41" s="41">
        <f>I41</f>
        <v>0.77628864163805478</v>
      </c>
      <c r="K41" s="41">
        <f t="shared" si="25"/>
        <v>0.77628864163805478</v>
      </c>
      <c r="L41" s="41">
        <f t="shared" si="25"/>
        <v>0.77628864163805478</v>
      </c>
      <c r="M41" s="41">
        <f t="shared" si="25"/>
        <v>0.77628864163805478</v>
      </c>
      <c r="N41" s="41">
        <f t="shared" si="25"/>
        <v>0.77628864163805478</v>
      </c>
      <c r="O41" s="41">
        <f t="shared" si="25"/>
        <v>0.77628864163805478</v>
      </c>
      <c r="P41" s="41">
        <f t="shared" si="25"/>
        <v>0.77628864163805478</v>
      </c>
      <c r="Q41" s="41">
        <f t="shared" si="25"/>
        <v>0.77628864163805478</v>
      </c>
      <c r="R41" s="41">
        <f t="shared" si="25"/>
        <v>0.77628864163805478</v>
      </c>
      <c r="S41" s="40"/>
    </row>
    <row r="42" spans="1:19" outlineLevel="1" x14ac:dyDescent="0.3"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outlineLevel="1" x14ac:dyDescent="0.3">
      <c r="C43" s="4" t="s">
        <v>104</v>
      </c>
      <c r="E43" s="40">
        <f>-E124/E120</f>
        <v>0.1734295013329408</v>
      </c>
      <c r="F43" s="40">
        <f t="shared" ref="F43:H43" si="27">-F124/F120</f>
        <v>0.18490845144832374</v>
      </c>
      <c r="G43" s="40">
        <f t="shared" si="27"/>
        <v>0.16827425156648873</v>
      </c>
      <c r="H43" s="40">
        <f t="shared" si="27"/>
        <v>0.1608547262205075</v>
      </c>
      <c r="I43" s="41">
        <f>H43-0.08%</f>
        <v>0.16005472622050751</v>
      </c>
      <c r="J43" s="41">
        <f t="shared" ref="J43:R43" si="28">I43-0.08%</f>
        <v>0.15925472622050751</v>
      </c>
      <c r="K43" s="41">
        <f t="shared" si="28"/>
        <v>0.15845472622050752</v>
      </c>
      <c r="L43" s="41">
        <f t="shared" si="28"/>
        <v>0.15765472622050752</v>
      </c>
      <c r="M43" s="41">
        <f t="shared" si="28"/>
        <v>0.15685472622050753</v>
      </c>
      <c r="N43" s="41">
        <f t="shared" si="28"/>
        <v>0.15605472622050753</v>
      </c>
      <c r="O43" s="41">
        <f t="shared" si="28"/>
        <v>0.15525472622050754</v>
      </c>
      <c r="P43" s="41">
        <f t="shared" si="28"/>
        <v>0.15445472622050754</v>
      </c>
      <c r="Q43" s="41">
        <f t="shared" si="28"/>
        <v>0.15365472622050755</v>
      </c>
      <c r="R43" s="41">
        <f t="shared" si="28"/>
        <v>0.15285472622050755</v>
      </c>
      <c r="S43" s="40"/>
    </row>
    <row r="44" spans="1:19" s="40" customFormat="1" outlineLevel="1" x14ac:dyDescent="0.3">
      <c r="A44" s="4"/>
      <c r="B44" s="4"/>
      <c r="C44" s="4"/>
      <c r="D44" s="4"/>
    </row>
    <row r="45" spans="1:19" s="40" customFormat="1" outlineLevel="1" x14ac:dyDescent="0.3">
      <c r="A45" s="4"/>
      <c r="B45" s="4"/>
      <c r="C45" s="4" t="s">
        <v>105</v>
      </c>
      <c r="D45" s="4"/>
      <c r="E45" s="29">
        <v>53</v>
      </c>
      <c r="F45" s="29">
        <v>55</v>
      </c>
      <c r="G45" s="29">
        <v>95</v>
      </c>
      <c r="H45" s="29">
        <v>161</v>
      </c>
      <c r="I45" s="24">
        <f>-I92</f>
        <v>151.99</v>
      </c>
      <c r="J45" s="24">
        <f t="shared" ref="J45:R45" si="29">-J92</f>
        <v>157.30964999999998</v>
      </c>
      <c r="K45" s="24">
        <f t="shared" si="29"/>
        <v>162.81548774999999</v>
      </c>
      <c r="L45" s="24">
        <f t="shared" si="29"/>
        <v>168.51402982125001</v>
      </c>
      <c r="M45" s="24">
        <f t="shared" si="29"/>
        <v>174.41202086499374</v>
      </c>
      <c r="N45" s="24">
        <f t="shared" si="29"/>
        <v>180.51644159526853</v>
      </c>
      <c r="O45" s="24">
        <f t="shared" si="29"/>
        <v>186.83451705110292</v>
      </c>
      <c r="P45" s="24">
        <f t="shared" si="29"/>
        <v>193.37372514789155</v>
      </c>
      <c r="Q45" s="24">
        <f t="shared" si="29"/>
        <v>200.14180552806772</v>
      </c>
      <c r="R45" s="24">
        <f t="shared" si="29"/>
        <v>207.1467687215501</v>
      </c>
    </row>
    <row r="46" spans="1:19" s="40" customFormat="1" outlineLevel="1" x14ac:dyDescent="0.3">
      <c r="A46" s="4"/>
      <c r="B46" s="4"/>
      <c r="C46" s="4" t="s">
        <v>106</v>
      </c>
      <c r="D46" s="4"/>
      <c r="E46" s="29">
        <f>-E126-E45</f>
        <v>2596</v>
      </c>
      <c r="F46" s="29">
        <f>-F126-F45</f>
        <v>2692</v>
      </c>
      <c r="G46" s="29">
        <f>-G126-G45</f>
        <v>2729</v>
      </c>
      <c r="H46" s="29">
        <f>-H126-H45</f>
        <v>2804</v>
      </c>
      <c r="I46" s="29">
        <f t="shared" ref="I46:R46" si="30">I47*I120</f>
        <v>3212.4182467014061</v>
      </c>
      <c r="J46" s="29">
        <f t="shared" si="30"/>
        <v>3418.1965918001529</v>
      </c>
      <c r="K46" s="29">
        <f t="shared" si="30"/>
        <v>3630.200650721732</v>
      </c>
      <c r="L46" s="29">
        <f t="shared" si="30"/>
        <v>3819.4262315570768</v>
      </c>
      <c r="M46" s="29">
        <f t="shared" si="30"/>
        <v>3971.1412796127643</v>
      </c>
      <c r="N46" s="29">
        <f t="shared" si="30"/>
        <v>4108.9052016898131</v>
      </c>
      <c r="O46" s="29">
        <f t="shared" si="30"/>
        <v>4239.514006845623</v>
      </c>
      <c r="P46" s="29">
        <f t="shared" si="30"/>
        <v>4361.774209992941</v>
      </c>
      <c r="Q46" s="29">
        <f t="shared" si="30"/>
        <v>4477.6986943015645</v>
      </c>
      <c r="R46" s="29">
        <f t="shared" si="30"/>
        <v>4586.4173507499545</v>
      </c>
    </row>
    <row r="47" spans="1:19" outlineLevel="1" x14ac:dyDescent="0.3">
      <c r="C47" s="9" t="s">
        <v>107</v>
      </c>
      <c r="E47" s="40">
        <f>E46/E120</f>
        <v>2.122892236233093E-2</v>
      </c>
      <c r="F47" s="40">
        <f>F46/F120</f>
        <v>2.0317287808117857E-2</v>
      </c>
      <c r="G47" s="40">
        <f>G46/G120</f>
        <v>1.9791424924576469E-2</v>
      </c>
      <c r="H47" s="40">
        <f>H46/H120</f>
        <v>1.8912976028275033E-2</v>
      </c>
      <c r="I47" s="41">
        <f>AVERAGE(E47:H47)</f>
        <v>2.0062652780825072E-2</v>
      </c>
      <c r="J47" s="41">
        <f>I47</f>
        <v>2.0062652780825072E-2</v>
      </c>
      <c r="K47" s="41">
        <f t="shared" ref="K47:R47" si="31">J47</f>
        <v>2.0062652780825072E-2</v>
      </c>
      <c r="L47" s="41">
        <f t="shared" si="31"/>
        <v>2.0062652780825072E-2</v>
      </c>
      <c r="M47" s="41">
        <f t="shared" si="31"/>
        <v>2.0062652780825072E-2</v>
      </c>
      <c r="N47" s="41">
        <f t="shared" si="31"/>
        <v>2.0062652780825072E-2</v>
      </c>
      <c r="O47" s="41">
        <f t="shared" si="31"/>
        <v>2.0062652780825072E-2</v>
      </c>
      <c r="P47" s="41">
        <f t="shared" si="31"/>
        <v>2.0062652780825072E-2</v>
      </c>
      <c r="Q47" s="41">
        <f t="shared" si="31"/>
        <v>2.0062652780825072E-2</v>
      </c>
      <c r="R47" s="41">
        <f t="shared" si="31"/>
        <v>2.0062652780825072E-2</v>
      </c>
      <c r="S47" s="40"/>
    </row>
    <row r="48" spans="1:19" s="40" customFormat="1" outlineLevel="1" x14ac:dyDescent="0.3">
      <c r="A48" s="4"/>
      <c r="B48" s="4"/>
      <c r="C48" s="44" t="s">
        <v>108</v>
      </c>
      <c r="D48" s="4"/>
      <c r="E48" s="29">
        <f>E46+E45</f>
        <v>2649</v>
      </c>
      <c r="F48" s="29">
        <f t="shared" ref="F48:R48" si="32">F46+F45</f>
        <v>2747</v>
      </c>
      <c r="G48" s="29">
        <f t="shared" si="32"/>
        <v>2824</v>
      </c>
      <c r="H48" s="29">
        <f t="shared" si="32"/>
        <v>2965</v>
      </c>
      <c r="I48" s="29">
        <f t="shared" si="32"/>
        <v>3364.4082467014059</v>
      </c>
      <c r="J48" s="29">
        <f t="shared" si="32"/>
        <v>3575.506241800153</v>
      </c>
      <c r="K48" s="29">
        <f t="shared" si="32"/>
        <v>3793.0161384717321</v>
      </c>
      <c r="L48" s="29">
        <f t="shared" si="32"/>
        <v>3987.9402613783268</v>
      </c>
      <c r="M48" s="29">
        <f t="shared" si="32"/>
        <v>4145.5533004777581</v>
      </c>
      <c r="N48" s="29">
        <f t="shared" si="32"/>
        <v>4289.4216432850817</v>
      </c>
      <c r="O48" s="29">
        <f t="shared" si="32"/>
        <v>4426.348523896726</v>
      </c>
      <c r="P48" s="29">
        <f t="shared" si="32"/>
        <v>4555.1479351408325</v>
      </c>
      <c r="Q48" s="29">
        <f t="shared" si="32"/>
        <v>4677.8404998296319</v>
      </c>
      <c r="R48" s="29">
        <f t="shared" si="32"/>
        <v>4793.5641194715045</v>
      </c>
    </row>
    <row r="49" spans="1:18" s="40" customFormat="1" outlineLevel="1" x14ac:dyDescent="0.3">
      <c r="A49" s="4"/>
      <c r="B49" s="4"/>
      <c r="C49" s="9"/>
      <c r="D49" s="4"/>
    </row>
    <row r="50" spans="1:18" s="40" customFormat="1" outlineLevel="1" x14ac:dyDescent="0.3">
      <c r="A50" s="4"/>
      <c r="B50" s="4"/>
      <c r="C50" s="44" t="s">
        <v>109</v>
      </c>
      <c r="D50" s="4"/>
      <c r="E50" s="40">
        <f>-E133/E132</f>
        <v>0.22483221476510068</v>
      </c>
      <c r="F50" s="40">
        <f t="shared" ref="F50:H50" si="33">-F133/F132</f>
        <v>0.23253047873922095</v>
      </c>
      <c r="G50" s="40">
        <f t="shared" si="33"/>
        <v>0.17126334519572953</v>
      </c>
      <c r="H50" s="40">
        <f t="shared" si="33"/>
        <v>0.1850907029478458</v>
      </c>
      <c r="I50" s="41">
        <f>AVERAGE(E50:H50)</f>
        <v>0.20342918541197424</v>
      </c>
      <c r="J50" s="41">
        <f>I50</f>
        <v>0.20342918541197424</v>
      </c>
      <c r="K50" s="41">
        <f t="shared" ref="K50:R50" si="34">J50</f>
        <v>0.20342918541197424</v>
      </c>
      <c r="L50" s="41">
        <f t="shared" si="34"/>
        <v>0.20342918541197424</v>
      </c>
      <c r="M50" s="41">
        <f t="shared" si="34"/>
        <v>0.20342918541197424</v>
      </c>
      <c r="N50" s="41">
        <f t="shared" si="34"/>
        <v>0.20342918541197424</v>
      </c>
      <c r="O50" s="41">
        <f t="shared" si="34"/>
        <v>0.20342918541197424</v>
      </c>
      <c r="P50" s="41">
        <f t="shared" si="34"/>
        <v>0.20342918541197424</v>
      </c>
      <c r="Q50" s="41">
        <f t="shared" si="34"/>
        <v>0.20342918541197424</v>
      </c>
      <c r="R50" s="41">
        <f t="shared" si="34"/>
        <v>0.20342918541197424</v>
      </c>
    </row>
    <row r="51" spans="1:18" s="40" customFormat="1" outlineLevel="1" x14ac:dyDescent="0.3">
      <c r="A51" s="4"/>
      <c r="B51" s="4"/>
      <c r="C51" s="9"/>
      <c r="D51" s="4"/>
    </row>
    <row r="52" spans="1:18" s="40" customFormat="1" outlineLevel="1" x14ac:dyDescent="0.3">
      <c r="A52" s="4"/>
      <c r="B52" s="35" t="s">
        <v>144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</row>
    <row r="53" spans="1:18" s="40" customFormat="1" outlineLevel="1" x14ac:dyDescent="0.3">
      <c r="A53" s="4"/>
      <c r="B53" s="4"/>
      <c r="C53" s="9" t="s">
        <v>132</v>
      </c>
      <c r="D53" s="4"/>
      <c r="E53" s="40">
        <f>E143/E$120</f>
        <v>2.3592234597582716E-2</v>
      </c>
      <c r="F53" s="40">
        <f t="shared" ref="F53:H53" si="35">F143/F$120</f>
        <v>2.1713535298646017E-2</v>
      </c>
      <c r="G53" s="40">
        <f t="shared" si="35"/>
        <v>2.1104084474355998E-2</v>
      </c>
      <c r="H53" s="40">
        <f t="shared" si="35"/>
        <v>2.2669940239312548E-2</v>
      </c>
      <c r="I53" s="41">
        <f>AVERAGE(E53:H53)</f>
        <v>2.2269948652474322E-2</v>
      </c>
      <c r="J53" s="41">
        <f>I53</f>
        <v>2.2269948652474322E-2</v>
      </c>
      <c r="K53" s="41">
        <f t="shared" ref="K53:R53" si="36">J53</f>
        <v>2.2269948652474322E-2</v>
      </c>
      <c r="L53" s="41">
        <f t="shared" si="36"/>
        <v>2.2269948652474322E-2</v>
      </c>
      <c r="M53" s="41">
        <f t="shared" si="36"/>
        <v>2.2269948652474322E-2</v>
      </c>
      <c r="N53" s="41">
        <f t="shared" si="36"/>
        <v>2.2269948652474322E-2</v>
      </c>
      <c r="O53" s="41">
        <f t="shared" si="36"/>
        <v>2.2269948652474322E-2</v>
      </c>
      <c r="P53" s="41">
        <f t="shared" si="36"/>
        <v>2.2269948652474322E-2</v>
      </c>
      <c r="Q53" s="41">
        <f t="shared" si="36"/>
        <v>2.2269948652474322E-2</v>
      </c>
      <c r="R53" s="41">
        <f t="shared" si="36"/>
        <v>2.2269948652474322E-2</v>
      </c>
    </row>
    <row r="54" spans="1:18" s="40" customFormat="1" outlineLevel="1" x14ac:dyDescent="0.3">
      <c r="A54" s="4"/>
      <c r="B54" s="4"/>
      <c r="C54" s="9" t="s">
        <v>133</v>
      </c>
      <c r="D54" s="4"/>
      <c r="E54" s="40">
        <f t="shared" ref="E54:H54" si="37">E144/E$120</f>
        <v>6.9214791554225344E-2</v>
      </c>
      <c r="F54" s="40">
        <f t="shared" si="37"/>
        <v>6.3668885568084047E-2</v>
      </c>
      <c r="G54" s="40">
        <f t="shared" si="37"/>
        <v>6.0578150382919471E-2</v>
      </c>
      <c r="H54" s="40">
        <f t="shared" si="37"/>
        <v>6.5804206181116695E-2</v>
      </c>
      <c r="I54" s="41">
        <f t="shared" ref="I54:I56" si="38">AVERAGE(E54:H54)</f>
        <v>6.4816508421586386E-2</v>
      </c>
      <c r="J54" s="41">
        <f t="shared" ref="J54:R58" si="39">I54</f>
        <v>6.4816508421586386E-2</v>
      </c>
      <c r="K54" s="41">
        <f t="shared" si="39"/>
        <v>6.4816508421586386E-2</v>
      </c>
      <c r="L54" s="41">
        <f t="shared" si="39"/>
        <v>6.4816508421586386E-2</v>
      </c>
      <c r="M54" s="41">
        <f t="shared" si="39"/>
        <v>6.4816508421586386E-2</v>
      </c>
      <c r="N54" s="41">
        <f t="shared" si="39"/>
        <v>6.4816508421586386E-2</v>
      </c>
      <c r="O54" s="41">
        <f t="shared" si="39"/>
        <v>6.4816508421586386E-2</v>
      </c>
      <c r="P54" s="41">
        <f t="shared" si="39"/>
        <v>6.4816508421586386E-2</v>
      </c>
      <c r="Q54" s="41">
        <f t="shared" si="39"/>
        <v>6.4816508421586386E-2</v>
      </c>
      <c r="R54" s="41">
        <f t="shared" si="39"/>
        <v>6.4816508421586386E-2</v>
      </c>
    </row>
    <row r="55" spans="1:18" s="40" customFormat="1" outlineLevel="1" x14ac:dyDescent="0.3">
      <c r="A55" s="4"/>
      <c r="B55" s="4"/>
      <c r="C55" s="9" t="s">
        <v>134</v>
      </c>
      <c r="D55" s="4"/>
      <c r="E55" s="40">
        <f t="shared" ref="E55:H55" si="40">E145/E$120</f>
        <v>4.2686816152298713E-3</v>
      </c>
      <c r="F55" s="40">
        <f t="shared" si="40"/>
        <v>6.6114205497441467E-3</v>
      </c>
      <c r="G55" s="40">
        <f t="shared" si="40"/>
        <v>4.7864933859364123E-3</v>
      </c>
      <c r="H55" s="40">
        <f t="shared" si="40"/>
        <v>4.9508289603259186E-3</v>
      </c>
      <c r="I55" s="41">
        <f t="shared" si="38"/>
        <v>5.1543561278090868E-3</v>
      </c>
      <c r="J55" s="41">
        <f t="shared" si="39"/>
        <v>5.1543561278090868E-3</v>
      </c>
      <c r="K55" s="41">
        <f t="shared" si="39"/>
        <v>5.1543561278090868E-3</v>
      </c>
      <c r="L55" s="41">
        <f t="shared" si="39"/>
        <v>5.1543561278090868E-3</v>
      </c>
      <c r="M55" s="41">
        <f t="shared" si="39"/>
        <v>5.1543561278090868E-3</v>
      </c>
      <c r="N55" s="41">
        <f t="shared" si="39"/>
        <v>5.1543561278090868E-3</v>
      </c>
      <c r="O55" s="41">
        <f t="shared" si="39"/>
        <v>5.1543561278090868E-3</v>
      </c>
      <c r="P55" s="41">
        <f t="shared" si="39"/>
        <v>5.1543561278090868E-3</v>
      </c>
      <c r="Q55" s="41">
        <f t="shared" si="39"/>
        <v>5.1543561278090868E-3</v>
      </c>
      <c r="R55" s="41">
        <f t="shared" si="39"/>
        <v>5.1543561278090868E-3</v>
      </c>
    </row>
    <row r="56" spans="1:18" s="40" customFormat="1" outlineLevel="1" x14ac:dyDescent="0.3">
      <c r="A56" s="4"/>
      <c r="B56" s="4"/>
      <c r="C56" s="9" t="s">
        <v>135</v>
      </c>
      <c r="D56" s="4"/>
      <c r="E56" s="40">
        <f>-E161/E121</f>
        <v>6.6698883274327922E-2</v>
      </c>
      <c r="F56" s="40">
        <f t="shared" ref="F56:H56" si="41">-F161/F121</f>
        <v>6.5735600960592097E-2</v>
      </c>
      <c r="G56" s="40">
        <f t="shared" si="41"/>
        <v>6.6302099830448477E-2</v>
      </c>
      <c r="H56" s="40">
        <f t="shared" si="41"/>
        <v>6.144802941633435E-2</v>
      </c>
      <c r="I56" s="41">
        <f t="shared" si="38"/>
        <v>6.5046153370425713E-2</v>
      </c>
      <c r="J56" s="41">
        <f t="shared" si="39"/>
        <v>6.5046153370425713E-2</v>
      </c>
      <c r="K56" s="41">
        <f t="shared" si="39"/>
        <v>6.5046153370425713E-2</v>
      </c>
      <c r="L56" s="41">
        <f t="shared" si="39"/>
        <v>6.5046153370425713E-2</v>
      </c>
      <c r="M56" s="41">
        <f t="shared" si="39"/>
        <v>6.5046153370425713E-2</v>
      </c>
      <c r="N56" s="41">
        <f t="shared" si="39"/>
        <v>6.5046153370425713E-2</v>
      </c>
      <c r="O56" s="41">
        <f t="shared" si="39"/>
        <v>6.5046153370425713E-2</v>
      </c>
      <c r="P56" s="41">
        <f t="shared" si="39"/>
        <v>6.5046153370425713E-2</v>
      </c>
      <c r="Q56" s="41">
        <f t="shared" si="39"/>
        <v>6.5046153370425713E-2</v>
      </c>
      <c r="R56" s="41">
        <f t="shared" si="39"/>
        <v>6.5046153370425713E-2</v>
      </c>
    </row>
    <row r="57" spans="1:18" s="40" customFormat="1" outlineLevel="1" x14ac:dyDescent="0.3">
      <c r="A57" s="4"/>
      <c r="B57" s="4"/>
      <c r="C57" s="9" t="s">
        <v>136</v>
      </c>
      <c r="D57" s="4"/>
      <c r="E57" s="40">
        <f>-E162/E124</f>
        <v>5.5073557148245945E-2</v>
      </c>
      <c r="F57" s="40">
        <f t="shared" ref="F57:H57" si="42">-F162/F124</f>
        <v>5.7673469387755104E-2</v>
      </c>
      <c r="G57" s="40">
        <f t="shared" si="42"/>
        <v>7.4817911476964191E-2</v>
      </c>
      <c r="H57" s="40">
        <f t="shared" si="42"/>
        <v>7.3213686682321366E-2</v>
      </c>
      <c r="I57" s="41">
        <f>AVERAGE(G57:H57)</f>
        <v>7.4015799079642786E-2</v>
      </c>
      <c r="J57" s="41">
        <f t="shared" si="39"/>
        <v>7.4015799079642786E-2</v>
      </c>
      <c r="K57" s="41">
        <f t="shared" si="39"/>
        <v>7.4015799079642786E-2</v>
      </c>
      <c r="L57" s="41">
        <f t="shared" si="39"/>
        <v>7.4015799079642786E-2</v>
      </c>
      <c r="M57" s="41">
        <f t="shared" si="39"/>
        <v>7.4015799079642786E-2</v>
      </c>
      <c r="N57" s="41">
        <f t="shared" si="39"/>
        <v>7.4015799079642786E-2</v>
      </c>
      <c r="O57" s="41">
        <f t="shared" si="39"/>
        <v>7.4015799079642786E-2</v>
      </c>
      <c r="P57" s="41">
        <f t="shared" si="39"/>
        <v>7.4015799079642786E-2</v>
      </c>
      <c r="Q57" s="41">
        <f t="shared" si="39"/>
        <v>7.4015799079642786E-2</v>
      </c>
      <c r="R57" s="41">
        <f t="shared" si="39"/>
        <v>7.4015799079642786E-2</v>
      </c>
    </row>
    <row r="58" spans="1:18" s="40" customFormat="1" outlineLevel="1" x14ac:dyDescent="0.3">
      <c r="A58" s="4"/>
      <c r="B58" s="4"/>
      <c r="C58" s="9" t="s">
        <v>137</v>
      </c>
      <c r="D58" s="4"/>
      <c r="E58" s="40">
        <f>E163/E120</f>
        <v>3.4051322309994601E-2</v>
      </c>
      <c r="F58" s="40">
        <f t="shared" ref="F58:H58" si="43">F163/F120</f>
        <v>4.2989328140802127E-2</v>
      </c>
      <c r="G58" s="40">
        <f t="shared" si="43"/>
        <v>4.5435425852866092E-2</v>
      </c>
      <c r="H58" s="40">
        <f t="shared" si="43"/>
        <v>4.3174735933305453E-2</v>
      </c>
      <c r="I58" s="41">
        <f>AVERAGE(G58:H58)</f>
        <v>4.4305080893085769E-2</v>
      </c>
      <c r="J58" s="41">
        <f t="shared" si="39"/>
        <v>4.4305080893085769E-2</v>
      </c>
      <c r="K58" s="41">
        <f t="shared" si="39"/>
        <v>4.4305080893085769E-2</v>
      </c>
      <c r="L58" s="41">
        <f t="shared" si="39"/>
        <v>4.4305080893085769E-2</v>
      </c>
      <c r="M58" s="41">
        <f t="shared" si="39"/>
        <v>4.4305080893085769E-2</v>
      </c>
      <c r="N58" s="41">
        <f t="shared" si="39"/>
        <v>4.4305080893085769E-2</v>
      </c>
      <c r="O58" s="41">
        <f t="shared" si="39"/>
        <v>4.4305080893085769E-2</v>
      </c>
      <c r="P58" s="41">
        <f t="shared" si="39"/>
        <v>4.4305080893085769E-2</v>
      </c>
      <c r="Q58" s="41">
        <f t="shared" si="39"/>
        <v>4.4305080893085769E-2</v>
      </c>
      <c r="R58" s="41">
        <f t="shared" si="39"/>
        <v>4.4305080893085769E-2</v>
      </c>
    </row>
    <row r="59" spans="1:18" outlineLevel="1" x14ac:dyDescent="0.3"/>
    <row r="60" spans="1:18" s="40" customFormat="1" outlineLevel="1" x14ac:dyDescent="0.3">
      <c r="A60" s="4"/>
      <c r="B60" s="35" t="s">
        <v>145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s="40" customFormat="1" outlineLevel="1" x14ac:dyDescent="0.3">
      <c r="A61" s="4"/>
      <c r="B61" s="4"/>
      <c r="C61" s="9" t="s">
        <v>146</v>
      </c>
      <c r="D61" s="4"/>
      <c r="E61" s="40">
        <f>E192/E133</f>
        <v>0.11940298507462686</v>
      </c>
      <c r="F61" s="40">
        <f t="shared" ref="F61:H61" si="44">F192/F133</f>
        <v>-9.3350383631713552E-2</v>
      </c>
      <c r="G61" s="40">
        <f t="shared" si="44"/>
        <v>8.0519480519480519E-2</v>
      </c>
      <c r="H61" s="40">
        <f t="shared" si="44"/>
        <v>-0.24655436447166923</v>
      </c>
      <c r="I61" s="41">
        <f t="shared" ref="I61" si="45">AVERAGE(E61:H61)</f>
        <v>-3.4995570627318853E-2</v>
      </c>
      <c r="J61" s="41">
        <f t="shared" ref="J61:R61" si="46">I61</f>
        <v>-3.4995570627318853E-2</v>
      </c>
      <c r="K61" s="41">
        <f t="shared" si="46"/>
        <v>-3.4995570627318853E-2</v>
      </c>
      <c r="L61" s="41">
        <f t="shared" si="46"/>
        <v>-3.4995570627318853E-2</v>
      </c>
      <c r="M61" s="41">
        <f t="shared" si="46"/>
        <v>-3.4995570627318853E-2</v>
      </c>
      <c r="N61" s="41">
        <f t="shared" si="46"/>
        <v>-3.4995570627318853E-2</v>
      </c>
      <c r="O61" s="41">
        <f t="shared" si="46"/>
        <v>-3.4995570627318853E-2</v>
      </c>
      <c r="P61" s="41">
        <f t="shared" si="46"/>
        <v>-3.4995570627318853E-2</v>
      </c>
      <c r="Q61" s="41">
        <f t="shared" si="46"/>
        <v>-3.4995570627318853E-2</v>
      </c>
      <c r="R61" s="41">
        <f t="shared" si="46"/>
        <v>-3.4995570627318853E-2</v>
      </c>
    </row>
    <row r="62" spans="1:18" s="40" customFormat="1" outlineLevel="1" x14ac:dyDescent="0.3">
      <c r="A62" s="4"/>
      <c r="B62" s="4"/>
      <c r="C62" s="42" t="s">
        <v>147</v>
      </c>
      <c r="D62" s="4"/>
      <c r="I62" s="43">
        <f>SUM(H143:H145)-SUM(I143:I145)</f>
        <v>-918.53594608721505</v>
      </c>
      <c r="J62" s="43">
        <f t="shared" ref="J62:R62" si="47">SUM(I143:I145)-SUM(J143:J145)</f>
        <v>-946.09432255063621</v>
      </c>
      <c r="K62" s="43">
        <f t="shared" si="47"/>
        <v>-974.71790050185882</v>
      </c>
      <c r="L62" s="43">
        <f t="shared" si="47"/>
        <v>-869.9907058916142</v>
      </c>
      <c r="M62" s="43">
        <f t="shared" si="47"/>
        <v>-697.53085798267421</v>
      </c>
      <c r="N62" s="43">
        <f t="shared" si="47"/>
        <v>-633.3886321559221</v>
      </c>
      <c r="O62" s="43">
        <f t="shared" si="47"/>
        <v>-600.49199527646124</v>
      </c>
      <c r="P62" s="43">
        <f t="shared" si="47"/>
        <v>-562.10814610282978</v>
      </c>
      <c r="Q62" s="43">
        <f t="shared" si="47"/>
        <v>-532.97880491929027</v>
      </c>
      <c r="R62" s="43">
        <f t="shared" si="47"/>
        <v>-499.84901750374775</v>
      </c>
    </row>
    <row r="63" spans="1:18" s="40" customFormat="1" outlineLevel="1" x14ac:dyDescent="0.3">
      <c r="A63" s="4"/>
      <c r="B63" s="4"/>
      <c r="C63" s="42" t="s">
        <v>148</v>
      </c>
      <c r="D63" s="4"/>
      <c r="I63" s="24">
        <f>SUM(I161:I163)-SUM(H161:H163)</f>
        <v>1810.1245404458568</v>
      </c>
      <c r="J63" s="24">
        <f t="shared" ref="J63:R63" si="48">SUM(J161:J163)-SUM(I161:I163)</f>
        <v>1083.7593865175331</v>
      </c>
      <c r="K63" s="24">
        <f t="shared" si="48"/>
        <v>1115.6017553339007</v>
      </c>
      <c r="L63" s="24">
        <f t="shared" si="48"/>
        <v>993.46937334590257</v>
      </c>
      <c r="M63" s="24">
        <f t="shared" si="48"/>
        <v>793.4019954612595</v>
      </c>
      <c r="N63" s="24">
        <f t="shared" si="48"/>
        <v>718.5528835950463</v>
      </c>
      <c r="O63" s="24">
        <f t="shared" si="48"/>
        <v>679.83222771688816</v>
      </c>
      <c r="P63" s="24">
        <f t="shared" si="48"/>
        <v>634.85541998533517</v>
      </c>
      <c r="Q63" s="24">
        <f t="shared" si="48"/>
        <v>600.60480914092477</v>
      </c>
      <c r="R63" s="24">
        <f t="shared" si="48"/>
        <v>561.80820391875022</v>
      </c>
    </row>
    <row r="64" spans="1:18" s="40" customFormat="1" outlineLevel="1" x14ac:dyDescent="0.3">
      <c r="A64" s="4"/>
      <c r="B64" s="4"/>
      <c r="C64" s="48" t="s">
        <v>436</v>
      </c>
      <c r="D64" s="9"/>
      <c r="I64" s="24">
        <f>H143-I143</f>
        <v>-204.84895257155677</v>
      </c>
      <c r="J64" s="24">
        <f t="shared" ref="J64:R64" si="49">I143-J143</f>
        <v>-228.41810747580303</v>
      </c>
      <c r="K64" s="24">
        <f t="shared" si="49"/>
        <v>-235.32877520624425</v>
      </c>
      <c r="L64" s="24">
        <f t="shared" si="49"/>
        <v>-210.04420576751136</v>
      </c>
      <c r="M64" s="24">
        <f t="shared" si="49"/>
        <v>-168.40675891261071</v>
      </c>
      <c r="N64" s="24">
        <f t="shared" si="49"/>
        <v>-152.92072809791171</v>
      </c>
      <c r="O64" s="24">
        <f t="shared" si="49"/>
        <v>-144.97840420987905</v>
      </c>
      <c r="P64" s="24">
        <f t="shared" si="49"/>
        <v>-135.71128783797212</v>
      </c>
      <c r="Q64" s="24">
        <f t="shared" si="49"/>
        <v>-128.67851232440262</v>
      </c>
      <c r="R64" s="24">
        <f t="shared" si="49"/>
        <v>-120.67989827275869</v>
      </c>
    </row>
    <row r="65" spans="1:18" s="40" customFormat="1" outlineLevel="1" x14ac:dyDescent="0.3">
      <c r="A65" s="4"/>
      <c r="B65" s="4"/>
      <c r="C65" s="48" t="s">
        <v>437</v>
      </c>
      <c r="I65" s="24">
        <f t="shared" ref="I65:R66" si="50">H144-I144</f>
        <v>-622.37501429442455</v>
      </c>
      <c r="J65" s="24">
        <f t="shared" si="50"/>
        <v>-664.80908500897021</v>
      </c>
      <c r="K65" s="24">
        <f t="shared" si="50"/>
        <v>-684.92252847212694</v>
      </c>
      <c r="L65" s="24">
        <f t="shared" si="50"/>
        <v>-611.33199022992267</v>
      </c>
      <c r="M65" s="24">
        <f t="shared" si="50"/>
        <v>-490.14653233601166</v>
      </c>
      <c r="N65" s="24">
        <f t="shared" si="50"/>
        <v>-445.07456282312342</v>
      </c>
      <c r="O65" s="24">
        <f t="shared" si="50"/>
        <v>-421.95849231891771</v>
      </c>
      <c r="P65" s="24">
        <f t="shared" si="50"/>
        <v>-394.98662382757357</v>
      </c>
      <c r="Q65" s="24">
        <f t="shared" si="50"/>
        <v>-374.51778663284676</v>
      </c>
      <c r="R65" s="24">
        <f t="shared" si="50"/>
        <v>-351.23788405517553</v>
      </c>
    </row>
    <row r="66" spans="1:18" s="40" customFormat="1" outlineLevel="1" x14ac:dyDescent="0.3">
      <c r="A66" s="4"/>
      <c r="B66" s="4"/>
      <c r="C66" s="48" t="s">
        <v>438</v>
      </c>
      <c r="I66" s="24">
        <f t="shared" si="50"/>
        <v>-91.311979221233173</v>
      </c>
      <c r="J66" s="24">
        <f t="shared" si="50"/>
        <v>-52.867130065863421</v>
      </c>
      <c r="K66" s="24">
        <f t="shared" si="50"/>
        <v>-54.466596823488544</v>
      </c>
      <c r="L66" s="24">
        <f t="shared" si="50"/>
        <v>-48.614509894178696</v>
      </c>
      <c r="M66" s="24">
        <f t="shared" si="50"/>
        <v>-38.977566734050015</v>
      </c>
      <c r="N66" s="24">
        <f t="shared" si="50"/>
        <v>-35.393341234889704</v>
      </c>
      <c r="O66" s="24">
        <f t="shared" si="50"/>
        <v>-33.555098747663578</v>
      </c>
      <c r="P66" s="24">
        <f t="shared" si="50"/>
        <v>-31.410234437284998</v>
      </c>
      <c r="Q66" s="24">
        <f t="shared" si="50"/>
        <v>-29.782505962039977</v>
      </c>
      <c r="R66" s="24">
        <f t="shared" si="50"/>
        <v>-27.931235175814436</v>
      </c>
    </row>
    <row r="67" spans="1:18" s="40" customFormat="1" outlineLevel="1" x14ac:dyDescent="0.3">
      <c r="A67" s="4"/>
      <c r="B67" s="4"/>
      <c r="C67" s="134" t="s">
        <v>439</v>
      </c>
      <c r="I67" s="24">
        <f>I161-H161</f>
        <v>966.15923533044588</v>
      </c>
      <c r="J67" s="24">
        <f t="shared" ref="J67:R67" si="51">J161-I161</f>
        <v>517.91222672033109</v>
      </c>
      <c r="K67" s="24">
        <f t="shared" si="51"/>
        <v>533.58138426632831</v>
      </c>
      <c r="L67" s="24">
        <f t="shared" si="51"/>
        <v>476.25148251558312</v>
      </c>
      <c r="M67" s="24">
        <f t="shared" si="51"/>
        <v>381.8432805832781</v>
      </c>
      <c r="N67" s="24">
        <f t="shared" si="51"/>
        <v>346.73045703818752</v>
      </c>
      <c r="O67" s="24">
        <f t="shared" si="51"/>
        <v>328.72213582564837</v>
      </c>
      <c r="P67" s="24">
        <f t="shared" si="51"/>
        <v>307.70999747773203</v>
      </c>
      <c r="Q67" s="24">
        <f t="shared" si="51"/>
        <v>291.76397434275532</v>
      </c>
      <c r="R67" s="24">
        <f t="shared" si="51"/>
        <v>273.62802155012469</v>
      </c>
    </row>
    <row r="68" spans="1:18" s="40" customFormat="1" outlineLevel="1" x14ac:dyDescent="0.3">
      <c r="A68" s="4"/>
      <c r="B68" s="4"/>
      <c r="C68" s="134" t="s">
        <v>440</v>
      </c>
      <c r="I68" s="24">
        <f t="shared" ref="I68:R69" si="52">I162-H162</f>
        <v>150.86604329897864</v>
      </c>
      <c r="J68" s="24">
        <f t="shared" si="52"/>
        <v>111.41940663592004</v>
      </c>
      <c r="K68" s="24">
        <f t="shared" si="52"/>
        <v>113.84414916932201</v>
      </c>
      <c r="L68" s="24">
        <f t="shared" si="52"/>
        <v>99.344204955449641</v>
      </c>
      <c r="M68" s="24">
        <f t="shared" si="52"/>
        <v>76.520893596941733</v>
      </c>
      <c r="N68" s="24">
        <f t="shared" si="52"/>
        <v>67.593380754598002</v>
      </c>
      <c r="O68" s="24">
        <f t="shared" si="52"/>
        <v>62.681949262563649</v>
      </c>
      <c r="P68" s="24">
        <f t="shared" si="52"/>
        <v>57.153799284974866</v>
      </c>
      <c r="Q68" s="24">
        <f t="shared" si="52"/>
        <v>52.840608362930197</v>
      </c>
      <c r="R68" s="24">
        <f t="shared" si="52"/>
        <v>48.092845905460308</v>
      </c>
    </row>
    <row r="69" spans="1:18" s="40" customFormat="1" outlineLevel="1" x14ac:dyDescent="0.3">
      <c r="A69" s="4"/>
      <c r="B69" s="4"/>
      <c r="C69" s="134" t="s">
        <v>441</v>
      </c>
      <c r="I69" s="24">
        <f t="shared" si="52"/>
        <v>693.09926181643368</v>
      </c>
      <c r="J69" s="24">
        <f t="shared" si="52"/>
        <v>454.42775316128154</v>
      </c>
      <c r="K69" s="24">
        <f t="shared" si="52"/>
        <v>468.17622189825033</v>
      </c>
      <c r="L69" s="24">
        <f t="shared" si="52"/>
        <v>417.87368587486981</v>
      </c>
      <c r="M69" s="24">
        <f t="shared" si="52"/>
        <v>335.03782128103921</v>
      </c>
      <c r="N69" s="24">
        <f t="shared" si="52"/>
        <v>304.22904580225804</v>
      </c>
      <c r="O69" s="24">
        <f t="shared" si="52"/>
        <v>288.42814262867796</v>
      </c>
      <c r="P69" s="24">
        <f t="shared" si="52"/>
        <v>269.99162322263146</v>
      </c>
      <c r="Q69" s="24">
        <f t="shared" si="52"/>
        <v>256.0002264352388</v>
      </c>
      <c r="R69" s="24">
        <f t="shared" si="52"/>
        <v>240.0873364631625</v>
      </c>
    </row>
    <row r="70" spans="1:18" s="40" customFormat="1" outlineLevel="1" x14ac:dyDescent="0.3">
      <c r="A70" s="4"/>
      <c r="B70" s="4"/>
      <c r="C70" s="9" t="s">
        <v>149</v>
      </c>
      <c r="D70" s="4"/>
      <c r="I70" s="24">
        <f t="shared" ref="I70:R70" si="53">I63+I62</f>
        <v>891.58859435864179</v>
      </c>
      <c r="J70" s="24">
        <f t="shared" si="53"/>
        <v>137.66506396689692</v>
      </c>
      <c r="K70" s="24">
        <f t="shared" si="53"/>
        <v>140.88385483204183</v>
      </c>
      <c r="L70" s="24">
        <f t="shared" si="53"/>
        <v>123.47866745428837</v>
      </c>
      <c r="M70" s="24">
        <f t="shared" si="53"/>
        <v>95.871137478585297</v>
      </c>
      <c r="N70" s="24">
        <f t="shared" si="53"/>
        <v>85.1642514391242</v>
      </c>
      <c r="O70" s="24">
        <f t="shared" si="53"/>
        <v>79.340232440426917</v>
      </c>
      <c r="P70" s="24">
        <f t="shared" si="53"/>
        <v>72.747273882505397</v>
      </c>
      <c r="Q70" s="24">
        <f t="shared" si="53"/>
        <v>67.626004221634503</v>
      </c>
      <c r="R70" s="24">
        <f t="shared" si="53"/>
        <v>61.959186415002478</v>
      </c>
    </row>
    <row r="71" spans="1:18" s="40" customFormat="1" outlineLevel="1" x14ac:dyDescent="0.3">
      <c r="A71" s="4"/>
      <c r="B71" s="4"/>
      <c r="C71" s="9" t="s">
        <v>150</v>
      </c>
      <c r="D71" s="4"/>
      <c r="E71" s="40">
        <f>-E197/E120</f>
        <v>2.5579379487431105E-2</v>
      </c>
      <c r="F71" s="40">
        <f t="shared" ref="F71:H71" si="54">-F197/F120</f>
        <v>2.1622967893855E-2</v>
      </c>
      <c r="G71" s="40">
        <f t="shared" si="54"/>
        <v>1.8957414713390578E-2</v>
      </c>
      <c r="H71" s="40">
        <f t="shared" si="54"/>
        <v>2.0761105640167817E-2</v>
      </c>
      <c r="I71" s="41">
        <f t="shared" ref="I71" si="55">AVERAGE(E71:H71)</f>
        <v>2.1730216933711126E-2</v>
      </c>
      <c r="J71" s="41">
        <f t="shared" ref="J71:R71" si="56">I71</f>
        <v>2.1730216933711126E-2</v>
      </c>
      <c r="K71" s="41">
        <f t="shared" si="56"/>
        <v>2.1730216933711126E-2</v>
      </c>
      <c r="L71" s="41">
        <f t="shared" si="56"/>
        <v>2.1730216933711126E-2</v>
      </c>
      <c r="M71" s="41">
        <f t="shared" si="56"/>
        <v>2.1730216933711126E-2</v>
      </c>
      <c r="N71" s="41">
        <f t="shared" si="56"/>
        <v>2.1730216933711126E-2</v>
      </c>
      <c r="O71" s="41">
        <f t="shared" si="56"/>
        <v>2.1730216933711126E-2</v>
      </c>
      <c r="P71" s="41">
        <f t="shared" si="56"/>
        <v>2.1730216933711126E-2</v>
      </c>
      <c r="Q71" s="41">
        <f t="shared" si="56"/>
        <v>2.1730216933711126E-2</v>
      </c>
      <c r="R71" s="41">
        <f t="shared" si="56"/>
        <v>2.1730216933711126E-2</v>
      </c>
    </row>
    <row r="72" spans="1:18" s="40" customFormat="1" outlineLevel="1" x14ac:dyDescent="0.3">
      <c r="A72" s="4"/>
      <c r="B72" s="4"/>
      <c r="C72" s="9"/>
      <c r="D72" s="4"/>
    </row>
    <row r="73" spans="1:18" s="40" customFormat="1" outlineLevel="1" x14ac:dyDescent="0.3">
      <c r="A73" s="4"/>
      <c r="B73" s="35" t="s">
        <v>110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</row>
    <row r="74" spans="1:18" s="5" customFormat="1" outlineLevel="1" x14ac:dyDescent="0.3">
      <c r="C74" s="46" t="s">
        <v>122</v>
      </c>
      <c r="F74" s="26">
        <f>E77</f>
        <v>7102</v>
      </c>
      <c r="G74" s="26">
        <f t="shared" ref="G74:R74" si="57">F77</f>
        <v>7174</v>
      </c>
      <c r="H74" s="26">
        <f t="shared" si="57"/>
        <v>7076</v>
      </c>
      <c r="I74" s="26">
        <f t="shared" si="57"/>
        <v>7034</v>
      </c>
      <c r="J74" s="26">
        <f t="shared" si="57"/>
        <v>7100.0699156100127</v>
      </c>
      <c r="K74" s="26">
        <f t="shared" si="57"/>
        <v>7200.2893955399077</v>
      </c>
      <c r="L74" s="26">
        <f t="shared" si="57"/>
        <v>7333.1900793181885</v>
      </c>
      <c r="M74" s="26">
        <f t="shared" si="57"/>
        <v>7491.8799450436609</v>
      </c>
      <c r="N74" s="26">
        <f t="shared" si="57"/>
        <v>7667.190354497292</v>
      </c>
      <c r="O74" s="26">
        <f t="shared" si="57"/>
        <v>7855.1643619869783</v>
      </c>
      <c r="P74" s="26">
        <f t="shared" si="57"/>
        <v>8053.4504934971737</v>
      </c>
      <c r="Q74" s="26">
        <f t="shared" si="57"/>
        <v>8259.6523576726577</v>
      </c>
      <c r="R74" s="26">
        <f t="shared" si="57"/>
        <v>8471.9443479911115</v>
      </c>
    </row>
    <row r="75" spans="1:18" outlineLevel="1" x14ac:dyDescent="0.3">
      <c r="C75" s="42" t="s">
        <v>114</v>
      </c>
      <c r="F75" s="24">
        <f>-F83</f>
        <v>-575.71600000000001</v>
      </c>
      <c r="G75" s="24">
        <f t="shared" ref="G75:H75" si="58">-G83</f>
        <v>-543.69200000000001</v>
      </c>
      <c r="H75" s="24">
        <f t="shared" si="58"/>
        <v>-541.80799999999999</v>
      </c>
      <c r="I75" s="24">
        <f>-I83</f>
        <v>-547.29253924671582</v>
      </c>
      <c r="J75" s="24">
        <f t="shared" ref="J75:R75" si="59">-J83</f>
        <v>-552.43322333571496</v>
      </c>
      <c r="K75" s="24">
        <f t="shared" si="59"/>
        <v>-560.23097335744046</v>
      </c>
      <c r="L75" s="24">
        <f t="shared" si="59"/>
        <v>-570.57154098505498</v>
      </c>
      <c r="M75" s="24">
        <f t="shared" si="59"/>
        <v>-582.9186805309198</v>
      </c>
      <c r="N75" s="24">
        <f t="shared" si="59"/>
        <v>-596.55901023610318</v>
      </c>
      <c r="O75" s="24">
        <f t="shared" si="59"/>
        <v>-611.1846530952746</v>
      </c>
      <c r="P75" s="24">
        <f t="shared" si="59"/>
        <v>-626.61264860446181</v>
      </c>
      <c r="Q75" s="24">
        <f t="shared" si="59"/>
        <v>-642.65654138836953</v>
      </c>
      <c r="R75" s="24">
        <f t="shared" si="59"/>
        <v>-659.17428697311868</v>
      </c>
    </row>
    <row r="76" spans="1:18" outlineLevel="1" x14ac:dyDescent="0.3">
      <c r="C76" s="42" t="s">
        <v>113</v>
      </c>
      <c r="F76" s="24">
        <f>F77-F74-F75</f>
        <v>647.71600000000001</v>
      </c>
      <c r="G76" s="24">
        <f t="shared" ref="G76:H76" si="60">G77-G74-G75</f>
        <v>445.69200000000001</v>
      </c>
      <c r="H76" s="24">
        <f t="shared" si="60"/>
        <v>499.80799999999999</v>
      </c>
      <c r="I76" s="43">
        <f t="shared" ref="I76:R76" si="61">I85*I120</f>
        <v>613.36245485672816</v>
      </c>
      <c r="J76" s="43">
        <f t="shared" si="61"/>
        <v>652.65270326560983</v>
      </c>
      <c r="K76" s="43">
        <f t="shared" si="61"/>
        <v>693.13165713572118</v>
      </c>
      <c r="L76" s="43">
        <f t="shared" si="61"/>
        <v>729.26140671052656</v>
      </c>
      <c r="M76" s="43">
        <f t="shared" si="61"/>
        <v>758.22908998455091</v>
      </c>
      <c r="N76" s="43">
        <f t="shared" si="61"/>
        <v>784.53301772578948</v>
      </c>
      <c r="O76" s="43">
        <f t="shared" si="61"/>
        <v>809.47078460546993</v>
      </c>
      <c r="P76" s="43">
        <f t="shared" si="61"/>
        <v>832.81451277994495</v>
      </c>
      <c r="Q76" s="43">
        <f t="shared" si="61"/>
        <v>854.94853170682302</v>
      </c>
      <c r="R76" s="43">
        <f t="shared" si="61"/>
        <v>875.70670728884227</v>
      </c>
    </row>
    <row r="77" spans="1:18" s="5" customFormat="1" outlineLevel="1" x14ac:dyDescent="0.3">
      <c r="C77" s="46" t="s">
        <v>123</v>
      </c>
      <c r="E77" s="26">
        <f>E168</f>
        <v>7102</v>
      </c>
      <c r="F77" s="26">
        <f>F168</f>
        <v>7174</v>
      </c>
      <c r="G77" s="26">
        <f>G168</f>
        <v>7076</v>
      </c>
      <c r="H77" s="26">
        <f>H168</f>
        <v>7034</v>
      </c>
      <c r="I77" s="26">
        <f>SUM(I74:I76)</f>
        <v>7100.0699156100127</v>
      </c>
      <c r="J77" s="26">
        <f t="shared" ref="J77:R77" si="62">SUM(J74:J76)</f>
        <v>7200.2893955399077</v>
      </c>
      <c r="K77" s="26">
        <f t="shared" si="62"/>
        <v>7333.1900793181885</v>
      </c>
      <c r="L77" s="26">
        <f t="shared" si="62"/>
        <v>7491.8799450436609</v>
      </c>
      <c r="M77" s="26">
        <f t="shared" si="62"/>
        <v>7667.190354497292</v>
      </c>
      <c r="N77" s="26">
        <f t="shared" si="62"/>
        <v>7855.1643619869783</v>
      </c>
      <c r="O77" s="26">
        <f t="shared" si="62"/>
        <v>8053.4504934971737</v>
      </c>
      <c r="P77" s="26">
        <f t="shared" si="62"/>
        <v>8259.6523576726577</v>
      </c>
      <c r="Q77" s="26">
        <f t="shared" si="62"/>
        <v>8471.9443479911115</v>
      </c>
      <c r="R77" s="26">
        <f t="shared" si="62"/>
        <v>8688.4767683068349</v>
      </c>
    </row>
    <row r="78" spans="1:18" outlineLevel="1" x14ac:dyDescent="0.3"/>
    <row r="79" spans="1:18" outlineLevel="1" x14ac:dyDescent="0.3">
      <c r="C79" s="42" t="s">
        <v>112</v>
      </c>
      <c r="E79" s="24">
        <f>-E125</f>
        <v>884</v>
      </c>
      <c r="F79" s="24">
        <f t="shared" ref="F79:H79" si="63">-F125</f>
        <v>874</v>
      </c>
      <c r="G79" s="24">
        <f t="shared" si="63"/>
        <v>845</v>
      </c>
      <c r="H79" s="24">
        <f t="shared" si="63"/>
        <v>839</v>
      </c>
      <c r="I79" s="24">
        <f>I80*I74</f>
        <v>842.72053924671582</v>
      </c>
      <c r="J79" s="24">
        <f t="shared" ref="J79:R79" si="64">J80*J74</f>
        <v>850.63615979133544</v>
      </c>
      <c r="K79" s="24">
        <f t="shared" si="64"/>
        <v>862.64312797011655</v>
      </c>
      <c r="L79" s="24">
        <f t="shared" si="64"/>
        <v>878.56552431641887</v>
      </c>
      <c r="M79" s="24">
        <f t="shared" si="64"/>
        <v>897.57763822275365</v>
      </c>
      <c r="N79" s="24">
        <f t="shared" si="64"/>
        <v>918.58100512498947</v>
      </c>
      <c r="O79" s="24">
        <f t="shared" si="64"/>
        <v>941.1015562987277</v>
      </c>
      <c r="P79" s="24">
        <f t="shared" si="64"/>
        <v>964.85756933134314</v>
      </c>
      <c r="Q79" s="24">
        <f t="shared" si="64"/>
        <v>989.56194041062122</v>
      </c>
      <c r="R79" s="24">
        <f t="shared" si="64"/>
        <v>1014.9959495887454</v>
      </c>
    </row>
    <row r="80" spans="1:18" outlineLevel="1" x14ac:dyDescent="0.3">
      <c r="C80" s="42" t="s">
        <v>120</v>
      </c>
      <c r="E80" s="24"/>
      <c r="F80" s="40">
        <f>F79/F74</f>
        <v>0.12306392565474514</v>
      </c>
      <c r="G80" s="40">
        <f t="shared" ref="G80:H80" si="65">G79/G74</f>
        <v>0.11778645107332032</v>
      </c>
      <c r="H80" s="40">
        <f t="shared" si="65"/>
        <v>0.11856981345392878</v>
      </c>
      <c r="I80" s="41">
        <f>AVERAGE(F80:H80)</f>
        <v>0.11980673006066474</v>
      </c>
      <c r="J80" s="41">
        <f>I80</f>
        <v>0.11980673006066474</v>
      </c>
      <c r="K80" s="41">
        <f t="shared" ref="K80:R80" si="66">J80</f>
        <v>0.11980673006066474</v>
      </c>
      <c r="L80" s="41">
        <f t="shared" si="66"/>
        <v>0.11980673006066474</v>
      </c>
      <c r="M80" s="41">
        <f t="shared" si="66"/>
        <v>0.11980673006066474</v>
      </c>
      <c r="N80" s="41">
        <f t="shared" si="66"/>
        <v>0.11980673006066474</v>
      </c>
      <c r="O80" s="41">
        <f t="shared" si="66"/>
        <v>0.11980673006066474</v>
      </c>
      <c r="P80" s="41">
        <f t="shared" si="66"/>
        <v>0.11980673006066474</v>
      </c>
      <c r="Q80" s="41">
        <f t="shared" si="66"/>
        <v>0.11980673006066474</v>
      </c>
      <c r="R80" s="41">
        <f t="shared" si="66"/>
        <v>0.11980673006066474</v>
      </c>
    </row>
    <row r="81" spans="2:19" outlineLevel="1" x14ac:dyDescent="0.3">
      <c r="C81" s="42"/>
      <c r="E81" s="24"/>
      <c r="F81" s="24"/>
      <c r="G81" s="24"/>
      <c r="H81" s="24"/>
    </row>
    <row r="82" spans="2:19" outlineLevel="1" x14ac:dyDescent="0.3">
      <c r="C82" s="42" t="s">
        <v>116</v>
      </c>
      <c r="F82" s="29">
        <f>Kroger_Operating_Lease_Discount_Rate*F74</f>
        <v>298.28399999999999</v>
      </c>
      <c r="G82" s="29">
        <f>Kroger_Operating_Lease_Discount_Rate*G74</f>
        <v>301.30799999999999</v>
      </c>
      <c r="H82" s="24">
        <f>Kroger_Operating_Lease_Discount_Rate*H74</f>
        <v>297.19200000000001</v>
      </c>
      <c r="I82" s="24">
        <f t="shared" ref="I82:R82" si="67">I74*Kroger_Operating_Lease_Discount_Rate</f>
        <v>295.428</v>
      </c>
      <c r="J82" s="24">
        <f t="shared" si="67"/>
        <v>298.20293645562055</v>
      </c>
      <c r="K82" s="24">
        <f t="shared" si="67"/>
        <v>302.41215461267615</v>
      </c>
      <c r="L82" s="24">
        <f t="shared" si="67"/>
        <v>307.99398333136395</v>
      </c>
      <c r="M82" s="24">
        <f t="shared" si="67"/>
        <v>314.65895769183379</v>
      </c>
      <c r="N82" s="24">
        <f t="shared" si="67"/>
        <v>322.0219948888863</v>
      </c>
      <c r="O82" s="24">
        <f t="shared" si="67"/>
        <v>329.9169032034531</v>
      </c>
      <c r="P82" s="24">
        <f t="shared" si="67"/>
        <v>338.24492072688133</v>
      </c>
      <c r="Q82" s="24">
        <f t="shared" si="67"/>
        <v>346.90539902225163</v>
      </c>
      <c r="R82" s="24">
        <f t="shared" si="67"/>
        <v>355.82166261562668</v>
      </c>
    </row>
    <row r="83" spans="2:19" outlineLevel="1" x14ac:dyDescent="0.3">
      <c r="C83" s="42" t="s">
        <v>118</v>
      </c>
      <c r="F83" s="24">
        <f>F79-F82</f>
        <v>575.71600000000001</v>
      </c>
      <c r="G83" s="24">
        <f t="shared" ref="G83:H83" si="68">G79-G82</f>
        <v>543.69200000000001</v>
      </c>
      <c r="H83" s="24">
        <f t="shared" si="68"/>
        <v>541.80799999999999</v>
      </c>
      <c r="I83" s="24">
        <f>I79-I82</f>
        <v>547.29253924671582</v>
      </c>
      <c r="J83" s="24">
        <f t="shared" ref="J83:R83" si="69">J79-J82</f>
        <v>552.43322333571496</v>
      </c>
      <c r="K83" s="24">
        <f t="shared" si="69"/>
        <v>560.23097335744046</v>
      </c>
      <c r="L83" s="24">
        <f t="shared" si="69"/>
        <v>570.57154098505498</v>
      </c>
      <c r="M83" s="24">
        <f t="shared" si="69"/>
        <v>582.9186805309198</v>
      </c>
      <c r="N83" s="24">
        <f t="shared" si="69"/>
        <v>596.55901023610318</v>
      </c>
      <c r="O83" s="24">
        <f t="shared" si="69"/>
        <v>611.1846530952746</v>
      </c>
      <c r="P83" s="24">
        <f t="shared" si="69"/>
        <v>626.61264860446181</v>
      </c>
      <c r="Q83" s="24">
        <f t="shared" si="69"/>
        <v>642.65654138836953</v>
      </c>
      <c r="R83" s="24">
        <f t="shared" si="69"/>
        <v>659.17428697311868</v>
      </c>
    </row>
    <row r="84" spans="2:19" outlineLevel="1" x14ac:dyDescent="0.3">
      <c r="C84" s="42"/>
      <c r="F84" s="24"/>
      <c r="G84" s="24"/>
      <c r="H84" s="24"/>
    </row>
    <row r="85" spans="2:19" outlineLevel="1" x14ac:dyDescent="0.3">
      <c r="C85" s="42" t="s">
        <v>119</v>
      </c>
      <c r="F85" s="40">
        <f>F76/F120</f>
        <v>4.888496430134795E-3</v>
      </c>
      <c r="G85" s="40">
        <f>G76/G120</f>
        <v>3.2322754699466234E-3</v>
      </c>
      <c r="H85" s="40">
        <f>H76/H120</f>
        <v>3.3712042520471072E-3</v>
      </c>
      <c r="I85" s="41">
        <f>AVERAGE(F85:H85)</f>
        <v>3.8306587173761752E-3</v>
      </c>
      <c r="J85" s="41">
        <f>I85</f>
        <v>3.8306587173761752E-3</v>
      </c>
      <c r="K85" s="41">
        <f t="shared" ref="K85:R85" si="70">J85</f>
        <v>3.8306587173761752E-3</v>
      </c>
      <c r="L85" s="41">
        <f t="shared" si="70"/>
        <v>3.8306587173761752E-3</v>
      </c>
      <c r="M85" s="41">
        <f t="shared" si="70"/>
        <v>3.8306587173761752E-3</v>
      </c>
      <c r="N85" s="41">
        <f t="shared" si="70"/>
        <v>3.8306587173761752E-3</v>
      </c>
      <c r="O85" s="41">
        <f t="shared" si="70"/>
        <v>3.8306587173761752E-3</v>
      </c>
      <c r="P85" s="41">
        <f t="shared" si="70"/>
        <v>3.8306587173761752E-3</v>
      </c>
      <c r="Q85" s="41">
        <f t="shared" si="70"/>
        <v>3.8306587173761752E-3</v>
      </c>
      <c r="R85" s="41">
        <f t="shared" si="70"/>
        <v>3.8306587173761752E-3</v>
      </c>
    </row>
    <row r="86" spans="2:19" outlineLevel="1" x14ac:dyDescent="0.3">
      <c r="C86" s="42"/>
      <c r="F86" s="40"/>
      <c r="G86" s="40"/>
      <c r="H86" s="40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</row>
    <row r="87" spans="2:19" outlineLevel="1" x14ac:dyDescent="0.3">
      <c r="C87" s="42" t="s">
        <v>124</v>
      </c>
      <c r="F87" s="40"/>
      <c r="G87" s="40"/>
      <c r="H87" s="29">
        <f>H150</f>
        <v>6662</v>
      </c>
      <c r="I87" s="29">
        <f>H87+I76+I75</f>
        <v>6728.0699156100118</v>
      </c>
      <c r="J87" s="29">
        <f t="shared" ref="J87:R87" si="71">I87+J76+J75</f>
        <v>6828.2893955399068</v>
      </c>
      <c r="K87" s="29">
        <f t="shared" si="71"/>
        <v>6961.1900793181876</v>
      </c>
      <c r="L87" s="29">
        <f t="shared" si="71"/>
        <v>7119.87994504366</v>
      </c>
      <c r="M87" s="29">
        <f t="shared" si="71"/>
        <v>7295.1903544972911</v>
      </c>
      <c r="N87" s="29">
        <f t="shared" si="71"/>
        <v>7483.1643619869774</v>
      </c>
      <c r="O87" s="29">
        <f t="shared" si="71"/>
        <v>7681.4504934971728</v>
      </c>
      <c r="P87" s="29">
        <f t="shared" si="71"/>
        <v>7887.6523576726559</v>
      </c>
      <c r="Q87" s="29">
        <f t="shared" si="71"/>
        <v>8099.9443479911097</v>
      </c>
      <c r="R87" s="29">
        <f t="shared" si="71"/>
        <v>8316.476768306833</v>
      </c>
      <c r="S87" s="29"/>
    </row>
    <row r="88" spans="2:19" outlineLevel="1" x14ac:dyDescent="0.3">
      <c r="C88" s="42"/>
      <c r="F88" s="24"/>
      <c r="G88" s="24"/>
      <c r="H88" s="24"/>
      <c r="I88" s="29"/>
    </row>
    <row r="89" spans="2:19" outlineLevel="1" x14ac:dyDescent="0.3">
      <c r="B89" s="35" t="s">
        <v>121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</row>
    <row r="90" spans="2:19" s="5" customFormat="1" outlineLevel="1" x14ac:dyDescent="0.3">
      <c r="C90" s="47" t="s">
        <v>125</v>
      </c>
      <c r="F90" s="26"/>
      <c r="G90" s="26"/>
      <c r="H90" s="26"/>
    </row>
    <row r="91" spans="2:19" outlineLevel="1" x14ac:dyDescent="0.3">
      <c r="C91" s="48" t="s">
        <v>111</v>
      </c>
      <c r="F91" s="24"/>
      <c r="G91" s="24"/>
      <c r="H91" s="24"/>
      <c r="I91" s="29">
        <f>H93</f>
        <v>2018</v>
      </c>
      <c r="J91" s="29">
        <f t="shared" ref="J91:R91" si="72">I93</f>
        <v>1866.01</v>
      </c>
      <c r="K91" s="29">
        <f t="shared" si="72"/>
        <v>1708.7003500000001</v>
      </c>
      <c r="L91" s="29">
        <f t="shared" si="72"/>
        <v>1545.88486225</v>
      </c>
      <c r="M91" s="29">
        <f t="shared" si="72"/>
        <v>1377.37083242875</v>
      </c>
      <c r="N91" s="29">
        <f t="shared" si="72"/>
        <v>1202.9588115637562</v>
      </c>
      <c r="O91" s="29">
        <f t="shared" si="72"/>
        <v>1022.4423699684876</v>
      </c>
      <c r="P91" s="29">
        <f t="shared" si="72"/>
        <v>835.60785291738466</v>
      </c>
      <c r="Q91" s="29">
        <f t="shared" si="72"/>
        <v>642.23412776949317</v>
      </c>
      <c r="R91" s="29">
        <f t="shared" si="72"/>
        <v>442.09232224142545</v>
      </c>
    </row>
    <row r="92" spans="2:19" outlineLevel="1" x14ac:dyDescent="0.3">
      <c r="C92" s="49" t="s">
        <v>129</v>
      </c>
      <c r="F92" s="24"/>
      <c r="G92" s="24"/>
      <c r="H92" s="24"/>
      <c r="I92" s="24">
        <f>-(I$100-I$101)</f>
        <v>-151.99</v>
      </c>
      <c r="J92" s="24">
        <f t="shared" ref="J92:R92" si="73">-(J$100-J$101)</f>
        <v>-157.30964999999998</v>
      </c>
      <c r="K92" s="24">
        <f t="shared" si="73"/>
        <v>-162.81548774999999</v>
      </c>
      <c r="L92" s="24">
        <f t="shared" si="73"/>
        <v>-168.51402982125001</v>
      </c>
      <c r="M92" s="24">
        <f t="shared" si="73"/>
        <v>-174.41202086499374</v>
      </c>
      <c r="N92" s="24">
        <f t="shared" si="73"/>
        <v>-180.51644159526853</v>
      </c>
      <c r="O92" s="24">
        <f t="shared" si="73"/>
        <v>-186.83451705110292</v>
      </c>
      <c r="P92" s="24">
        <f t="shared" si="73"/>
        <v>-193.37372514789155</v>
      </c>
      <c r="Q92" s="24">
        <f t="shared" si="73"/>
        <v>-200.14180552806772</v>
      </c>
      <c r="R92" s="24">
        <f t="shared" si="73"/>
        <v>-207.1467687215501</v>
      </c>
    </row>
    <row r="93" spans="2:19" outlineLevel="1" x14ac:dyDescent="0.3">
      <c r="C93" s="48" t="s">
        <v>127</v>
      </c>
      <c r="E93" s="29"/>
      <c r="F93" s="29"/>
      <c r="G93" s="29"/>
      <c r="H93" s="29">
        <f>H151</f>
        <v>2018</v>
      </c>
      <c r="I93" s="29">
        <f>SUM(I91:I92)</f>
        <v>1866.01</v>
      </c>
      <c r="J93" s="29">
        <f t="shared" ref="J93:R93" si="74">SUM(J91:J92)</f>
        <v>1708.7003500000001</v>
      </c>
      <c r="K93" s="29">
        <f t="shared" si="74"/>
        <v>1545.88486225</v>
      </c>
      <c r="L93" s="29">
        <f t="shared" si="74"/>
        <v>1377.37083242875</v>
      </c>
      <c r="M93" s="29">
        <f t="shared" si="74"/>
        <v>1202.9588115637562</v>
      </c>
      <c r="N93" s="29">
        <f t="shared" si="74"/>
        <v>1022.4423699684876</v>
      </c>
      <c r="O93" s="29">
        <f t="shared" si="74"/>
        <v>835.60785291738466</v>
      </c>
      <c r="P93" s="29">
        <f t="shared" si="74"/>
        <v>642.23412776949317</v>
      </c>
      <c r="Q93" s="29">
        <f t="shared" si="74"/>
        <v>442.09232224142545</v>
      </c>
      <c r="R93" s="29">
        <f t="shared" si="74"/>
        <v>234.94555351987535</v>
      </c>
    </row>
    <row r="94" spans="2:19" outlineLevel="1" x14ac:dyDescent="0.3">
      <c r="C94" s="42"/>
      <c r="F94" s="24"/>
      <c r="G94" s="24"/>
      <c r="H94" s="24"/>
    </row>
    <row r="95" spans="2:19" s="5" customFormat="1" outlineLevel="1" x14ac:dyDescent="0.3">
      <c r="C95" s="47" t="s">
        <v>126</v>
      </c>
      <c r="F95" s="26"/>
      <c r="G95" s="26"/>
      <c r="H95" s="26"/>
    </row>
    <row r="96" spans="2:19" outlineLevel="1" x14ac:dyDescent="0.3">
      <c r="C96" s="48" t="s">
        <v>111</v>
      </c>
      <c r="F96" s="24"/>
      <c r="G96" s="24"/>
      <c r="H96" s="24"/>
      <c r="I96" s="29">
        <f>H98</f>
        <v>2086</v>
      </c>
      <c r="J96" s="29">
        <f t="shared" ref="J96:R96" si="75">I98</f>
        <v>1934.01</v>
      </c>
      <c r="K96" s="29">
        <f t="shared" si="75"/>
        <v>1776.7003500000001</v>
      </c>
      <c r="L96" s="29">
        <f t="shared" si="75"/>
        <v>1613.88486225</v>
      </c>
      <c r="M96" s="29">
        <f t="shared" si="75"/>
        <v>1445.37083242875</v>
      </c>
      <c r="N96" s="29">
        <f t="shared" si="75"/>
        <v>1270.9588115637562</v>
      </c>
      <c r="O96" s="29">
        <f t="shared" si="75"/>
        <v>1090.4423699684876</v>
      </c>
      <c r="P96" s="29">
        <f t="shared" si="75"/>
        <v>903.60785291738466</v>
      </c>
      <c r="Q96" s="29">
        <f t="shared" si="75"/>
        <v>710.23412776949317</v>
      </c>
      <c r="R96" s="29">
        <f t="shared" si="75"/>
        <v>510.09232224142545</v>
      </c>
    </row>
    <row r="97" spans="2:18" outlineLevel="1" x14ac:dyDescent="0.3">
      <c r="C97" s="49" t="s">
        <v>130</v>
      </c>
      <c r="I97" s="24">
        <f>-(I$100-I$101)</f>
        <v>-151.99</v>
      </c>
      <c r="J97" s="24">
        <f t="shared" ref="J97:R97" si="76">-(J$100-J$101)</f>
        <v>-157.30964999999998</v>
      </c>
      <c r="K97" s="24">
        <f t="shared" si="76"/>
        <v>-162.81548774999999</v>
      </c>
      <c r="L97" s="24">
        <f t="shared" si="76"/>
        <v>-168.51402982125001</v>
      </c>
      <c r="M97" s="24">
        <f t="shared" si="76"/>
        <v>-174.41202086499374</v>
      </c>
      <c r="N97" s="24">
        <f t="shared" si="76"/>
        <v>-180.51644159526853</v>
      </c>
      <c r="O97" s="24">
        <f t="shared" si="76"/>
        <v>-186.83451705110292</v>
      </c>
      <c r="P97" s="24">
        <f t="shared" si="76"/>
        <v>-193.37372514789155</v>
      </c>
      <c r="Q97" s="24">
        <f t="shared" si="76"/>
        <v>-200.14180552806772</v>
      </c>
      <c r="R97" s="24">
        <f t="shared" si="76"/>
        <v>-207.1467687215501</v>
      </c>
    </row>
    <row r="98" spans="2:18" outlineLevel="1" x14ac:dyDescent="0.3">
      <c r="C98" s="48" t="s">
        <v>127</v>
      </c>
      <c r="E98" s="24"/>
      <c r="F98" s="24"/>
      <c r="G98" s="24"/>
      <c r="H98" s="24">
        <f>H169</f>
        <v>2086</v>
      </c>
      <c r="I98" s="29">
        <f>SUM(I96:I97)</f>
        <v>1934.01</v>
      </c>
      <c r="J98" s="29">
        <f t="shared" ref="J98:R98" si="77">SUM(J96:J97)</f>
        <v>1776.7003500000001</v>
      </c>
      <c r="K98" s="29">
        <f t="shared" si="77"/>
        <v>1613.88486225</v>
      </c>
      <c r="L98" s="29">
        <f t="shared" si="77"/>
        <v>1445.37083242875</v>
      </c>
      <c r="M98" s="29">
        <f t="shared" si="77"/>
        <v>1270.9588115637562</v>
      </c>
      <c r="N98" s="29">
        <f t="shared" si="77"/>
        <v>1090.4423699684876</v>
      </c>
      <c r="O98" s="29">
        <f t="shared" si="77"/>
        <v>903.60785291738466</v>
      </c>
      <c r="P98" s="29">
        <f t="shared" si="77"/>
        <v>710.23412776949317</v>
      </c>
      <c r="Q98" s="29">
        <f t="shared" si="77"/>
        <v>510.09232224142545</v>
      </c>
      <c r="R98" s="29">
        <f t="shared" si="77"/>
        <v>302.94555351987538</v>
      </c>
    </row>
    <row r="99" spans="2:18" outlineLevel="1" x14ac:dyDescent="0.3">
      <c r="C99" s="48"/>
      <c r="E99" s="24"/>
      <c r="F99" s="24"/>
      <c r="G99" s="24"/>
      <c r="H99" s="24"/>
    </row>
    <row r="100" spans="2:18" outlineLevel="1" x14ac:dyDescent="0.3">
      <c r="C100" s="48" t="s">
        <v>131</v>
      </c>
      <c r="E100" s="24"/>
      <c r="F100" s="24"/>
      <c r="G100" s="24"/>
      <c r="H100" s="24"/>
      <c r="I100" s="52">
        <v>225</v>
      </c>
      <c r="J100" s="52">
        <f t="shared" ref="J100:R100" si="78">AVERAGE(G100:I100)</f>
        <v>225</v>
      </c>
      <c r="K100" s="52">
        <f t="shared" si="78"/>
        <v>225</v>
      </c>
      <c r="L100" s="52">
        <f t="shared" si="78"/>
        <v>225</v>
      </c>
      <c r="M100" s="52">
        <f t="shared" si="78"/>
        <v>225</v>
      </c>
      <c r="N100" s="52">
        <f t="shared" si="78"/>
        <v>225</v>
      </c>
      <c r="O100" s="52">
        <f t="shared" si="78"/>
        <v>225</v>
      </c>
      <c r="P100" s="52">
        <f t="shared" si="78"/>
        <v>225</v>
      </c>
      <c r="Q100" s="52">
        <f t="shared" si="78"/>
        <v>225</v>
      </c>
      <c r="R100" s="52">
        <f t="shared" si="78"/>
        <v>225</v>
      </c>
    </row>
    <row r="101" spans="2:18" outlineLevel="1" x14ac:dyDescent="0.3">
      <c r="C101" s="48" t="s">
        <v>116</v>
      </c>
      <c r="E101" s="24"/>
      <c r="F101" s="24"/>
      <c r="G101" s="24"/>
      <c r="H101" s="24"/>
      <c r="I101" s="29">
        <f>H98*$D$12</f>
        <v>73.010000000000005</v>
      </c>
      <c r="J101" s="29">
        <f t="shared" ref="J101:R101" si="79">I98*$D$12</f>
        <v>67.690350000000009</v>
      </c>
      <c r="K101" s="29">
        <f t="shared" si="79"/>
        <v>62.184512250000012</v>
      </c>
      <c r="L101" s="29">
        <f t="shared" si="79"/>
        <v>56.485970178750001</v>
      </c>
      <c r="M101" s="29">
        <f t="shared" si="79"/>
        <v>50.58797913500625</v>
      </c>
      <c r="N101" s="29">
        <f t="shared" si="79"/>
        <v>44.483558404731468</v>
      </c>
      <c r="O101" s="29">
        <f t="shared" si="79"/>
        <v>38.165482948897072</v>
      </c>
      <c r="P101" s="29">
        <f t="shared" si="79"/>
        <v>31.626274852108466</v>
      </c>
      <c r="Q101" s="29">
        <f t="shared" si="79"/>
        <v>24.858194471932265</v>
      </c>
      <c r="R101" s="29">
        <f t="shared" si="79"/>
        <v>17.853231278449893</v>
      </c>
    </row>
    <row r="102" spans="2:18" outlineLevel="1" x14ac:dyDescent="0.3">
      <c r="C102" s="48"/>
      <c r="E102" s="24"/>
      <c r="F102" s="24"/>
      <c r="G102" s="24"/>
      <c r="H102" s="24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2:18" outlineLevel="1" x14ac:dyDescent="0.3">
      <c r="B103" s="35" t="s">
        <v>138</v>
      </c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2:18" outlineLevel="1" x14ac:dyDescent="0.3">
      <c r="C104" s="4" t="s">
        <v>111</v>
      </c>
      <c r="F104" s="24">
        <f>E106</f>
        <v>13256</v>
      </c>
      <c r="G104" s="24">
        <f t="shared" ref="G104:H104" si="80">F106</f>
        <v>12410</v>
      </c>
      <c r="H104" s="24">
        <f t="shared" si="80"/>
        <v>11745</v>
      </c>
      <c r="I104" s="24">
        <f>H106</f>
        <v>11292</v>
      </c>
      <c r="J104" s="24">
        <f t="shared" ref="J104:R104" si="81">I106</f>
        <v>10139</v>
      </c>
      <c r="K104" s="24">
        <f t="shared" si="81"/>
        <v>10114</v>
      </c>
      <c r="L104" s="24">
        <f t="shared" si="81"/>
        <v>10030</v>
      </c>
      <c r="M104" s="24">
        <f t="shared" si="81"/>
        <v>8644</v>
      </c>
      <c r="N104" s="24">
        <f t="shared" si="81"/>
        <v>8037</v>
      </c>
      <c r="O104" s="24">
        <f t="shared" si="81"/>
        <v>7386</v>
      </c>
      <c r="P104" s="24">
        <f t="shared" si="81"/>
        <v>6735</v>
      </c>
      <c r="Q104" s="24">
        <f t="shared" si="81"/>
        <v>6084</v>
      </c>
      <c r="R104" s="24">
        <f t="shared" si="81"/>
        <v>5433</v>
      </c>
    </row>
    <row r="105" spans="2:18" outlineLevel="1" x14ac:dyDescent="0.3">
      <c r="C105" s="9" t="s">
        <v>139</v>
      </c>
      <c r="F105" s="24">
        <f>-(F104-F106)</f>
        <v>-846</v>
      </c>
      <c r="G105" s="24">
        <f t="shared" ref="G105:H105" si="82">-(G104-G106)</f>
        <v>-665</v>
      </c>
      <c r="H105" s="24">
        <f t="shared" si="82"/>
        <v>-453</v>
      </c>
      <c r="I105" s="24">
        <v>-1153</v>
      </c>
      <c r="J105" s="24">
        <v>-25</v>
      </c>
      <c r="K105" s="24">
        <v>-84</v>
      </c>
      <c r="L105" s="24">
        <v>-1386</v>
      </c>
      <c r="M105" s="24">
        <v>-607</v>
      </c>
      <c r="N105" s="24">
        <f>AVERAGE(I105:M105)</f>
        <v>-651</v>
      </c>
      <c r="O105" s="24">
        <f>N105</f>
        <v>-651</v>
      </c>
      <c r="P105" s="24">
        <f t="shared" ref="P105:R105" si="83">O105</f>
        <v>-651</v>
      </c>
      <c r="Q105" s="24">
        <f t="shared" si="83"/>
        <v>-651</v>
      </c>
      <c r="R105" s="24">
        <f t="shared" si="83"/>
        <v>-651</v>
      </c>
    </row>
    <row r="106" spans="2:18" outlineLevel="1" x14ac:dyDescent="0.3">
      <c r="C106" s="4" t="s">
        <v>127</v>
      </c>
      <c r="E106" s="24">
        <f>E167</f>
        <v>13256</v>
      </c>
      <c r="F106" s="24">
        <f t="shared" ref="F106:G106" si="84">F167</f>
        <v>12410</v>
      </c>
      <c r="G106" s="24">
        <f t="shared" si="84"/>
        <v>11745</v>
      </c>
      <c r="H106" s="24">
        <f>H167</f>
        <v>11292</v>
      </c>
      <c r="I106" s="24">
        <f>I105+I104</f>
        <v>10139</v>
      </c>
      <c r="J106" s="24">
        <f t="shared" ref="J106:R106" si="85">J105+J104</f>
        <v>10114</v>
      </c>
      <c r="K106" s="24">
        <f t="shared" si="85"/>
        <v>10030</v>
      </c>
      <c r="L106" s="24">
        <f t="shared" si="85"/>
        <v>8644</v>
      </c>
      <c r="M106" s="24">
        <f t="shared" si="85"/>
        <v>8037</v>
      </c>
      <c r="N106" s="24">
        <f t="shared" si="85"/>
        <v>7386</v>
      </c>
      <c r="O106" s="24">
        <f t="shared" si="85"/>
        <v>6735</v>
      </c>
      <c r="P106" s="24">
        <f t="shared" si="85"/>
        <v>6084</v>
      </c>
      <c r="Q106" s="24">
        <f t="shared" si="85"/>
        <v>5433</v>
      </c>
      <c r="R106" s="24">
        <f t="shared" si="85"/>
        <v>4782</v>
      </c>
    </row>
    <row r="107" spans="2:18" outlineLevel="1" x14ac:dyDescent="0.3"/>
    <row r="108" spans="2:18" outlineLevel="1" x14ac:dyDescent="0.3">
      <c r="C108" s="9" t="s">
        <v>141</v>
      </c>
      <c r="I108" s="11">
        <v>4.5199999999999997E-2</v>
      </c>
      <c r="J108" s="11">
        <v>1.5300000000000001E-2</v>
      </c>
      <c r="K108" s="11">
        <v>3.6400000000000002E-2</v>
      </c>
      <c r="L108" s="11">
        <v>4.2599999999999999E-2</v>
      </c>
      <c r="M108" s="11">
        <v>4.6799999999999994E-2</v>
      </c>
      <c r="N108" s="11">
        <v>4.5400000000000003E-2</v>
      </c>
      <c r="O108" s="11">
        <f>N108</f>
        <v>4.5400000000000003E-2</v>
      </c>
      <c r="P108" s="11">
        <f t="shared" ref="P108:R108" si="86">O108</f>
        <v>4.5400000000000003E-2</v>
      </c>
      <c r="Q108" s="11">
        <f t="shared" si="86"/>
        <v>4.5400000000000003E-2</v>
      </c>
      <c r="R108" s="11">
        <f t="shared" si="86"/>
        <v>4.5400000000000003E-2</v>
      </c>
    </row>
    <row r="109" spans="2:18" outlineLevel="1" x14ac:dyDescent="0.3">
      <c r="C109" s="9" t="s">
        <v>140</v>
      </c>
      <c r="I109" s="43">
        <f>I108*I104</f>
        <v>510.39839999999998</v>
      </c>
      <c r="J109" s="43">
        <f t="shared" ref="J109:R109" si="87">J108*J104</f>
        <v>155.1267</v>
      </c>
      <c r="K109" s="43">
        <f t="shared" si="87"/>
        <v>368.14960000000002</v>
      </c>
      <c r="L109" s="43">
        <f t="shared" si="87"/>
        <v>427.27799999999996</v>
      </c>
      <c r="M109" s="43">
        <f t="shared" si="87"/>
        <v>404.53919999999994</v>
      </c>
      <c r="N109" s="43">
        <f t="shared" si="87"/>
        <v>364.87980000000005</v>
      </c>
      <c r="O109" s="43">
        <f t="shared" si="87"/>
        <v>335.32440000000003</v>
      </c>
      <c r="P109" s="43">
        <f t="shared" si="87"/>
        <v>305.76900000000001</v>
      </c>
      <c r="Q109" s="43">
        <f t="shared" si="87"/>
        <v>276.21360000000004</v>
      </c>
      <c r="R109" s="43">
        <f t="shared" si="87"/>
        <v>246.65820000000002</v>
      </c>
    </row>
    <row r="110" spans="2:18" outlineLevel="1" x14ac:dyDescent="0.3">
      <c r="B110" s="35" t="s">
        <v>142</v>
      </c>
      <c r="C110" s="50"/>
      <c r="D110" s="37"/>
      <c r="E110" s="37"/>
      <c r="F110" s="37"/>
      <c r="G110" s="37"/>
      <c r="H110" s="37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 outlineLevel="1" x14ac:dyDescent="0.3">
      <c r="C111" s="9" t="s">
        <v>143</v>
      </c>
      <c r="I111" s="43">
        <f>I109+I101</f>
        <v>583.40840000000003</v>
      </c>
      <c r="J111" s="43">
        <f t="shared" ref="J111:R111" si="88">J109+J101</f>
        <v>222.81704999999999</v>
      </c>
      <c r="K111" s="43">
        <f t="shared" si="88"/>
        <v>430.33411225000003</v>
      </c>
      <c r="L111" s="43">
        <f t="shared" si="88"/>
        <v>483.76397017874996</v>
      </c>
      <c r="M111" s="43">
        <f t="shared" si="88"/>
        <v>455.1271791350062</v>
      </c>
      <c r="N111" s="43">
        <f t="shared" si="88"/>
        <v>409.36335840473151</v>
      </c>
      <c r="O111" s="43">
        <f t="shared" si="88"/>
        <v>373.4898829488971</v>
      </c>
      <c r="P111" s="43">
        <f t="shared" si="88"/>
        <v>337.39527485210846</v>
      </c>
      <c r="Q111" s="43">
        <f t="shared" si="88"/>
        <v>301.07179447193232</v>
      </c>
      <c r="R111" s="43">
        <f t="shared" si="88"/>
        <v>264.51143127844989</v>
      </c>
    </row>
    <row r="113" spans="2:18" x14ac:dyDescent="0.3">
      <c r="B113" s="1"/>
      <c r="C113" s="1"/>
      <c r="D113" s="1"/>
      <c r="E113" s="13" t="s">
        <v>15</v>
      </c>
      <c r="F113" s="13"/>
      <c r="G113" s="13"/>
      <c r="H113" s="14"/>
      <c r="I113" s="18" t="s">
        <v>16</v>
      </c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2:18" x14ac:dyDescent="0.3">
      <c r="B114" s="15" t="s">
        <v>17</v>
      </c>
      <c r="C114" s="16"/>
      <c r="D114" s="19" t="s">
        <v>14</v>
      </c>
      <c r="E114" s="17">
        <f t="shared" ref="E114:R114" si="89">E15</f>
        <v>43830</v>
      </c>
      <c r="F114" s="17">
        <f t="shared" si="89"/>
        <v>44196</v>
      </c>
      <c r="G114" s="17">
        <f t="shared" si="89"/>
        <v>44561</v>
      </c>
      <c r="H114" s="20">
        <f t="shared" si="89"/>
        <v>44926</v>
      </c>
      <c r="I114" s="17">
        <f t="shared" si="89"/>
        <v>45291</v>
      </c>
      <c r="J114" s="17">
        <f t="shared" si="89"/>
        <v>45657</v>
      </c>
      <c r="K114" s="17">
        <f t="shared" si="89"/>
        <v>46022</v>
      </c>
      <c r="L114" s="17">
        <f t="shared" si="89"/>
        <v>46387</v>
      </c>
      <c r="M114" s="17">
        <f t="shared" si="89"/>
        <v>46752</v>
      </c>
      <c r="N114" s="17">
        <f t="shared" si="89"/>
        <v>47118</v>
      </c>
      <c r="O114" s="17">
        <f t="shared" si="89"/>
        <v>47483</v>
      </c>
      <c r="P114" s="17">
        <f t="shared" si="89"/>
        <v>47848</v>
      </c>
      <c r="Q114" s="17">
        <f t="shared" si="89"/>
        <v>48213</v>
      </c>
      <c r="R114" s="17">
        <f t="shared" si="89"/>
        <v>48579</v>
      </c>
    </row>
    <row r="115" spans="2:18" outlineLevel="1" x14ac:dyDescent="0.3">
      <c r="C115" s="9" t="s">
        <v>19</v>
      </c>
      <c r="D115" s="167" t="s">
        <v>454</v>
      </c>
      <c r="E115" s="149">
        <v>61464</v>
      </c>
      <c r="F115" s="149">
        <v>71434</v>
      </c>
      <c r="G115" s="149">
        <v>69648</v>
      </c>
      <c r="H115" s="149">
        <v>74121</v>
      </c>
      <c r="I115" s="23">
        <f t="shared" ref="I115:R115" si="90">I27*I17</f>
        <v>78411.123479999995</v>
      </c>
      <c r="J115" s="23">
        <f t="shared" si="90"/>
        <v>82208.182134518996</v>
      </c>
      <c r="K115" s="23">
        <f t="shared" si="90"/>
        <v>85710.213145635294</v>
      </c>
      <c r="L115" s="23">
        <f t="shared" si="90"/>
        <v>89094.052360624992</v>
      </c>
      <c r="M115" s="23">
        <f t="shared" si="90"/>
        <v>92166.238021150246</v>
      </c>
      <c r="N115" s="23">
        <f t="shared" si="90"/>
        <v>94883.759549203867</v>
      </c>
      <c r="O115" s="23">
        <f t="shared" si="90"/>
        <v>97444.316405338584</v>
      </c>
      <c r="P115" s="23">
        <f t="shared" si="90"/>
        <v>99830.484103314302</v>
      </c>
      <c r="Q115" s="23">
        <f t="shared" si="90"/>
        <v>102175.30251393297</v>
      </c>
      <c r="R115" s="23">
        <f t="shared" si="90"/>
        <v>104473.07180451755</v>
      </c>
    </row>
    <row r="116" spans="2:18" outlineLevel="1" x14ac:dyDescent="0.3">
      <c r="C116" s="9" t="s">
        <v>96</v>
      </c>
      <c r="D116" s="167" t="s">
        <v>454</v>
      </c>
      <c r="E116" s="150">
        <v>29452</v>
      </c>
      <c r="F116" s="150">
        <v>33449</v>
      </c>
      <c r="G116" s="150">
        <v>33972</v>
      </c>
      <c r="H116" s="150">
        <v>35433</v>
      </c>
      <c r="I116" s="29">
        <f t="shared" ref="I116:R116" si="91">I30*I17</f>
        <v>36776.619360000004</v>
      </c>
      <c r="J116" s="29">
        <f t="shared" si="91"/>
        <v>38006.705336043604</v>
      </c>
      <c r="K116" s="29">
        <f t="shared" si="91"/>
        <v>39241.296148826972</v>
      </c>
      <c r="L116" s="29">
        <f t="shared" si="91"/>
        <v>40398.325765775138</v>
      </c>
      <c r="M116" s="29">
        <f t="shared" si="91"/>
        <v>41488.525084471796</v>
      </c>
      <c r="N116" s="29">
        <f t="shared" si="91"/>
        <v>42504.475342477795</v>
      </c>
      <c r="O116" s="29">
        <f t="shared" si="91"/>
        <v>43502.820459321912</v>
      </c>
      <c r="P116" s="29">
        <f t="shared" si="91"/>
        <v>44481.13363722137</v>
      </c>
      <c r="Q116" s="29">
        <f t="shared" si="91"/>
        <v>45436.98871795163</v>
      </c>
      <c r="R116" s="29">
        <f t="shared" si="91"/>
        <v>46367.969898288102</v>
      </c>
    </row>
    <row r="117" spans="2:18" outlineLevel="1" x14ac:dyDescent="0.3">
      <c r="C117" s="9" t="s">
        <v>97</v>
      </c>
      <c r="D117" s="167" t="s">
        <v>454</v>
      </c>
      <c r="E117" s="150">
        <v>14052</v>
      </c>
      <c r="F117" s="150">
        <v>9486</v>
      </c>
      <c r="G117" s="150">
        <v>14678</v>
      </c>
      <c r="H117" s="150">
        <v>18632</v>
      </c>
      <c r="I117" s="24">
        <f t="shared" ref="I117:R117" si="92">I33*I23</f>
        <v>22708.464292052326</v>
      </c>
      <c r="J117" s="24">
        <f t="shared" si="92"/>
        <v>26524.594940751413</v>
      </c>
      <c r="K117" s="24">
        <f t="shared" si="92"/>
        <v>30928.462474345968</v>
      </c>
      <c r="L117" s="24">
        <f t="shared" si="92"/>
        <v>34476.0893967417</v>
      </c>
      <c r="M117" s="24">
        <f t="shared" si="92"/>
        <v>36662.871274249759</v>
      </c>
      <c r="N117" s="24">
        <f t="shared" si="92"/>
        <v>38664.358663696046</v>
      </c>
      <c r="O117" s="24">
        <f t="shared" si="92"/>
        <v>40559.077606535291</v>
      </c>
      <c r="P117" s="24">
        <f t="shared" si="92"/>
        <v>42320.229048239948</v>
      </c>
      <c r="Q117" s="24">
        <f t="shared" si="92"/>
        <v>43921.816215757877</v>
      </c>
      <c r="R117" s="24">
        <f t="shared" si="92"/>
        <v>45339.264647667929</v>
      </c>
    </row>
    <row r="118" spans="2:18" outlineLevel="1" x14ac:dyDescent="0.3">
      <c r="C118" s="9" t="s">
        <v>98</v>
      </c>
      <c r="D118" s="167" t="s">
        <v>454</v>
      </c>
      <c r="E118" s="150">
        <v>11015</v>
      </c>
      <c r="F118" s="150">
        <v>11388</v>
      </c>
      <c r="G118" s="150">
        <v>12401</v>
      </c>
      <c r="H118" s="150">
        <v>13377</v>
      </c>
      <c r="I118" s="24">
        <f t="shared" ref="I118:R118" si="93">I36*I20</f>
        <v>14228.606883176677</v>
      </c>
      <c r="J118" s="24">
        <f t="shared" si="93"/>
        <v>15130.013047139946</v>
      </c>
      <c r="K118" s="24">
        <f t="shared" si="93"/>
        <v>16029.025260474866</v>
      </c>
      <c r="L118" s="24">
        <f t="shared" si="93"/>
        <v>16901.350943716723</v>
      </c>
      <c r="M118" s="24">
        <f t="shared" si="93"/>
        <v>17736.68551125858</v>
      </c>
      <c r="N118" s="24">
        <f t="shared" si="93"/>
        <v>18525.568941085578</v>
      </c>
      <c r="O118" s="24">
        <f t="shared" si="93"/>
        <v>19256.958402879638</v>
      </c>
      <c r="P118" s="24">
        <f t="shared" si="93"/>
        <v>19920.986471006934</v>
      </c>
      <c r="Q118" s="24">
        <f t="shared" si="93"/>
        <v>20508.356757104579</v>
      </c>
      <c r="R118" s="24">
        <f t="shared" si="93"/>
        <v>21010.555143194171</v>
      </c>
    </row>
    <row r="119" spans="2:18" outlineLevel="1" x14ac:dyDescent="0.3">
      <c r="C119" s="22" t="s">
        <v>22</v>
      </c>
      <c r="D119" s="171" t="s">
        <v>454</v>
      </c>
      <c r="E119" s="151">
        <v>6303</v>
      </c>
      <c r="F119" s="151">
        <v>6741</v>
      </c>
      <c r="G119" s="151">
        <v>7189</v>
      </c>
      <c r="H119" s="151">
        <v>6695</v>
      </c>
      <c r="I119" s="25">
        <f t="shared" ref="I119:R119" si="94">SUM(I115:I118)*I39/(1-I39)</f>
        <v>7994.5022982987193</v>
      </c>
      <c r="J119" s="25">
        <f t="shared" si="94"/>
        <v>8506.6073003548063</v>
      </c>
      <c r="K119" s="25">
        <f t="shared" si="94"/>
        <v>9034.2057654791897</v>
      </c>
      <c r="L119" s="25">
        <f t="shared" si="94"/>
        <v>9505.1171551895495</v>
      </c>
      <c r="M119" s="25">
        <f t="shared" si="94"/>
        <v>9882.6789193256845</v>
      </c>
      <c r="N119" s="25">
        <f t="shared" si="94"/>
        <v>10225.521571523452</v>
      </c>
      <c r="O119" s="25">
        <f t="shared" si="94"/>
        <v>10550.557825463402</v>
      </c>
      <c r="P119" s="25">
        <f t="shared" si="94"/>
        <v>10854.817545085943</v>
      </c>
      <c r="Q119" s="25">
        <f t="shared" si="94"/>
        <v>11143.310040478162</v>
      </c>
      <c r="R119" s="25">
        <f t="shared" si="94"/>
        <v>11413.869937134543</v>
      </c>
    </row>
    <row r="120" spans="2:18" s="5" customFormat="1" outlineLevel="1" x14ac:dyDescent="0.3">
      <c r="C120" s="5" t="s">
        <v>20</v>
      </c>
      <c r="D120" s="167" t="s">
        <v>454</v>
      </c>
      <c r="E120" s="26">
        <f>SUM(E115:E119)</f>
        <v>122286</v>
      </c>
      <c r="F120" s="26">
        <f>SUM(F115:F119)</f>
        <v>132498</v>
      </c>
      <c r="G120" s="26">
        <f t="shared" ref="G120:H120" si="95">SUM(G115:G119)</f>
        <v>137888</v>
      </c>
      <c r="H120" s="26">
        <f t="shared" si="95"/>
        <v>148258</v>
      </c>
      <c r="I120" s="26">
        <f>SUM(I115:I119)</f>
        <v>160119.31631352773</v>
      </c>
      <c r="J120" s="26">
        <f t="shared" ref="J120:R120" si="96">SUM(J115:J119)</f>
        <v>170376.10275880876</v>
      </c>
      <c r="K120" s="26">
        <f t="shared" si="96"/>
        <v>180943.20279476227</v>
      </c>
      <c r="L120" s="26">
        <f t="shared" si="96"/>
        <v>190374.93562204807</v>
      </c>
      <c r="M120" s="26">
        <f t="shared" si="96"/>
        <v>197936.99881045602</v>
      </c>
      <c r="N120" s="26">
        <f t="shared" si="96"/>
        <v>204803.68406798673</v>
      </c>
      <c r="O120" s="26">
        <f t="shared" si="96"/>
        <v>211313.73069953884</v>
      </c>
      <c r="P120" s="26">
        <f t="shared" si="96"/>
        <v>217407.65080486849</v>
      </c>
      <c r="Q120" s="26">
        <f t="shared" si="96"/>
        <v>223185.77424522521</v>
      </c>
      <c r="R120" s="26">
        <f t="shared" si="96"/>
        <v>228604.73143080232</v>
      </c>
    </row>
    <row r="121" spans="2:18" outlineLevel="1" x14ac:dyDescent="0.3">
      <c r="C121" s="22" t="s">
        <v>21</v>
      </c>
      <c r="D121" s="171" t="s">
        <v>454</v>
      </c>
      <c r="E121" s="151">
        <v>-95189</v>
      </c>
      <c r="F121" s="151">
        <v>-101604</v>
      </c>
      <c r="G121" s="151">
        <v>-107342</v>
      </c>
      <c r="H121" s="151">
        <v>-115854</v>
      </c>
      <c r="I121" s="25">
        <f t="shared" ref="I121:R121" si="97">-I120*I41</f>
        <v>-124298.80656104247</v>
      </c>
      <c r="J121" s="25">
        <f t="shared" si="97"/>
        <v>-132261.0333782213</v>
      </c>
      <c r="K121" s="25">
        <f t="shared" si="97"/>
        <v>-140464.15311118509</v>
      </c>
      <c r="L121" s="25">
        <f t="shared" si="97"/>
        <v>-147785.90017597182</v>
      </c>
      <c r="M121" s="25">
        <f t="shared" si="97"/>
        <v>-153656.24393648218</v>
      </c>
      <c r="N121" s="25">
        <f t="shared" si="97"/>
        <v>-158986.77370760674</v>
      </c>
      <c r="O121" s="25">
        <f t="shared" si="97"/>
        <v>-164040.44896421471</v>
      </c>
      <c r="P121" s="25">
        <f t="shared" si="97"/>
        <v>-168771.08992503191</v>
      </c>
      <c r="Q121" s="25">
        <f t="shared" si="97"/>
        <v>-173256.58152176344</v>
      </c>
      <c r="R121" s="25">
        <f t="shared" si="97"/>
        <v>-177463.25643444987</v>
      </c>
    </row>
    <row r="122" spans="2:18" s="5" customFormat="1" outlineLevel="1" x14ac:dyDescent="0.3">
      <c r="C122" s="27" t="s">
        <v>23</v>
      </c>
      <c r="D122" s="167" t="s">
        <v>454</v>
      </c>
      <c r="E122" s="26">
        <f>E121+E120</f>
        <v>27097</v>
      </c>
      <c r="F122" s="26">
        <f>F121+F120</f>
        <v>30894</v>
      </c>
      <c r="G122" s="26">
        <f t="shared" ref="G122:H122" si="98">G121+G120</f>
        <v>30546</v>
      </c>
      <c r="H122" s="26">
        <f t="shared" si="98"/>
        <v>32404</v>
      </c>
      <c r="I122" s="26">
        <f>I121+I120</f>
        <v>35820.509752485261</v>
      </c>
      <c r="J122" s="26">
        <f t="shared" ref="J122:R122" si="99">J121+J120</f>
        <v>38115.069380587462</v>
      </c>
      <c r="K122" s="26">
        <f t="shared" si="99"/>
        <v>40479.049683577177</v>
      </c>
      <c r="L122" s="26">
        <f t="shared" si="99"/>
        <v>42589.035446076246</v>
      </c>
      <c r="M122" s="26">
        <f t="shared" si="99"/>
        <v>44280.754873973841</v>
      </c>
      <c r="N122" s="26">
        <f t="shared" si="99"/>
        <v>45816.910360379989</v>
      </c>
      <c r="O122" s="26">
        <f t="shared" si="99"/>
        <v>47273.281735324126</v>
      </c>
      <c r="P122" s="26">
        <f t="shared" si="99"/>
        <v>48636.560879836587</v>
      </c>
      <c r="Q122" s="26">
        <f t="shared" si="99"/>
        <v>49929.192723461776</v>
      </c>
      <c r="R122" s="26">
        <f t="shared" si="99"/>
        <v>51141.474996352452</v>
      </c>
    </row>
    <row r="123" spans="2:18" outlineLevel="1" x14ac:dyDescent="0.3">
      <c r="C123" s="9"/>
      <c r="D123" s="167"/>
      <c r="E123" s="24"/>
      <c r="F123" s="24"/>
      <c r="G123" s="24"/>
      <c r="H123" s="24"/>
    </row>
    <row r="124" spans="2:18" outlineLevel="1" x14ac:dyDescent="0.3">
      <c r="C124" s="9" t="s">
        <v>30</v>
      </c>
      <c r="D124" s="167" t="s">
        <v>454</v>
      </c>
      <c r="E124" s="150">
        <v>-21208</v>
      </c>
      <c r="F124" s="150">
        <v>-24500</v>
      </c>
      <c r="G124" s="150">
        <v>-23203</v>
      </c>
      <c r="H124" s="150">
        <v>-23848</v>
      </c>
      <c r="I124" s="24">
        <f t="shared" ref="I124:R124" si="100">-I120*I43</f>
        <v>-25627.853335176522</v>
      </c>
      <c r="J124" s="24">
        <f t="shared" si="100"/>
        <v>-27133.199599371143</v>
      </c>
      <c r="K124" s="24">
        <f t="shared" si="100"/>
        <v>-28671.305660305825</v>
      </c>
      <c r="L124" s="24">
        <f t="shared" si="100"/>
        <v>-30013.508354740734</v>
      </c>
      <c r="M124" s="24">
        <f t="shared" si="100"/>
        <v>-31047.353757323002</v>
      </c>
      <c r="N124" s="24">
        <f t="shared" si="100"/>
        <v>-31960.582846180991</v>
      </c>
      <c r="O124" s="24">
        <f t="shared" si="100"/>
        <v>-32807.45540639096</v>
      </c>
      <c r="P124" s="24">
        <f t="shared" si="100"/>
        <v>-33579.639183309671</v>
      </c>
      <c r="Q124" s="24">
        <f t="shared" si="100"/>
        <v>-34293.549037962082</v>
      </c>
      <c r="R124" s="24">
        <f t="shared" si="100"/>
        <v>-34943.313635567945</v>
      </c>
    </row>
    <row r="125" spans="2:18" outlineLevel="1" x14ac:dyDescent="0.3">
      <c r="C125" s="9" t="s">
        <v>29</v>
      </c>
      <c r="D125" s="167" t="s">
        <v>454</v>
      </c>
      <c r="E125" s="150">
        <v>-884</v>
      </c>
      <c r="F125" s="150">
        <v>-874</v>
      </c>
      <c r="G125" s="150">
        <v>-845</v>
      </c>
      <c r="H125" s="150">
        <v>-839</v>
      </c>
      <c r="I125" s="157">
        <f t="shared" ref="I125:R125" si="101">-I79</f>
        <v>-842.72053924671582</v>
      </c>
      <c r="J125" s="157">
        <f t="shared" si="101"/>
        <v>-850.63615979133544</v>
      </c>
      <c r="K125" s="157">
        <f t="shared" si="101"/>
        <v>-862.64312797011655</v>
      </c>
      <c r="L125" s="157">
        <f t="shared" si="101"/>
        <v>-878.56552431641887</v>
      </c>
      <c r="M125" s="157">
        <f t="shared" si="101"/>
        <v>-897.57763822275365</v>
      </c>
      <c r="N125" s="157">
        <f t="shared" si="101"/>
        <v>-918.58100512498947</v>
      </c>
      <c r="O125" s="157">
        <f t="shared" si="101"/>
        <v>-941.1015562987277</v>
      </c>
      <c r="P125" s="157">
        <f t="shared" si="101"/>
        <v>-964.85756933134314</v>
      </c>
      <c r="Q125" s="157">
        <f t="shared" si="101"/>
        <v>-989.56194041062122</v>
      </c>
      <c r="R125" s="157">
        <f t="shared" si="101"/>
        <v>-1014.9959495887454</v>
      </c>
    </row>
    <row r="126" spans="2:18" outlineLevel="1" x14ac:dyDescent="0.3">
      <c r="C126" s="22" t="s">
        <v>28</v>
      </c>
      <c r="D126" s="171" t="s">
        <v>454</v>
      </c>
      <c r="E126" s="151">
        <v>-2649</v>
      </c>
      <c r="F126" s="151">
        <v>-2747</v>
      </c>
      <c r="G126" s="151">
        <v>-2824</v>
      </c>
      <c r="H126" s="151">
        <v>-2965</v>
      </c>
      <c r="I126" s="159">
        <f t="shared" ref="I126:R126" si="102">-I48</f>
        <v>-3364.4082467014059</v>
      </c>
      <c r="J126" s="159">
        <f t="shared" si="102"/>
        <v>-3575.506241800153</v>
      </c>
      <c r="K126" s="159">
        <f t="shared" si="102"/>
        <v>-3793.0161384717321</v>
      </c>
      <c r="L126" s="159">
        <f t="shared" si="102"/>
        <v>-3987.9402613783268</v>
      </c>
      <c r="M126" s="159">
        <f t="shared" si="102"/>
        <v>-4145.5533004777581</v>
      </c>
      <c r="N126" s="159">
        <f t="shared" si="102"/>
        <v>-4289.4216432850817</v>
      </c>
      <c r="O126" s="159">
        <f t="shared" si="102"/>
        <v>-4426.348523896726</v>
      </c>
      <c r="P126" s="159">
        <f t="shared" si="102"/>
        <v>-4555.1479351408325</v>
      </c>
      <c r="Q126" s="159">
        <f t="shared" si="102"/>
        <v>-4677.8404998296319</v>
      </c>
      <c r="R126" s="159">
        <f t="shared" si="102"/>
        <v>-4793.5641194715045</v>
      </c>
    </row>
    <row r="127" spans="2:18" s="5" customFormat="1" outlineLevel="1" x14ac:dyDescent="0.3">
      <c r="C127" s="27" t="s">
        <v>24</v>
      </c>
      <c r="D127" s="167" t="s">
        <v>454</v>
      </c>
      <c r="E127" s="26">
        <f>SUM(E124:E126)</f>
        <v>-24741</v>
      </c>
      <c r="F127" s="26">
        <f>SUM(F124:F126)</f>
        <v>-28121</v>
      </c>
      <c r="G127" s="26">
        <f t="shared" ref="G127:H127" si="103">SUM(G124:G126)</f>
        <v>-26872</v>
      </c>
      <c r="H127" s="26">
        <f t="shared" si="103"/>
        <v>-27652</v>
      </c>
      <c r="I127" s="26">
        <f>SUM(I124:I126)</f>
        <v>-29834.982121124642</v>
      </c>
      <c r="J127" s="26">
        <f t="shared" ref="J127:R127" si="104">SUM(J124:J126)</f>
        <v>-31559.342000962632</v>
      </c>
      <c r="K127" s="26">
        <f t="shared" si="104"/>
        <v>-33326.964926747678</v>
      </c>
      <c r="L127" s="26">
        <f t="shared" si="104"/>
        <v>-34880.01414043548</v>
      </c>
      <c r="M127" s="26">
        <f t="shared" si="104"/>
        <v>-36090.484696023515</v>
      </c>
      <c r="N127" s="26">
        <f t="shared" si="104"/>
        <v>-37168.585494591061</v>
      </c>
      <c r="O127" s="26">
        <f t="shared" si="104"/>
        <v>-38174.905486586416</v>
      </c>
      <c r="P127" s="26">
        <f t="shared" si="104"/>
        <v>-39099.644687781845</v>
      </c>
      <c r="Q127" s="26">
        <f t="shared" si="104"/>
        <v>-39960.951478202333</v>
      </c>
      <c r="R127" s="26">
        <f t="shared" si="104"/>
        <v>-40751.873704628197</v>
      </c>
    </row>
    <row r="128" spans="2:18" outlineLevel="1" x14ac:dyDescent="0.3">
      <c r="D128" s="167"/>
      <c r="E128" s="24"/>
      <c r="F128" s="24"/>
      <c r="G128" s="24"/>
      <c r="H128" s="24"/>
    </row>
    <row r="129" spans="2:18" s="5" customFormat="1" outlineLevel="1" x14ac:dyDescent="0.3">
      <c r="C129" s="5" t="s">
        <v>25</v>
      </c>
      <c r="D129" s="167" t="s">
        <v>454</v>
      </c>
      <c r="E129" s="26">
        <f>E127+E122</f>
        <v>2356</v>
      </c>
      <c r="F129" s="26">
        <f t="shared" ref="F129:R129" si="105">F127+F122</f>
        <v>2773</v>
      </c>
      <c r="G129" s="26">
        <f t="shared" si="105"/>
        <v>3674</v>
      </c>
      <c r="H129" s="26">
        <f t="shared" si="105"/>
        <v>4752</v>
      </c>
      <c r="I129" s="26">
        <f t="shared" si="105"/>
        <v>5985.5276313606191</v>
      </c>
      <c r="J129" s="26">
        <f t="shared" si="105"/>
        <v>6555.7273796248301</v>
      </c>
      <c r="K129" s="26">
        <f t="shared" si="105"/>
        <v>7152.0847568294994</v>
      </c>
      <c r="L129" s="26">
        <f t="shared" si="105"/>
        <v>7709.0213056407665</v>
      </c>
      <c r="M129" s="26">
        <f t="shared" si="105"/>
        <v>8190.2701779503259</v>
      </c>
      <c r="N129" s="26">
        <f t="shared" si="105"/>
        <v>8648.3248657889271</v>
      </c>
      <c r="O129" s="26">
        <f t="shared" si="105"/>
        <v>9098.3762487377098</v>
      </c>
      <c r="P129" s="26">
        <f t="shared" si="105"/>
        <v>9536.9161920547413</v>
      </c>
      <c r="Q129" s="26">
        <f t="shared" si="105"/>
        <v>9968.2412452594435</v>
      </c>
      <c r="R129" s="26">
        <f t="shared" si="105"/>
        <v>10389.601291724255</v>
      </c>
    </row>
    <row r="130" spans="2:18" outlineLevel="1" x14ac:dyDescent="0.3">
      <c r="C130" s="9" t="s">
        <v>27</v>
      </c>
      <c r="D130" s="167" t="s">
        <v>454</v>
      </c>
      <c r="E130" s="150">
        <v>-603</v>
      </c>
      <c r="F130" s="150">
        <v>-544</v>
      </c>
      <c r="G130" s="150">
        <v>-571</v>
      </c>
      <c r="H130" s="150">
        <v>-535</v>
      </c>
      <c r="I130" s="43">
        <f>-I111</f>
        <v>-583.40840000000003</v>
      </c>
      <c r="J130" s="43">
        <f t="shared" ref="J130:R130" si="106">-J111</f>
        <v>-222.81704999999999</v>
      </c>
      <c r="K130" s="43">
        <f t="shared" si="106"/>
        <v>-430.33411225000003</v>
      </c>
      <c r="L130" s="43">
        <f t="shared" si="106"/>
        <v>-483.76397017874996</v>
      </c>
      <c r="M130" s="43">
        <f t="shared" si="106"/>
        <v>-455.1271791350062</v>
      </c>
      <c r="N130" s="43">
        <f t="shared" si="106"/>
        <v>-409.36335840473151</v>
      </c>
      <c r="O130" s="43">
        <f t="shared" si="106"/>
        <v>-373.4898829488971</v>
      </c>
      <c r="P130" s="43">
        <f t="shared" si="106"/>
        <v>-337.39527485210846</v>
      </c>
      <c r="Q130" s="43">
        <f t="shared" si="106"/>
        <v>-301.07179447193232</v>
      </c>
      <c r="R130" s="43">
        <f t="shared" si="106"/>
        <v>-264.51143127844989</v>
      </c>
    </row>
    <row r="131" spans="2:18" outlineLevel="1" x14ac:dyDescent="0.3">
      <c r="C131" s="22" t="s">
        <v>26</v>
      </c>
      <c r="D131" s="171" t="s">
        <v>454</v>
      </c>
      <c r="E131" s="151">
        <v>333</v>
      </c>
      <c r="F131" s="151">
        <v>1134</v>
      </c>
      <c r="G131" s="151">
        <v>-855</v>
      </c>
      <c r="H131" s="151">
        <v>-689</v>
      </c>
      <c r="I131" s="45">
        <f>AVERAGE(E131:H131)</f>
        <v>-19.25</v>
      </c>
      <c r="J131" s="45">
        <f>I131</f>
        <v>-19.25</v>
      </c>
      <c r="K131" s="45">
        <f t="shared" ref="K131:R131" si="107">J131</f>
        <v>-19.25</v>
      </c>
      <c r="L131" s="45">
        <f t="shared" si="107"/>
        <v>-19.25</v>
      </c>
      <c r="M131" s="45">
        <f t="shared" si="107"/>
        <v>-19.25</v>
      </c>
      <c r="N131" s="45">
        <f t="shared" si="107"/>
        <v>-19.25</v>
      </c>
      <c r="O131" s="45">
        <f t="shared" si="107"/>
        <v>-19.25</v>
      </c>
      <c r="P131" s="45">
        <f t="shared" si="107"/>
        <v>-19.25</v>
      </c>
      <c r="Q131" s="45">
        <f t="shared" si="107"/>
        <v>-19.25</v>
      </c>
      <c r="R131" s="45">
        <f t="shared" si="107"/>
        <v>-19.25</v>
      </c>
    </row>
    <row r="132" spans="2:18" s="5" customFormat="1" outlineLevel="1" x14ac:dyDescent="0.3">
      <c r="C132" s="5" t="s">
        <v>31</v>
      </c>
      <c r="D132" s="167" t="s">
        <v>454</v>
      </c>
      <c r="E132" s="26">
        <f>SUM(E129:E131)</f>
        <v>2086</v>
      </c>
      <c r="F132" s="26">
        <f t="shared" ref="F132:R132" si="108">SUM(F129:F131)</f>
        <v>3363</v>
      </c>
      <c r="G132" s="26">
        <f t="shared" si="108"/>
        <v>2248</v>
      </c>
      <c r="H132" s="26">
        <f t="shared" si="108"/>
        <v>3528</v>
      </c>
      <c r="I132" s="26">
        <f t="shared" si="108"/>
        <v>5382.8692313606189</v>
      </c>
      <c r="J132" s="26">
        <f t="shared" si="108"/>
        <v>6313.6603296248304</v>
      </c>
      <c r="K132" s="26">
        <f t="shared" si="108"/>
        <v>6702.5006445794997</v>
      </c>
      <c r="L132" s="26">
        <f t="shared" si="108"/>
        <v>7206.0073354620163</v>
      </c>
      <c r="M132" s="26">
        <f t="shared" si="108"/>
        <v>7715.8929988153195</v>
      </c>
      <c r="N132" s="26">
        <f t="shared" si="108"/>
        <v>8219.711507384196</v>
      </c>
      <c r="O132" s="26">
        <f t="shared" si="108"/>
        <v>8705.6363657888123</v>
      </c>
      <c r="P132" s="26">
        <f t="shared" si="108"/>
        <v>9180.2709172026334</v>
      </c>
      <c r="Q132" s="26">
        <f t="shared" si="108"/>
        <v>9647.9194507875109</v>
      </c>
      <c r="R132" s="26">
        <f t="shared" si="108"/>
        <v>10105.839860445805</v>
      </c>
    </row>
    <row r="133" spans="2:18" outlineLevel="1" x14ac:dyDescent="0.3">
      <c r="C133" s="22" t="s">
        <v>32</v>
      </c>
      <c r="D133" s="171" t="s">
        <v>454</v>
      </c>
      <c r="E133" s="151">
        <v>-469</v>
      </c>
      <c r="F133" s="151">
        <v>-782</v>
      </c>
      <c r="G133" s="151">
        <v>-385</v>
      </c>
      <c r="H133" s="151">
        <v>-653</v>
      </c>
      <c r="I133" s="25">
        <f t="shared" ref="I133:R133" si="109">-I132*Kroger_Tax_Rate</f>
        <v>-1095.0327029148707</v>
      </c>
      <c r="J133" s="25">
        <f t="shared" si="109"/>
        <v>-1284.3827778234761</v>
      </c>
      <c r="K133" s="25">
        <f t="shared" si="109"/>
        <v>-1363.4842463500399</v>
      </c>
      <c r="L133" s="25">
        <f t="shared" si="109"/>
        <v>-1465.9122023257489</v>
      </c>
      <c r="M133" s="25">
        <f t="shared" si="109"/>
        <v>-1569.6378274749557</v>
      </c>
      <c r="N133" s="25">
        <f t="shared" si="109"/>
        <v>-1672.1292162685979</v>
      </c>
      <c r="O133" s="25">
        <f t="shared" si="109"/>
        <v>-1770.980514385278</v>
      </c>
      <c r="P133" s="25">
        <f t="shared" si="109"/>
        <v>-1867.5350345477693</v>
      </c>
      <c r="Q133" s="25">
        <f t="shared" si="109"/>
        <v>-1962.6683947940453</v>
      </c>
      <c r="R133" s="25">
        <f t="shared" si="109"/>
        <v>-2055.8227707143496</v>
      </c>
    </row>
    <row r="134" spans="2:18" s="5" customFormat="1" outlineLevel="1" x14ac:dyDescent="0.3">
      <c r="C134" s="5" t="s">
        <v>33</v>
      </c>
      <c r="D134" s="167" t="s">
        <v>454</v>
      </c>
      <c r="E134" s="28">
        <f>E133+E132</f>
        <v>1617</v>
      </c>
      <c r="F134" s="28">
        <f t="shared" ref="F134:H134" si="110">F133+F132</f>
        <v>2581</v>
      </c>
      <c r="G134" s="28">
        <f t="shared" si="110"/>
        <v>1863</v>
      </c>
      <c r="H134" s="28">
        <f t="shared" si="110"/>
        <v>2875</v>
      </c>
      <c r="I134" s="26">
        <f>I133+I132</f>
        <v>4287.8365284457486</v>
      </c>
      <c r="J134" s="26">
        <f t="shared" ref="J134:R134" si="111">J133+J132</f>
        <v>5029.2775518013541</v>
      </c>
      <c r="K134" s="26">
        <f t="shared" si="111"/>
        <v>5339.0163982294598</v>
      </c>
      <c r="L134" s="26">
        <f t="shared" si="111"/>
        <v>5740.0951331362676</v>
      </c>
      <c r="M134" s="26">
        <f t="shared" si="111"/>
        <v>6146.2551713403636</v>
      </c>
      <c r="N134" s="26">
        <f t="shared" si="111"/>
        <v>6547.5822911155983</v>
      </c>
      <c r="O134" s="26">
        <f t="shared" si="111"/>
        <v>6934.6558514035341</v>
      </c>
      <c r="P134" s="26">
        <f t="shared" si="111"/>
        <v>7312.7358826548643</v>
      </c>
      <c r="Q134" s="26">
        <f t="shared" si="111"/>
        <v>7685.2510559934653</v>
      </c>
      <c r="R134" s="26">
        <f t="shared" si="111"/>
        <v>8050.0170897314556</v>
      </c>
    </row>
    <row r="135" spans="2:18" s="5" customFormat="1" outlineLevel="1" x14ac:dyDescent="0.3">
      <c r="D135" s="167"/>
      <c r="E135" s="28"/>
      <c r="F135" s="28"/>
      <c r="G135" s="28"/>
      <c r="H135" s="28"/>
      <c r="I135" s="26"/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2:18" s="5" customFormat="1" outlineLevel="1" x14ac:dyDescent="0.3">
      <c r="C136" s="5" t="s">
        <v>263</v>
      </c>
      <c r="D136" s="167" t="s">
        <v>454</v>
      </c>
      <c r="E136" s="26">
        <f>E129-E126</f>
        <v>5005</v>
      </c>
      <c r="F136" s="26">
        <f t="shared" ref="F136:R136" si="112">F129-F126</f>
        <v>5520</v>
      </c>
      <c r="G136" s="26">
        <f t="shared" si="112"/>
        <v>6498</v>
      </c>
      <c r="H136" s="26">
        <f t="shared" si="112"/>
        <v>7717</v>
      </c>
      <c r="I136" s="26">
        <f t="shared" si="112"/>
        <v>9349.9358780620241</v>
      </c>
      <c r="J136" s="26">
        <f t="shared" si="112"/>
        <v>10131.233621424983</v>
      </c>
      <c r="K136" s="26">
        <f t="shared" si="112"/>
        <v>10945.100895301232</v>
      </c>
      <c r="L136" s="26">
        <f t="shared" si="112"/>
        <v>11696.961567019094</v>
      </c>
      <c r="M136" s="26">
        <f t="shared" si="112"/>
        <v>12335.823478428083</v>
      </c>
      <c r="N136" s="26">
        <f t="shared" si="112"/>
        <v>12937.746509074008</v>
      </c>
      <c r="O136" s="26">
        <f t="shared" si="112"/>
        <v>13524.724772634436</v>
      </c>
      <c r="P136" s="26">
        <f t="shared" si="112"/>
        <v>14092.064127195574</v>
      </c>
      <c r="Q136" s="26">
        <f t="shared" si="112"/>
        <v>14646.081745089075</v>
      </c>
      <c r="R136" s="26">
        <f t="shared" si="112"/>
        <v>15183.16541119576</v>
      </c>
    </row>
    <row r="138" spans="2:18" x14ac:dyDescent="0.3">
      <c r="B138" s="1"/>
      <c r="C138" s="1"/>
      <c r="D138" s="1"/>
      <c r="E138" s="13" t="s">
        <v>15</v>
      </c>
      <c r="F138" s="13"/>
      <c r="G138" s="13"/>
      <c r="H138" s="14"/>
      <c r="I138" s="18" t="s">
        <v>16</v>
      </c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2:18" x14ac:dyDescent="0.3">
      <c r="B139" s="15" t="s">
        <v>154</v>
      </c>
      <c r="C139" s="16"/>
      <c r="D139" s="19" t="s">
        <v>14</v>
      </c>
      <c r="E139" s="17">
        <f t="shared" ref="E139:R139" si="113">E15</f>
        <v>43830</v>
      </c>
      <c r="F139" s="17">
        <f t="shared" si="113"/>
        <v>44196</v>
      </c>
      <c r="G139" s="17">
        <f t="shared" si="113"/>
        <v>44561</v>
      </c>
      <c r="H139" s="20">
        <f t="shared" si="113"/>
        <v>44926</v>
      </c>
      <c r="I139" s="17">
        <f t="shared" si="113"/>
        <v>45291</v>
      </c>
      <c r="J139" s="17">
        <f t="shared" si="113"/>
        <v>45657</v>
      </c>
      <c r="K139" s="17">
        <f t="shared" si="113"/>
        <v>46022</v>
      </c>
      <c r="L139" s="17">
        <f t="shared" si="113"/>
        <v>46387</v>
      </c>
      <c r="M139" s="17">
        <f t="shared" si="113"/>
        <v>46752</v>
      </c>
      <c r="N139" s="17">
        <f t="shared" si="113"/>
        <v>47118</v>
      </c>
      <c r="O139" s="17">
        <f t="shared" si="113"/>
        <v>47483</v>
      </c>
      <c r="P139" s="17">
        <f t="shared" si="113"/>
        <v>47848</v>
      </c>
      <c r="Q139" s="17">
        <f t="shared" si="113"/>
        <v>48213</v>
      </c>
      <c r="R139" s="17">
        <f t="shared" si="113"/>
        <v>48579</v>
      </c>
    </row>
    <row r="140" spans="2:18" outlineLevel="1" x14ac:dyDescent="0.3">
      <c r="B140" s="33" t="s">
        <v>34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</row>
    <row r="141" spans="2:18" s="5" customFormat="1" outlineLevel="1" x14ac:dyDescent="0.3">
      <c r="C141" s="5" t="s">
        <v>35</v>
      </c>
    </row>
    <row r="142" spans="2:18" outlineLevel="1" x14ac:dyDescent="0.3">
      <c r="C142" s="9" t="s">
        <v>36</v>
      </c>
      <c r="D142" s="167" t="s">
        <v>454</v>
      </c>
      <c r="E142" s="152">
        <v>399</v>
      </c>
      <c r="F142" s="152">
        <v>1687</v>
      </c>
      <c r="G142" s="152">
        <v>1821</v>
      </c>
      <c r="H142" s="152">
        <v>1015</v>
      </c>
      <c r="I142" s="29">
        <f>H142+I210</f>
        <v>5098.4871850294094</v>
      </c>
      <c r="J142" s="29">
        <f t="shared" ref="J142:R142" si="114">I142+J210</f>
        <v>10287.014427542474</v>
      </c>
      <c r="K142" s="29">
        <f t="shared" si="114"/>
        <v>15714.646191157417</v>
      </c>
      <c r="L142" s="29">
        <f t="shared" si="114"/>
        <v>20211.808007506595</v>
      </c>
      <c r="M142" s="29">
        <f t="shared" si="114"/>
        <v>25857.542044030088</v>
      </c>
      <c r="N142" s="29">
        <f t="shared" si="114"/>
        <v>31842.032420739968</v>
      </c>
      <c r="O142" s="29">
        <f t="shared" si="114"/>
        <v>38200.37577592754</v>
      </c>
      <c r="P142" s="29">
        <f t="shared" si="114"/>
        <v>44923.423181620048</v>
      </c>
      <c r="Q142" s="29">
        <f t="shared" si="114"/>
        <v>52007.558345697711</v>
      </c>
      <c r="R142" s="29">
        <f t="shared" si="114"/>
        <v>59445.016257499803</v>
      </c>
    </row>
    <row r="143" spans="2:18" outlineLevel="1" x14ac:dyDescent="0.3">
      <c r="C143" s="9" t="s">
        <v>37</v>
      </c>
      <c r="D143" s="167" t="s">
        <v>454</v>
      </c>
      <c r="E143" s="152">
        <v>2885</v>
      </c>
      <c r="F143" s="152">
        <v>2877</v>
      </c>
      <c r="G143" s="152">
        <v>2910</v>
      </c>
      <c r="H143" s="152">
        <v>3361</v>
      </c>
      <c r="I143" s="29">
        <f t="shared" ref="I143:R143" si="115">I53*I$120</f>
        <v>3565.8489525715568</v>
      </c>
      <c r="J143" s="29">
        <f t="shared" si="115"/>
        <v>3794.2670600473598</v>
      </c>
      <c r="K143" s="29">
        <f t="shared" si="115"/>
        <v>4029.595835253604</v>
      </c>
      <c r="L143" s="29">
        <f t="shared" si="115"/>
        <v>4239.6400410211154</v>
      </c>
      <c r="M143" s="29">
        <f t="shared" si="115"/>
        <v>4408.0467999337261</v>
      </c>
      <c r="N143" s="29">
        <f t="shared" si="115"/>
        <v>4560.9675280316378</v>
      </c>
      <c r="O143" s="29">
        <f t="shared" si="115"/>
        <v>4705.9459322415169</v>
      </c>
      <c r="P143" s="29">
        <f t="shared" si="115"/>
        <v>4841.657220079489</v>
      </c>
      <c r="Q143" s="29">
        <f t="shared" si="115"/>
        <v>4970.3357324038916</v>
      </c>
      <c r="R143" s="29">
        <f t="shared" si="115"/>
        <v>5091.0156306766503</v>
      </c>
    </row>
    <row r="144" spans="2:18" outlineLevel="1" x14ac:dyDescent="0.3">
      <c r="C144" s="9" t="s">
        <v>38</v>
      </c>
      <c r="D144" s="167" t="s">
        <v>454</v>
      </c>
      <c r="E144" s="152">
        <v>8464</v>
      </c>
      <c r="F144" s="152">
        <v>8436</v>
      </c>
      <c r="G144" s="152">
        <v>8353</v>
      </c>
      <c r="H144" s="152">
        <v>9756</v>
      </c>
      <c r="I144" s="29">
        <f t="shared" ref="I144:R144" si="116">I54*I$120</f>
        <v>10378.375014294425</v>
      </c>
      <c r="J144" s="29">
        <f t="shared" si="116"/>
        <v>11043.184099303395</v>
      </c>
      <c r="K144" s="29">
        <f t="shared" si="116"/>
        <v>11728.106627775522</v>
      </c>
      <c r="L144" s="29">
        <f t="shared" si="116"/>
        <v>12339.438618005444</v>
      </c>
      <c r="M144" s="29">
        <f t="shared" si="116"/>
        <v>12829.585150341456</v>
      </c>
      <c r="N144" s="29">
        <f t="shared" si="116"/>
        <v>13274.659713164579</v>
      </c>
      <c r="O144" s="29">
        <f t="shared" si="116"/>
        <v>13696.618205483497</v>
      </c>
      <c r="P144" s="29">
        <f t="shared" si="116"/>
        <v>14091.604829311071</v>
      </c>
      <c r="Q144" s="29">
        <f t="shared" si="116"/>
        <v>14466.122615943917</v>
      </c>
      <c r="R144" s="29">
        <f t="shared" si="116"/>
        <v>14817.360499999093</v>
      </c>
    </row>
    <row r="145" spans="2:18" outlineLevel="1" x14ac:dyDescent="0.3">
      <c r="C145" s="22" t="s">
        <v>41</v>
      </c>
      <c r="D145" s="171" t="s">
        <v>454</v>
      </c>
      <c r="E145" s="153">
        <v>522</v>
      </c>
      <c r="F145" s="153">
        <v>876</v>
      </c>
      <c r="G145" s="153">
        <v>660</v>
      </c>
      <c r="H145" s="153">
        <v>734</v>
      </c>
      <c r="I145" s="30">
        <f t="shared" ref="I145:R145" si="117">I55*I$120</f>
        <v>825.31197922123317</v>
      </c>
      <c r="J145" s="30">
        <f t="shared" si="117"/>
        <v>878.17910928709659</v>
      </c>
      <c r="K145" s="30">
        <f t="shared" si="117"/>
        <v>932.64570611058514</v>
      </c>
      <c r="L145" s="30">
        <f t="shared" si="117"/>
        <v>981.26021600476383</v>
      </c>
      <c r="M145" s="30">
        <f t="shared" si="117"/>
        <v>1020.2377827388138</v>
      </c>
      <c r="N145" s="30">
        <f t="shared" si="117"/>
        <v>1055.6311239737036</v>
      </c>
      <c r="O145" s="30">
        <f t="shared" si="117"/>
        <v>1089.1862227213671</v>
      </c>
      <c r="P145" s="30">
        <f t="shared" si="117"/>
        <v>1120.5964571586521</v>
      </c>
      <c r="Q145" s="30">
        <f t="shared" si="117"/>
        <v>1150.3789631206921</v>
      </c>
      <c r="R145" s="30">
        <f t="shared" si="117"/>
        <v>1178.3101982965065</v>
      </c>
    </row>
    <row r="146" spans="2:18" s="5" customFormat="1" outlineLevel="1" x14ac:dyDescent="0.3">
      <c r="C146" s="5" t="s">
        <v>42</v>
      </c>
      <c r="D146" s="167" t="s">
        <v>454</v>
      </c>
      <c r="E146" s="31">
        <f t="shared" ref="E146:F146" si="118">SUM(E142:E145)</f>
        <v>12270</v>
      </c>
      <c r="F146" s="31">
        <f t="shared" si="118"/>
        <v>13876</v>
      </c>
      <c r="G146" s="31">
        <f>SUM(G142:G145)</f>
        <v>13744</v>
      </c>
      <c r="H146" s="31">
        <f>SUM(H142:H145)</f>
        <v>14866</v>
      </c>
      <c r="I146" s="31">
        <f t="shared" ref="I146" si="119">SUM(I142:I145)</f>
        <v>19868.023131116624</v>
      </c>
      <c r="J146" s="31">
        <f t="shared" ref="J146" si="120">SUM(J142:J145)</f>
        <v>26002.644696180323</v>
      </c>
      <c r="K146" s="31">
        <f t="shared" ref="K146" si="121">SUM(K142:K145)</f>
        <v>32404.994360297129</v>
      </c>
      <c r="L146" s="31">
        <f t="shared" ref="L146" si="122">SUM(L142:L145)</f>
        <v>37772.146882537912</v>
      </c>
      <c r="M146" s="31">
        <f t="shared" ref="M146" si="123">SUM(M142:M145)</f>
        <v>44115.411777044079</v>
      </c>
      <c r="N146" s="31">
        <f t="shared" ref="N146" si="124">SUM(N142:N145)</f>
        <v>50733.290785909885</v>
      </c>
      <c r="O146" s="31">
        <f t="shared" ref="O146" si="125">SUM(O142:O145)</f>
        <v>57692.12613637391</v>
      </c>
      <c r="P146" s="31">
        <f t="shared" ref="P146" si="126">SUM(P142:P145)</f>
        <v>64977.281688169263</v>
      </c>
      <c r="Q146" s="31">
        <f t="shared" ref="Q146" si="127">SUM(Q142:Q145)</f>
        <v>72594.395657166198</v>
      </c>
      <c r="R146" s="31">
        <f t="shared" ref="R146" si="128">SUM(R142:R145)</f>
        <v>80531.702586472049</v>
      </c>
    </row>
    <row r="147" spans="2:18" s="5" customFormat="1" outlineLevel="1" x14ac:dyDescent="0.3">
      <c r="D147" s="167"/>
      <c r="E147" s="129"/>
      <c r="F147" s="129"/>
      <c r="G147" s="129"/>
      <c r="H147" s="129"/>
    </row>
    <row r="148" spans="2:18" s="5" customFormat="1" outlineLevel="1" x14ac:dyDescent="0.3">
      <c r="C148" s="5" t="s">
        <v>62</v>
      </c>
      <c r="D148" s="167"/>
      <c r="E148" s="31"/>
      <c r="F148" s="31"/>
      <c r="G148" s="31"/>
      <c r="H148" s="31"/>
    </row>
    <row r="149" spans="2:18" outlineLevel="1" x14ac:dyDescent="0.3">
      <c r="C149" s="9" t="s">
        <v>43</v>
      </c>
      <c r="D149" s="167" t="s">
        <v>454</v>
      </c>
      <c r="E149" s="152">
        <v>21871</v>
      </c>
      <c r="F149" s="152">
        <v>22386</v>
      </c>
      <c r="G149" s="152">
        <v>23789</v>
      </c>
      <c r="H149" s="152">
        <v>24726</v>
      </c>
      <c r="I149" s="29">
        <f t="shared" ref="I149:R149" si="129">H149-I197-I46</f>
        <v>24993.00923206906</v>
      </c>
      <c r="J149" s="29">
        <f t="shared" si="129"/>
        <v>25277.122313538082</v>
      </c>
      <c r="K149" s="29">
        <f t="shared" si="129"/>
        <v>25578.856712227018</v>
      </c>
      <c r="L149" s="29">
        <f t="shared" si="129"/>
        <v>25896.319130478336</v>
      </c>
      <c r="M149" s="29">
        <f t="shared" si="129"/>
        <v>26226.391774224503</v>
      </c>
      <c r="N149" s="29">
        <f t="shared" si="129"/>
        <v>26567.915056155278</v>
      </c>
      <c r="O149" s="29">
        <f t="shared" si="129"/>
        <v>26920.294258482445</v>
      </c>
      <c r="P149" s="29">
        <f t="shared" si="129"/>
        <v>27282.835463527812</v>
      </c>
      <c r="Q149" s="29">
        <f t="shared" si="129"/>
        <v>27655.012060093268</v>
      </c>
      <c r="R149" s="29">
        <f t="shared" si="129"/>
        <v>28036.225115407418</v>
      </c>
    </row>
    <row r="150" spans="2:18" outlineLevel="1" x14ac:dyDescent="0.3">
      <c r="C150" s="9" t="s">
        <v>44</v>
      </c>
      <c r="D150" s="167" t="s">
        <v>454</v>
      </c>
      <c r="E150" s="152">
        <v>6814</v>
      </c>
      <c r="F150" s="152">
        <v>6796</v>
      </c>
      <c r="G150" s="152">
        <v>6695</v>
      </c>
      <c r="H150" s="152">
        <v>6662</v>
      </c>
      <c r="I150" s="160">
        <f>I87</f>
        <v>6728.0699156100118</v>
      </c>
      <c r="J150" s="160">
        <f t="shared" ref="J150:R150" si="130">J87</f>
        <v>6828.2893955399068</v>
      </c>
      <c r="K150" s="160">
        <f t="shared" si="130"/>
        <v>6961.1900793181876</v>
      </c>
      <c r="L150" s="160">
        <f t="shared" si="130"/>
        <v>7119.87994504366</v>
      </c>
      <c r="M150" s="160">
        <f t="shared" si="130"/>
        <v>7295.1903544972911</v>
      </c>
      <c r="N150" s="160">
        <f t="shared" si="130"/>
        <v>7483.1643619869774</v>
      </c>
      <c r="O150" s="160">
        <f t="shared" si="130"/>
        <v>7681.4504934971728</v>
      </c>
      <c r="P150" s="160">
        <f t="shared" si="130"/>
        <v>7887.6523576726559</v>
      </c>
      <c r="Q150" s="160">
        <f t="shared" si="130"/>
        <v>8099.9443479911097</v>
      </c>
      <c r="R150" s="160">
        <f t="shared" si="130"/>
        <v>8316.476768306833</v>
      </c>
    </row>
    <row r="151" spans="2:18" outlineLevel="1" x14ac:dyDescent="0.3">
      <c r="C151" s="9" t="s">
        <v>84</v>
      </c>
      <c r="D151" s="167" t="s">
        <v>454</v>
      </c>
      <c r="E151" s="152">
        <v>690</v>
      </c>
      <c r="F151" s="152">
        <v>844</v>
      </c>
      <c r="G151" s="152">
        <v>1525</v>
      </c>
      <c r="H151" s="152">
        <v>2018</v>
      </c>
      <c r="I151" s="160">
        <f>I93</f>
        <v>1866.01</v>
      </c>
      <c r="J151" s="160">
        <f t="shared" ref="J151:R151" si="131">J93</f>
        <v>1708.7003500000001</v>
      </c>
      <c r="K151" s="160">
        <f t="shared" si="131"/>
        <v>1545.88486225</v>
      </c>
      <c r="L151" s="160">
        <f t="shared" si="131"/>
        <v>1377.37083242875</v>
      </c>
      <c r="M151" s="160">
        <f t="shared" si="131"/>
        <v>1202.9588115637562</v>
      </c>
      <c r="N151" s="160">
        <f t="shared" si="131"/>
        <v>1022.4423699684876</v>
      </c>
      <c r="O151" s="160">
        <f t="shared" si="131"/>
        <v>835.60785291738466</v>
      </c>
      <c r="P151" s="160">
        <f t="shared" si="131"/>
        <v>642.23412776949317</v>
      </c>
      <c r="Q151" s="160">
        <f t="shared" si="131"/>
        <v>442.09232224142545</v>
      </c>
      <c r="R151" s="160">
        <f t="shared" si="131"/>
        <v>234.94555351987535</v>
      </c>
    </row>
    <row r="152" spans="2:18" outlineLevel="1" x14ac:dyDescent="0.3">
      <c r="C152" s="9" t="s">
        <v>45</v>
      </c>
      <c r="D152" s="167" t="s">
        <v>454</v>
      </c>
      <c r="E152" s="152">
        <v>1066</v>
      </c>
      <c r="F152" s="152">
        <v>997</v>
      </c>
      <c r="G152" s="152">
        <v>942</v>
      </c>
      <c r="H152" s="152">
        <v>899</v>
      </c>
      <c r="I152" s="160">
        <f>H152</f>
        <v>899</v>
      </c>
      <c r="J152" s="160">
        <f t="shared" ref="J152:R152" si="132">I152</f>
        <v>899</v>
      </c>
      <c r="K152" s="160">
        <f t="shared" si="132"/>
        <v>899</v>
      </c>
      <c r="L152" s="160">
        <f t="shared" si="132"/>
        <v>899</v>
      </c>
      <c r="M152" s="160">
        <f t="shared" si="132"/>
        <v>899</v>
      </c>
      <c r="N152" s="160">
        <f t="shared" si="132"/>
        <v>899</v>
      </c>
      <c r="O152" s="160">
        <f t="shared" si="132"/>
        <v>899</v>
      </c>
      <c r="P152" s="160">
        <f t="shared" si="132"/>
        <v>899</v>
      </c>
      <c r="Q152" s="160">
        <f t="shared" si="132"/>
        <v>899</v>
      </c>
      <c r="R152" s="160">
        <f t="shared" si="132"/>
        <v>899</v>
      </c>
    </row>
    <row r="153" spans="2:18" outlineLevel="1" x14ac:dyDescent="0.3">
      <c r="C153" s="9" t="s">
        <v>39</v>
      </c>
      <c r="D153" s="167" t="s">
        <v>454</v>
      </c>
      <c r="E153" s="152">
        <v>3076</v>
      </c>
      <c r="F153" s="152">
        <v>3076</v>
      </c>
      <c r="G153" s="152">
        <v>3076</v>
      </c>
      <c r="H153" s="152">
        <v>2916</v>
      </c>
      <c r="I153" s="160">
        <f>H153</f>
        <v>2916</v>
      </c>
      <c r="J153" s="160">
        <f t="shared" ref="J153:R153" si="133">I153</f>
        <v>2916</v>
      </c>
      <c r="K153" s="160">
        <f t="shared" si="133"/>
        <v>2916</v>
      </c>
      <c r="L153" s="160">
        <f t="shared" si="133"/>
        <v>2916</v>
      </c>
      <c r="M153" s="160">
        <f t="shared" si="133"/>
        <v>2916</v>
      </c>
      <c r="N153" s="160">
        <f t="shared" si="133"/>
        <v>2916</v>
      </c>
      <c r="O153" s="160">
        <f t="shared" si="133"/>
        <v>2916</v>
      </c>
      <c r="P153" s="160">
        <f t="shared" si="133"/>
        <v>2916</v>
      </c>
      <c r="Q153" s="160">
        <f t="shared" si="133"/>
        <v>2916</v>
      </c>
      <c r="R153" s="160">
        <f t="shared" si="133"/>
        <v>2916</v>
      </c>
    </row>
    <row r="154" spans="2:18" outlineLevel="1" x14ac:dyDescent="0.3">
      <c r="C154" s="22" t="s">
        <v>46</v>
      </c>
      <c r="D154" s="171" t="s">
        <v>454</v>
      </c>
      <c r="E154" s="153">
        <v>849</v>
      </c>
      <c r="F154" s="153">
        <v>2060</v>
      </c>
      <c r="G154" s="153">
        <v>885</v>
      </c>
      <c r="H154" s="153">
        <v>-268</v>
      </c>
      <c r="I154" s="159">
        <f>H154</f>
        <v>-268</v>
      </c>
      <c r="J154" s="159">
        <f t="shared" ref="J154:R154" si="134">I154</f>
        <v>-268</v>
      </c>
      <c r="K154" s="159">
        <f t="shared" si="134"/>
        <v>-268</v>
      </c>
      <c r="L154" s="159">
        <f t="shared" si="134"/>
        <v>-268</v>
      </c>
      <c r="M154" s="159">
        <f t="shared" si="134"/>
        <v>-268</v>
      </c>
      <c r="N154" s="159">
        <f t="shared" si="134"/>
        <v>-268</v>
      </c>
      <c r="O154" s="159">
        <f t="shared" si="134"/>
        <v>-268</v>
      </c>
      <c r="P154" s="159">
        <f t="shared" si="134"/>
        <v>-268</v>
      </c>
      <c r="Q154" s="159">
        <f t="shared" si="134"/>
        <v>-268</v>
      </c>
      <c r="R154" s="159">
        <f t="shared" si="134"/>
        <v>-268</v>
      </c>
    </row>
    <row r="155" spans="2:18" s="5" customFormat="1" outlineLevel="1" x14ac:dyDescent="0.3">
      <c r="C155" s="5" t="s">
        <v>47</v>
      </c>
      <c r="D155" s="167" t="s">
        <v>454</v>
      </c>
      <c r="E155" s="31">
        <f t="shared" ref="E155:F155" si="135">SUM(E149:E154)</f>
        <v>34366</v>
      </c>
      <c r="F155" s="31">
        <f t="shared" si="135"/>
        <v>36159</v>
      </c>
      <c r="G155" s="31">
        <f>SUM(G149:G154)</f>
        <v>36912</v>
      </c>
      <c r="H155" s="31">
        <f>SUM(H149:H154)</f>
        <v>36953</v>
      </c>
      <c r="I155" s="31">
        <f t="shared" ref="I155" si="136">SUM(I149:I154)</f>
        <v>37134.089147679071</v>
      </c>
      <c r="J155" s="31">
        <f t="shared" ref="J155" si="137">SUM(J149:J154)</f>
        <v>37361.11205907799</v>
      </c>
      <c r="K155" s="31">
        <f t="shared" ref="K155" si="138">SUM(K149:K154)</f>
        <v>37632.931653795204</v>
      </c>
      <c r="L155" s="31">
        <f t="shared" ref="L155" si="139">SUM(L149:L154)</f>
        <v>37940.569907950747</v>
      </c>
      <c r="M155" s="31">
        <f t="shared" ref="M155" si="140">SUM(M149:M154)</f>
        <v>38271.540940285544</v>
      </c>
      <c r="N155" s="31">
        <f t="shared" ref="N155" si="141">SUM(N149:N154)</f>
        <v>38620.521788110738</v>
      </c>
      <c r="O155" s="31">
        <f t="shared" ref="O155" si="142">SUM(O149:O154)</f>
        <v>38984.352604897002</v>
      </c>
      <c r="P155" s="31">
        <f t="shared" ref="P155" si="143">SUM(P149:P154)</f>
        <v>39359.721948969964</v>
      </c>
      <c r="Q155" s="31">
        <f t="shared" ref="Q155" si="144">SUM(Q149:Q154)</f>
        <v>39744.048730325805</v>
      </c>
      <c r="R155" s="31">
        <f t="shared" ref="R155" si="145">SUM(R149:R154)</f>
        <v>40134.647437234125</v>
      </c>
    </row>
    <row r="156" spans="2:18" outlineLevel="1" x14ac:dyDescent="0.3">
      <c r="D156" s="167"/>
      <c r="E156" s="29"/>
      <c r="F156" s="29"/>
      <c r="G156" s="29"/>
      <c r="H156" s="29"/>
    </row>
    <row r="157" spans="2:18" s="5" customFormat="1" outlineLevel="1" x14ac:dyDescent="0.3">
      <c r="C157" s="5" t="s">
        <v>48</v>
      </c>
      <c r="D157" s="167" t="s">
        <v>454</v>
      </c>
      <c r="E157" s="28">
        <f>E155+E146</f>
        <v>46636</v>
      </c>
      <c r="F157" s="28">
        <f>F155+F146</f>
        <v>50035</v>
      </c>
      <c r="G157" s="28">
        <f>G155+G146</f>
        <v>50656</v>
      </c>
      <c r="H157" s="28">
        <f>H155+H146</f>
        <v>51819</v>
      </c>
      <c r="I157" s="28">
        <f t="shared" ref="I157" si="146">I155+I146</f>
        <v>57002.112278795699</v>
      </c>
      <c r="J157" s="28">
        <f t="shared" ref="J157:R157" si="147">J155+J146</f>
        <v>63363.756755258313</v>
      </c>
      <c r="K157" s="28">
        <f t="shared" si="147"/>
        <v>70037.926014092329</v>
      </c>
      <c r="L157" s="28">
        <f t="shared" si="147"/>
        <v>75712.716790488659</v>
      </c>
      <c r="M157" s="28">
        <f t="shared" si="147"/>
        <v>82386.952717329623</v>
      </c>
      <c r="N157" s="28">
        <f t="shared" si="147"/>
        <v>89353.812574020616</v>
      </c>
      <c r="O157" s="28">
        <f t="shared" si="147"/>
        <v>96676.478741270912</v>
      </c>
      <c r="P157" s="28">
        <f t="shared" si="147"/>
        <v>104337.00363713922</v>
      </c>
      <c r="Q157" s="28">
        <f t="shared" si="147"/>
        <v>112338.444387492</v>
      </c>
      <c r="R157" s="28">
        <f t="shared" si="147"/>
        <v>120666.35002370618</v>
      </c>
    </row>
    <row r="158" spans="2:18" outlineLevel="1" x14ac:dyDescent="0.3">
      <c r="D158" s="167"/>
    </row>
    <row r="159" spans="2:18" s="5" customFormat="1" outlineLevel="1" x14ac:dyDescent="0.3">
      <c r="B159" s="33" t="s">
        <v>49</v>
      </c>
      <c r="C159" s="33"/>
      <c r="D159" s="175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</row>
    <row r="160" spans="2:18" s="5" customFormat="1" outlineLevel="1" x14ac:dyDescent="0.3">
      <c r="C160" s="27" t="s">
        <v>50</v>
      </c>
      <c r="D160" s="167"/>
    </row>
    <row r="161" spans="3:18" outlineLevel="1" x14ac:dyDescent="0.3">
      <c r="C161" s="9" t="s">
        <v>51</v>
      </c>
      <c r="D161" s="167" t="s">
        <v>454</v>
      </c>
      <c r="E161" s="150">
        <v>6349</v>
      </c>
      <c r="F161" s="150">
        <v>6679</v>
      </c>
      <c r="G161" s="150">
        <v>7117</v>
      </c>
      <c r="H161" s="150">
        <v>7119</v>
      </c>
      <c r="I161" s="24">
        <f t="shared" ref="I161:R161" si="148">-I56*I121</f>
        <v>8085.1592353304459</v>
      </c>
      <c r="J161" s="24">
        <f t="shared" si="148"/>
        <v>8603.071462050777</v>
      </c>
      <c r="K161" s="24">
        <f t="shared" si="148"/>
        <v>9136.6528463171053</v>
      </c>
      <c r="L161" s="24">
        <f t="shared" si="148"/>
        <v>9612.9043288326884</v>
      </c>
      <c r="M161" s="24">
        <f t="shared" si="148"/>
        <v>9994.7476094159665</v>
      </c>
      <c r="N161" s="24">
        <f t="shared" si="148"/>
        <v>10341.478066454154</v>
      </c>
      <c r="O161" s="24">
        <f t="shared" si="148"/>
        <v>10670.200202279802</v>
      </c>
      <c r="P161" s="24">
        <f t="shared" si="148"/>
        <v>10977.910199757534</v>
      </c>
      <c r="Q161" s="24">
        <f t="shared" si="148"/>
        <v>11269.67417410029</v>
      </c>
      <c r="R161" s="24">
        <f t="shared" si="148"/>
        <v>11543.302195650414</v>
      </c>
    </row>
    <row r="162" spans="3:18" outlineLevel="1" x14ac:dyDescent="0.3">
      <c r="C162" s="9" t="s">
        <v>52</v>
      </c>
      <c r="D162" s="167" t="s">
        <v>454</v>
      </c>
      <c r="E162" s="150">
        <v>1168</v>
      </c>
      <c r="F162" s="150">
        <v>1413</v>
      </c>
      <c r="G162" s="150">
        <v>1736</v>
      </c>
      <c r="H162" s="150">
        <v>1746</v>
      </c>
      <c r="I162" s="24">
        <f t="shared" ref="I162:R162" si="149">-I57*I124</f>
        <v>1896.8660432989786</v>
      </c>
      <c r="J162" s="24">
        <f t="shared" si="149"/>
        <v>2008.2854499348987</v>
      </c>
      <c r="K162" s="24">
        <f t="shared" si="149"/>
        <v>2122.1295991042207</v>
      </c>
      <c r="L162" s="24">
        <f t="shared" si="149"/>
        <v>2221.4738040596703</v>
      </c>
      <c r="M162" s="24">
        <f t="shared" si="149"/>
        <v>2297.9946976566121</v>
      </c>
      <c r="N162" s="24">
        <f t="shared" si="149"/>
        <v>2365.5880784112101</v>
      </c>
      <c r="O162" s="24">
        <f t="shared" si="149"/>
        <v>2428.2700276737737</v>
      </c>
      <c r="P162" s="24">
        <f t="shared" si="149"/>
        <v>2485.4238269587486</v>
      </c>
      <c r="Q162" s="24">
        <f t="shared" si="149"/>
        <v>2538.2644353216788</v>
      </c>
      <c r="R162" s="24">
        <f t="shared" si="149"/>
        <v>2586.3572812271391</v>
      </c>
    </row>
    <row r="163" spans="3:18" outlineLevel="1" x14ac:dyDescent="0.3">
      <c r="C163" s="22" t="s">
        <v>53</v>
      </c>
      <c r="D163" s="171" t="s">
        <v>454</v>
      </c>
      <c r="E163" s="151">
        <v>4164</v>
      </c>
      <c r="F163" s="151">
        <v>5696</v>
      </c>
      <c r="G163" s="151">
        <v>6265</v>
      </c>
      <c r="H163" s="151">
        <v>6401</v>
      </c>
      <c r="I163" s="25">
        <f t="shared" ref="I163:R163" si="150">I58*I120</f>
        <v>7094.0992618164337</v>
      </c>
      <c r="J163" s="25">
        <f t="shared" si="150"/>
        <v>7548.5270149777152</v>
      </c>
      <c r="K163" s="25">
        <f t="shared" si="150"/>
        <v>8016.7032368759656</v>
      </c>
      <c r="L163" s="25">
        <f t="shared" si="150"/>
        <v>8434.5769227508354</v>
      </c>
      <c r="M163" s="25">
        <f t="shared" si="150"/>
        <v>8769.6147440318746</v>
      </c>
      <c r="N163" s="25">
        <f t="shared" si="150"/>
        <v>9073.8437898341326</v>
      </c>
      <c r="O163" s="25">
        <f t="shared" si="150"/>
        <v>9362.2719324628106</v>
      </c>
      <c r="P163" s="25">
        <f t="shared" si="150"/>
        <v>9632.263555685442</v>
      </c>
      <c r="Q163" s="25">
        <f t="shared" si="150"/>
        <v>9888.2637821206808</v>
      </c>
      <c r="R163" s="25">
        <f t="shared" si="150"/>
        <v>10128.351118583843</v>
      </c>
    </row>
    <row r="164" spans="3:18" s="5" customFormat="1" outlineLevel="1" x14ac:dyDescent="0.3">
      <c r="C164" s="5" t="s">
        <v>54</v>
      </c>
      <c r="D164" s="167" t="s">
        <v>454</v>
      </c>
      <c r="E164" s="26">
        <f>SUM(E161:E163)</f>
        <v>11681</v>
      </c>
      <c r="F164" s="26">
        <f>SUM(F161:F163)</f>
        <v>13788</v>
      </c>
      <c r="G164" s="26">
        <f>SUM(G161:G163)</f>
        <v>15118</v>
      </c>
      <c r="H164" s="26">
        <f>SUM(H161:H163)</f>
        <v>15266</v>
      </c>
      <c r="I164" s="26">
        <f t="shared" ref="I164" si="151">SUM(I161:I163)</f>
        <v>17076.124540445857</v>
      </c>
      <c r="J164" s="26">
        <f t="shared" ref="J164" si="152">SUM(J161:J163)</f>
        <v>18159.88392696339</v>
      </c>
      <c r="K164" s="26">
        <f t="shared" ref="K164" si="153">SUM(K161:K163)</f>
        <v>19275.485682297291</v>
      </c>
      <c r="L164" s="26">
        <f t="shared" ref="L164" si="154">SUM(L161:L163)</f>
        <v>20268.955055643193</v>
      </c>
      <c r="M164" s="26">
        <f t="shared" ref="M164" si="155">SUM(M161:M163)</f>
        <v>21062.357051104453</v>
      </c>
      <c r="N164" s="26">
        <f t="shared" ref="N164" si="156">SUM(N161:N163)</f>
        <v>21780.909934699499</v>
      </c>
      <c r="O164" s="26">
        <f t="shared" ref="O164" si="157">SUM(O161:O163)</f>
        <v>22460.742162416387</v>
      </c>
      <c r="P164" s="26">
        <f t="shared" ref="P164" si="158">SUM(P161:P163)</f>
        <v>23095.597582401722</v>
      </c>
      <c r="Q164" s="26">
        <f t="shared" ref="Q164" si="159">SUM(Q161:Q163)</f>
        <v>23696.202391542647</v>
      </c>
      <c r="R164" s="26">
        <f t="shared" ref="R164" si="160">SUM(R161:R163)</f>
        <v>24258.010595461397</v>
      </c>
    </row>
    <row r="165" spans="3:18" outlineLevel="1" x14ac:dyDescent="0.3">
      <c r="D165" s="167"/>
      <c r="E165" s="24"/>
      <c r="F165" s="24"/>
      <c r="G165" s="24"/>
      <c r="H165" s="24"/>
    </row>
    <row r="166" spans="3:18" s="5" customFormat="1" outlineLevel="1" x14ac:dyDescent="0.3">
      <c r="C166" s="27" t="s">
        <v>55</v>
      </c>
      <c r="D166" s="167"/>
      <c r="E166" s="26"/>
      <c r="F166" s="26"/>
      <c r="G166" s="26"/>
      <c r="H166" s="26"/>
    </row>
    <row r="167" spans="3:18" outlineLevel="1" x14ac:dyDescent="0.3">
      <c r="C167" s="9" t="s">
        <v>115</v>
      </c>
      <c r="D167" s="167" t="s">
        <v>454</v>
      </c>
      <c r="E167" s="150">
        <v>13256</v>
      </c>
      <c r="F167" s="150">
        <v>12410</v>
      </c>
      <c r="G167" s="150">
        <v>11745</v>
      </c>
      <c r="H167" s="150">
        <v>11292</v>
      </c>
      <c r="I167" s="157">
        <f>I106</f>
        <v>10139</v>
      </c>
      <c r="J167" s="157">
        <f t="shared" ref="J167:R167" si="161">J106</f>
        <v>10114</v>
      </c>
      <c r="K167" s="157">
        <f t="shared" si="161"/>
        <v>10030</v>
      </c>
      <c r="L167" s="157">
        <f t="shared" si="161"/>
        <v>8644</v>
      </c>
      <c r="M167" s="157">
        <f t="shared" si="161"/>
        <v>8037</v>
      </c>
      <c r="N167" s="157">
        <f t="shared" si="161"/>
        <v>7386</v>
      </c>
      <c r="O167" s="157">
        <f t="shared" si="161"/>
        <v>6735</v>
      </c>
      <c r="P167" s="157">
        <f t="shared" si="161"/>
        <v>6084</v>
      </c>
      <c r="Q167" s="157">
        <f t="shared" si="161"/>
        <v>5433</v>
      </c>
      <c r="R167" s="157">
        <f t="shared" si="161"/>
        <v>4782</v>
      </c>
    </row>
    <row r="168" spans="3:18" outlineLevel="1" x14ac:dyDescent="0.3">
      <c r="C168" s="9" t="s">
        <v>56</v>
      </c>
      <c r="D168" s="167" t="s">
        <v>454</v>
      </c>
      <c r="E168" s="150">
        <v>7102</v>
      </c>
      <c r="F168" s="150">
        <v>7174</v>
      </c>
      <c r="G168" s="150">
        <v>7076</v>
      </c>
      <c r="H168" s="150">
        <v>7034</v>
      </c>
      <c r="I168" s="157">
        <f>I77</f>
        <v>7100.0699156100127</v>
      </c>
      <c r="J168" s="157">
        <f t="shared" ref="J168:R168" si="162">J77</f>
        <v>7200.2893955399077</v>
      </c>
      <c r="K168" s="157">
        <f t="shared" si="162"/>
        <v>7333.1900793181885</v>
      </c>
      <c r="L168" s="157">
        <f t="shared" si="162"/>
        <v>7491.8799450436609</v>
      </c>
      <c r="M168" s="157">
        <f t="shared" si="162"/>
        <v>7667.190354497292</v>
      </c>
      <c r="N168" s="157">
        <f t="shared" si="162"/>
        <v>7855.1643619869783</v>
      </c>
      <c r="O168" s="157">
        <f t="shared" si="162"/>
        <v>8053.4504934971737</v>
      </c>
      <c r="P168" s="157">
        <f t="shared" si="162"/>
        <v>8259.6523576726577</v>
      </c>
      <c r="Q168" s="157">
        <f t="shared" si="162"/>
        <v>8471.9443479911115</v>
      </c>
      <c r="R168" s="157">
        <f t="shared" si="162"/>
        <v>8688.4767683068349</v>
      </c>
    </row>
    <row r="169" spans="3:18" outlineLevel="1" x14ac:dyDescent="0.3">
      <c r="C169" s="9" t="s">
        <v>85</v>
      </c>
      <c r="D169" s="167" t="s">
        <v>454</v>
      </c>
      <c r="E169" s="150">
        <v>820</v>
      </c>
      <c r="F169" s="150">
        <v>1003</v>
      </c>
      <c r="G169" s="150">
        <v>1619</v>
      </c>
      <c r="H169" s="150">
        <v>2086</v>
      </c>
      <c r="I169" s="160">
        <f>I98</f>
        <v>1934.01</v>
      </c>
      <c r="J169" s="160">
        <f t="shared" ref="J169:R169" si="163">J98</f>
        <v>1776.7003500000001</v>
      </c>
      <c r="K169" s="160">
        <f t="shared" si="163"/>
        <v>1613.88486225</v>
      </c>
      <c r="L169" s="160">
        <f t="shared" si="163"/>
        <v>1445.37083242875</v>
      </c>
      <c r="M169" s="160">
        <f t="shared" si="163"/>
        <v>1270.9588115637562</v>
      </c>
      <c r="N169" s="160">
        <f t="shared" si="163"/>
        <v>1090.4423699684876</v>
      </c>
      <c r="O169" s="160">
        <f t="shared" si="163"/>
        <v>903.60785291738466</v>
      </c>
      <c r="P169" s="160">
        <f t="shared" si="163"/>
        <v>710.23412776949317</v>
      </c>
      <c r="Q169" s="160">
        <f t="shared" si="163"/>
        <v>510.09232224142545</v>
      </c>
      <c r="R169" s="160">
        <f t="shared" si="163"/>
        <v>302.94555351987538</v>
      </c>
    </row>
    <row r="170" spans="3:18" outlineLevel="1" x14ac:dyDescent="0.3">
      <c r="C170" s="9" t="s">
        <v>57</v>
      </c>
      <c r="D170" s="167" t="s">
        <v>454</v>
      </c>
      <c r="E170" s="150">
        <v>1466</v>
      </c>
      <c r="F170" s="150">
        <v>1542</v>
      </c>
      <c r="G170" s="150">
        <v>1562</v>
      </c>
      <c r="H170" s="150">
        <v>1672</v>
      </c>
      <c r="I170" s="24">
        <f>H170+I192</f>
        <v>1710.3212942940813</v>
      </c>
      <c r="J170" s="24">
        <f t="shared" ref="J170:R170" si="164">I170+J192</f>
        <v>1755.2690025079148</v>
      </c>
      <c r="K170" s="24">
        <f t="shared" si="164"/>
        <v>1802.9849117502943</v>
      </c>
      <c r="L170" s="24">
        <f t="shared" si="164"/>
        <v>1854.2853457602334</v>
      </c>
      <c r="M170" s="24">
        <f t="shared" si="164"/>
        <v>1909.2157172109446</v>
      </c>
      <c r="N170" s="24">
        <f t="shared" si="164"/>
        <v>1967.7328332968757</v>
      </c>
      <c r="O170" s="24">
        <f t="shared" si="164"/>
        <v>2029.7093069676512</v>
      </c>
      <c r="P170" s="24">
        <f t="shared" si="164"/>
        <v>2095.0647611681602</v>
      </c>
      <c r="Q170" s="24">
        <f t="shared" si="164"/>
        <v>2163.7494615961818</v>
      </c>
      <c r="R170" s="24">
        <f t="shared" si="164"/>
        <v>2235.6941525659663</v>
      </c>
    </row>
    <row r="171" spans="3:18" outlineLevel="1" x14ac:dyDescent="0.3">
      <c r="C171" s="22" t="s">
        <v>58</v>
      </c>
      <c r="D171" s="171" t="s">
        <v>454</v>
      </c>
      <c r="E171" s="151">
        <v>2358</v>
      </c>
      <c r="F171" s="151">
        <v>3195</v>
      </c>
      <c r="G171" s="151">
        <v>2537</v>
      </c>
      <c r="H171" s="151">
        <v>2259</v>
      </c>
      <c r="I171" s="25">
        <f>H171+I191+I199+I190+I207</f>
        <v>2544.75</v>
      </c>
      <c r="J171" s="25">
        <f t="shared" ref="J171:R171" si="165">I171+J191+J199+J190+J207</f>
        <v>2830.5</v>
      </c>
      <c r="K171" s="25">
        <f t="shared" si="165"/>
        <v>3116.25</v>
      </c>
      <c r="L171" s="25">
        <f t="shared" si="165"/>
        <v>3402</v>
      </c>
      <c r="M171" s="25">
        <f t="shared" si="165"/>
        <v>3687.75</v>
      </c>
      <c r="N171" s="25">
        <f t="shared" si="165"/>
        <v>3973.5</v>
      </c>
      <c r="O171" s="25">
        <f t="shared" si="165"/>
        <v>4259.25</v>
      </c>
      <c r="P171" s="25">
        <f t="shared" si="165"/>
        <v>4545</v>
      </c>
      <c r="Q171" s="25">
        <f t="shared" si="165"/>
        <v>4830.75</v>
      </c>
      <c r="R171" s="25">
        <f t="shared" si="165"/>
        <v>5116.5</v>
      </c>
    </row>
    <row r="172" spans="3:18" s="5" customFormat="1" outlineLevel="1" x14ac:dyDescent="0.3">
      <c r="C172" s="5" t="s">
        <v>59</v>
      </c>
      <c r="D172" s="167" t="s">
        <v>454</v>
      </c>
      <c r="E172" s="26">
        <f>SUM(E167:E171)</f>
        <v>25002</v>
      </c>
      <c r="F172" s="26">
        <f>SUM(F167:F171)</f>
        <v>25324</v>
      </c>
      <c r="G172" s="26">
        <f>SUM(G167:G171)</f>
        <v>24539</v>
      </c>
      <c r="H172" s="26">
        <f>SUM(H167:H171)</f>
        <v>24343</v>
      </c>
      <c r="I172" s="26">
        <f t="shared" ref="I172" si="166">SUM(I167:I171)</f>
        <v>23428.151209904092</v>
      </c>
      <c r="J172" s="26">
        <f t="shared" ref="J172" si="167">SUM(J167:J171)</f>
        <v>23676.758748047821</v>
      </c>
      <c r="K172" s="26">
        <f t="shared" ref="K172" si="168">SUM(K167:K171)</f>
        <v>23896.309853318482</v>
      </c>
      <c r="L172" s="26">
        <f t="shared" ref="L172" si="169">SUM(L167:L171)</f>
        <v>22837.536123232643</v>
      </c>
      <c r="M172" s="26">
        <f t="shared" ref="M172" si="170">SUM(M167:M171)</f>
        <v>22572.114883271992</v>
      </c>
      <c r="N172" s="26">
        <f t="shared" ref="N172" si="171">SUM(N167:N171)</f>
        <v>22272.839565252343</v>
      </c>
      <c r="O172" s="26">
        <f t="shared" ref="O172" si="172">SUM(O167:O171)</f>
        <v>21981.017653382209</v>
      </c>
      <c r="P172" s="26">
        <f t="shared" ref="P172" si="173">SUM(P167:P171)</f>
        <v>21693.951246610312</v>
      </c>
      <c r="Q172" s="26">
        <f t="shared" ref="Q172" si="174">SUM(Q167:Q171)</f>
        <v>21409.536131828718</v>
      </c>
      <c r="R172" s="26">
        <f t="shared" ref="R172" si="175">SUM(R167:R171)</f>
        <v>21125.616474392678</v>
      </c>
    </row>
    <row r="173" spans="3:18" outlineLevel="1" x14ac:dyDescent="0.3">
      <c r="D173" s="167"/>
      <c r="E173" s="24"/>
      <c r="F173" s="24"/>
      <c r="G173" s="24"/>
      <c r="H173" s="24"/>
    </row>
    <row r="174" spans="3:18" s="5" customFormat="1" outlineLevel="1" x14ac:dyDescent="0.3">
      <c r="C174" s="5" t="s">
        <v>40</v>
      </c>
      <c r="D174" s="167" t="s">
        <v>454</v>
      </c>
      <c r="E174" s="26">
        <v>9953</v>
      </c>
      <c r="F174" s="26">
        <v>10923</v>
      </c>
      <c r="G174" s="26">
        <v>10999</v>
      </c>
      <c r="H174" s="26">
        <v>12210</v>
      </c>
      <c r="I174" s="26">
        <f>H174+I184+I205+I206</f>
        <v>16497.836528445747</v>
      </c>
      <c r="J174" s="26">
        <f t="shared" ref="J174:R174" si="176">I174+J184+J205+J206</f>
        <v>21527.114080247102</v>
      </c>
      <c r="K174" s="26">
        <f t="shared" si="176"/>
        <v>26866.13047847656</v>
      </c>
      <c r="L174" s="26">
        <f t="shared" si="176"/>
        <v>32606.225611612826</v>
      </c>
      <c r="M174" s="26">
        <f t="shared" si="176"/>
        <v>38752.480782953193</v>
      </c>
      <c r="N174" s="26">
        <f t="shared" si="176"/>
        <v>45300.063074068792</v>
      </c>
      <c r="O174" s="26">
        <f t="shared" si="176"/>
        <v>52234.718925472327</v>
      </c>
      <c r="P174" s="26">
        <f t="shared" si="176"/>
        <v>59547.454808127193</v>
      </c>
      <c r="Q174" s="26">
        <f t="shared" si="176"/>
        <v>67232.705864120653</v>
      </c>
      <c r="R174" s="26">
        <f t="shared" si="176"/>
        <v>75282.722953852106</v>
      </c>
    </row>
    <row r="175" spans="3:18" outlineLevel="1" x14ac:dyDescent="0.3">
      <c r="D175" s="167"/>
      <c r="E175" s="24"/>
      <c r="F175" s="24"/>
      <c r="G175" s="24"/>
      <c r="H175" s="24"/>
    </row>
    <row r="176" spans="3:18" s="5" customFormat="1" outlineLevel="1" x14ac:dyDescent="0.3">
      <c r="C176" s="5" t="s">
        <v>60</v>
      </c>
      <c r="D176" s="167" t="s">
        <v>454</v>
      </c>
      <c r="E176" s="28">
        <f t="shared" ref="E176:F176" si="177">E174+E164+E172</f>
        <v>46636</v>
      </c>
      <c r="F176" s="28">
        <f t="shared" si="177"/>
        <v>50035</v>
      </c>
      <c r="G176" s="28">
        <f>G174+G164+G172</f>
        <v>50656</v>
      </c>
      <c r="H176" s="28">
        <f>H174+H164+H172</f>
        <v>51819</v>
      </c>
      <c r="I176" s="28">
        <f t="shared" ref="I176" si="178">I174+I164+I172</f>
        <v>57002.112278795692</v>
      </c>
      <c r="J176" s="28">
        <f t="shared" ref="J176:R176" si="179">J174+J164+J172</f>
        <v>63363.75675525832</v>
      </c>
      <c r="K176" s="28">
        <f t="shared" si="179"/>
        <v>70037.926014092329</v>
      </c>
      <c r="L176" s="28">
        <f t="shared" si="179"/>
        <v>75712.716790488659</v>
      </c>
      <c r="M176" s="28">
        <f t="shared" si="179"/>
        <v>82386.952717329637</v>
      </c>
      <c r="N176" s="28">
        <f t="shared" si="179"/>
        <v>89353.812574020631</v>
      </c>
      <c r="O176" s="28">
        <f t="shared" si="179"/>
        <v>96676.478741270927</v>
      </c>
      <c r="P176" s="28">
        <f t="shared" si="179"/>
        <v>104337.00363713922</v>
      </c>
      <c r="Q176" s="28">
        <f t="shared" si="179"/>
        <v>112338.44438749201</v>
      </c>
      <c r="R176" s="28">
        <f t="shared" si="179"/>
        <v>120666.35002370618</v>
      </c>
    </row>
    <row r="177" spans="2:21" outlineLevel="1" x14ac:dyDescent="0.3"/>
    <row r="178" spans="2:21" s="5" customFormat="1" outlineLevel="1" x14ac:dyDescent="0.3">
      <c r="C178" s="5" t="s">
        <v>61</v>
      </c>
      <c r="E178" s="34">
        <f>E176-E157</f>
        <v>0</v>
      </c>
      <c r="F178" s="34">
        <f>F176-F157</f>
        <v>0</v>
      </c>
      <c r="G178" s="34">
        <f>G176-G157</f>
        <v>0</v>
      </c>
      <c r="H178" s="34">
        <f>H176-H157</f>
        <v>0</v>
      </c>
      <c r="I178" s="34">
        <f t="shared" ref="I178" si="180">I176-I157</f>
        <v>0</v>
      </c>
      <c r="J178" s="34">
        <f t="shared" ref="J178:R178" si="181">J176-J157</f>
        <v>0</v>
      </c>
      <c r="K178" s="34">
        <f t="shared" si="181"/>
        <v>0</v>
      </c>
      <c r="L178" s="34">
        <f t="shared" si="181"/>
        <v>0</v>
      </c>
      <c r="M178" s="34">
        <f t="shared" si="181"/>
        <v>0</v>
      </c>
      <c r="N178" s="34">
        <f t="shared" si="181"/>
        <v>0</v>
      </c>
      <c r="O178" s="34">
        <f t="shared" si="181"/>
        <v>0</v>
      </c>
      <c r="P178" s="34">
        <f t="shared" si="181"/>
        <v>0</v>
      </c>
      <c r="Q178" s="34">
        <f t="shared" si="181"/>
        <v>0</v>
      </c>
      <c r="R178" s="34">
        <f t="shared" si="181"/>
        <v>0</v>
      </c>
    </row>
    <row r="179" spans="2:21" outlineLevel="1" x14ac:dyDescent="0.3">
      <c r="J179" s="24"/>
      <c r="K179" s="23"/>
      <c r="L179" s="23"/>
      <c r="M179" s="23"/>
      <c r="N179" s="23"/>
      <c r="O179" s="23"/>
      <c r="P179" s="23"/>
      <c r="Q179" s="23"/>
    </row>
    <row r="180" spans="2:21" x14ac:dyDescent="0.3">
      <c r="J180" s="24"/>
    </row>
    <row r="181" spans="2:21" x14ac:dyDescent="0.3">
      <c r="B181" s="1"/>
      <c r="C181" s="1"/>
      <c r="D181" s="1"/>
      <c r="E181" s="13" t="s">
        <v>15</v>
      </c>
      <c r="F181" s="13"/>
      <c r="G181" s="13"/>
      <c r="H181" s="14"/>
      <c r="I181" s="18" t="s">
        <v>16</v>
      </c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2:21" x14ac:dyDescent="0.3">
      <c r="B182" s="15" t="s">
        <v>18</v>
      </c>
      <c r="C182" s="16"/>
      <c r="D182" s="19" t="s">
        <v>14</v>
      </c>
      <c r="E182" s="17">
        <f t="shared" ref="E182:R182" si="182">E15</f>
        <v>43830</v>
      </c>
      <c r="F182" s="17">
        <f t="shared" si="182"/>
        <v>44196</v>
      </c>
      <c r="G182" s="17">
        <f t="shared" si="182"/>
        <v>44561</v>
      </c>
      <c r="H182" s="20">
        <f t="shared" si="182"/>
        <v>44926</v>
      </c>
      <c r="I182" s="17">
        <f t="shared" si="182"/>
        <v>45291</v>
      </c>
      <c r="J182" s="17">
        <f t="shared" si="182"/>
        <v>45657</v>
      </c>
      <c r="K182" s="17">
        <f t="shared" si="182"/>
        <v>46022</v>
      </c>
      <c r="L182" s="17">
        <f t="shared" si="182"/>
        <v>46387</v>
      </c>
      <c r="M182" s="17">
        <f t="shared" si="182"/>
        <v>46752</v>
      </c>
      <c r="N182" s="17">
        <f t="shared" si="182"/>
        <v>47118</v>
      </c>
      <c r="O182" s="17">
        <f t="shared" si="182"/>
        <v>47483</v>
      </c>
      <c r="P182" s="17">
        <f t="shared" si="182"/>
        <v>47848</v>
      </c>
      <c r="Q182" s="17">
        <f t="shared" si="182"/>
        <v>48213</v>
      </c>
      <c r="R182" s="17">
        <f t="shared" si="182"/>
        <v>48579</v>
      </c>
    </row>
    <row r="183" spans="2:21" outlineLevel="1" x14ac:dyDescent="0.3">
      <c r="B183" s="35" t="s">
        <v>72</v>
      </c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21" s="5" customFormat="1" outlineLevel="1" x14ac:dyDescent="0.3">
      <c r="C184" s="5" t="s">
        <v>33</v>
      </c>
      <c r="D184" s="167" t="s">
        <v>454</v>
      </c>
      <c r="E184" s="156">
        <v>1617</v>
      </c>
      <c r="F184" s="156">
        <f>F134</f>
        <v>2581</v>
      </c>
      <c r="G184" s="156">
        <f t="shared" ref="G184:H184" si="183">G134</f>
        <v>1863</v>
      </c>
      <c r="H184" s="156">
        <f t="shared" si="183"/>
        <v>2875</v>
      </c>
      <c r="I184" s="161">
        <f>I134</f>
        <v>4287.8365284457486</v>
      </c>
      <c r="J184" s="161">
        <f t="shared" ref="J184:R184" si="184">J134</f>
        <v>5029.2775518013541</v>
      </c>
      <c r="K184" s="161">
        <f t="shared" si="184"/>
        <v>5339.0163982294598</v>
      </c>
      <c r="L184" s="161">
        <f t="shared" si="184"/>
        <v>5740.0951331362676</v>
      </c>
      <c r="M184" s="161">
        <f t="shared" si="184"/>
        <v>6146.2551713403636</v>
      </c>
      <c r="N184" s="161">
        <f t="shared" si="184"/>
        <v>6547.5822911155983</v>
      </c>
      <c r="O184" s="161">
        <f t="shared" si="184"/>
        <v>6934.6558514035341</v>
      </c>
      <c r="P184" s="161">
        <f t="shared" si="184"/>
        <v>7312.7358826548643</v>
      </c>
      <c r="Q184" s="161">
        <f t="shared" si="184"/>
        <v>7685.2510559934653</v>
      </c>
      <c r="R184" s="161">
        <f t="shared" si="184"/>
        <v>8050.0170897314556</v>
      </c>
    </row>
    <row r="185" spans="2:21" s="5" customFormat="1" outlineLevel="1" x14ac:dyDescent="0.3">
      <c r="C185" s="5" t="s">
        <v>174</v>
      </c>
      <c r="D185" s="167"/>
      <c r="E185" s="28"/>
      <c r="F185" s="28"/>
      <c r="G185" s="28"/>
      <c r="H185" s="28"/>
      <c r="I185" s="26"/>
      <c r="J185" s="26"/>
      <c r="K185" s="26"/>
      <c r="L185" s="26"/>
      <c r="M185" s="26"/>
      <c r="N185" s="26"/>
      <c r="O185" s="26"/>
      <c r="P185" s="26"/>
      <c r="Q185" s="26"/>
      <c r="R185" s="26"/>
    </row>
    <row r="186" spans="2:21" outlineLevel="1" x14ac:dyDescent="0.3">
      <c r="C186" s="9" t="s">
        <v>63</v>
      </c>
      <c r="D186" s="167" t="s">
        <v>454</v>
      </c>
      <c r="E186" s="150">
        <v>2649</v>
      </c>
      <c r="F186" s="150">
        <v>2747</v>
      </c>
      <c r="G186" s="150">
        <v>2824</v>
      </c>
      <c r="H186" s="150">
        <v>2965</v>
      </c>
      <c r="I186" s="160">
        <f t="shared" ref="I186:R186" si="185">I48</f>
        <v>3364.4082467014059</v>
      </c>
      <c r="J186" s="160">
        <f t="shared" si="185"/>
        <v>3575.506241800153</v>
      </c>
      <c r="K186" s="160">
        <f t="shared" si="185"/>
        <v>3793.0161384717321</v>
      </c>
      <c r="L186" s="160">
        <f t="shared" si="185"/>
        <v>3987.9402613783268</v>
      </c>
      <c r="M186" s="160">
        <f t="shared" si="185"/>
        <v>4145.5533004777581</v>
      </c>
      <c r="N186" s="160">
        <f t="shared" si="185"/>
        <v>4289.4216432850817</v>
      </c>
      <c r="O186" s="160">
        <f t="shared" si="185"/>
        <v>4426.348523896726</v>
      </c>
      <c r="P186" s="160">
        <f t="shared" si="185"/>
        <v>4555.1479351408325</v>
      </c>
      <c r="Q186" s="160">
        <f t="shared" si="185"/>
        <v>4677.8404998296319</v>
      </c>
      <c r="R186" s="160">
        <f t="shared" si="185"/>
        <v>4793.5641194715045</v>
      </c>
    </row>
    <row r="187" spans="2:21" outlineLevel="1" x14ac:dyDescent="0.3">
      <c r="C187" s="9" t="s">
        <v>64</v>
      </c>
      <c r="D187" s="167" t="s">
        <v>454</v>
      </c>
      <c r="E187" s="150">
        <v>120</v>
      </c>
      <c r="F187" s="150">
        <v>70</v>
      </c>
      <c r="G187" s="150">
        <v>64</v>
      </c>
      <c r="H187" s="150">
        <v>232</v>
      </c>
      <c r="I187" s="45">
        <v>0</v>
      </c>
      <c r="J187" s="45">
        <f>I187</f>
        <v>0</v>
      </c>
      <c r="K187" s="45">
        <f t="shared" ref="K187:R191" si="186">J187</f>
        <v>0</v>
      </c>
      <c r="L187" s="45">
        <f t="shared" si="186"/>
        <v>0</v>
      </c>
      <c r="M187" s="45">
        <f t="shared" si="186"/>
        <v>0</v>
      </c>
      <c r="N187" s="45">
        <f t="shared" si="186"/>
        <v>0</v>
      </c>
      <c r="O187" s="45">
        <f t="shared" si="186"/>
        <v>0</v>
      </c>
      <c r="P187" s="45">
        <f t="shared" si="186"/>
        <v>0</v>
      </c>
      <c r="Q187" s="45">
        <f t="shared" si="186"/>
        <v>0</v>
      </c>
      <c r="R187" s="45">
        <f t="shared" si="186"/>
        <v>0</v>
      </c>
    </row>
    <row r="188" spans="2:21" outlineLevel="1" x14ac:dyDescent="0.3">
      <c r="C188" s="9" t="s">
        <v>65</v>
      </c>
      <c r="D188" s="167" t="s">
        <v>454</v>
      </c>
      <c r="E188" s="150">
        <v>155</v>
      </c>
      <c r="F188" s="150">
        <v>185</v>
      </c>
      <c r="G188" s="150">
        <v>203</v>
      </c>
      <c r="H188" s="150">
        <v>190</v>
      </c>
      <c r="I188" s="45">
        <v>0</v>
      </c>
      <c r="J188" s="45">
        <f>I188</f>
        <v>0</v>
      </c>
      <c r="K188" s="45">
        <f t="shared" si="186"/>
        <v>0</v>
      </c>
      <c r="L188" s="45">
        <f t="shared" si="186"/>
        <v>0</v>
      </c>
      <c r="M188" s="45">
        <f t="shared" si="186"/>
        <v>0</v>
      </c>
      <c r="N188" s="45">
        <f t="shared" si="186"/>
        <v>0</v>
      </c>
      <c r="O188" s="45">
        <f t="shared" si="186"/>
        <v>0</v>
      </c>
      <c r="P188" s="45">
        <f t="shared" si="186"/>
        <v>0</v>
      </c>
      <c r="Q188" s="45">
        <f t="shared" si="186"/>
        <v>0</v>
      </c>
      <c r="R188" s="45">
        <f t="shared" si="186"/>
        <v>0</v>
      </c>
    </row>
    <row r="189" spans="2:21" outlineLevel="1" x14ac:dyDescent="0.3">
      <c r="C189" s="9" t="s">
        <v>69</v>
      </c>
      <c r="D189" s="167" t="s">
        <v>454</v>
      </c>
      <c r="E189" s="150">
        <v>-334</v>
      </c>
      <c r="F189" s="150">
        <v>-59</v>
      </c>
      <c r="G189" s="150">
        <v>-44</v>
      </c>
      <c r="H189" s="150">
        <v>-40</v>
      </c>
      <c r="I189" s="45">
        <v>0</v>
      </c>
      <c r="J189" s="45">
        <f>I189</f>
        <v>0</v>
      </c>
      <c r="K189" s="45">
        <f t="shared" si="186"/>
        <v>0</v>
      </c>
      <c r="L189" s="45">
        <f t="shared" si="186"/>
        <v>0</v>
      </c>
      <c r="M189" s="45">
        <f t="shared" si="186"/>
        <v>0</v>
      </c>
      <c r="N189" s="45">
        <f t="shared" si="186"/>
        <v>0</v>
      </c>
      <c r="O189" s="45">
        <f t="shared" si="186"/>
        <v>0</v>
      </c>
      <c r="P189" s="45">
        <f t="shared" si="186"/>
        <v>0</v>
      </c>
      <c r="Q189" s="45">
        <f t="shared" si="186"/>
        <v>0</v>
      </c>
      <c r="R189" s="45">
        <f t="shared" si="186"/>
        <v>0</v>
      </c>
    </row>
    <row r="190" spans="2:21" outlineLevel="1" x14ac:dyDescent="0.3">
      <c r="C190" s="9" t="s">
        <v>68</v>
      </c>
      <c r="D190" s="167" t="s">
        <v>454</v>
      </c>
      <c r="E190" s="150">
        <v>-157</v>
      </c>
      <c r="F190" s="150">
        <v>-1105</v>
      </c>
      <c r="G190" s="150">
        <v>821</v>
      </c>
      <c r="H190" s="150">
        <v>728</v>
      </c>
      <c r="I190" s="45">
        <f>AVERAGE(E190:H190)</f>
        <v>71.75</v>
      </c>
      <c r="J190" s="45">
        <f>I190</f>
        <v>71.75</v>
      </c>
      <c r="K190" s="45">
        <f t="shared" si="186"/>
        <v>71.75</v>
      </c>
      <c r="L190" s="45">
        <f t="shared" si="186"/>
        <v>71.75</v>
      </c>
      <c r="M190" s="45">
        <f t="shared" si="186"/>
        <v>71.75</v>
      </c>
      <c r="N190" s="45">
        <f t="shared" si="186"/>
        <v>71.75</v>
      </c>
      <c r="O190" s="45">
        <f t="shared" si="186"/>
        <v>71.75</v>
      </c>
      <c r="P190" s="45">
        <f t="shared" si="186"/>
        <v>71.75</v>
      </c>
      <c r="Q190" s="45">
        <f t="shared" si="186"/>
        <v>71.75</v>
      </c>
      <c r="R190" s="45">
        <f t="shared" si="186"/>
        <v>71.75</v>
      </c>
    </row>
    <row r="191" spans="2:21" outlineLevel="1" x14ac:dyDescent="0.3">
      <c r="C191" s="9" t="s">
        <v>66</v>
      </c>
      <c r="D191" s="167" t="s">
        <v>454</v>
      </c>
      <c r="E191" s="150">
        <v>1224</v>
      </c>
      <c r="F191" s="150">
        <v>782</v>
      </c>
      <c r="G191" s="150">
        <v>865</v>
      </c>
      <c r="H191" s="150">
        <v>682</v>
      </c>
      <c r="I191" s="45">
        <f>AVERAGE(E191:H191)</f>
        <v>888.25</v>
      </c>
      <c r="J191" s="45">
        <f>I191</f>
        <v>888.25</v>
      </c>
      <c r="K191" s="45">
        <f t="shared" si="186"/>
        <v>888.25</v>
      </c>
      <c r="L191" s="45">
        <f t="shared" si="186"/>
        <v>888.25</v>
      </c>
      <c r="M191" s="45">
        <f t="shared" si="186"/>
        <v>888.25</v>
      </c>
      <c r="N191" s="45">
        <f t="shared" si="186"/>
        <v>888.25</v>
      </c>
      <c r="O191" s="45">
        <f t="shared" si="186"/>
        <v>888.25</v>
      </c>
      <c r="P191" s="45">
        <f t="shared" si="186"/>
        <v>888.25</v>
      </c>
      <c r="Q191" s="45">
        <f t="shared" si="186"/>
        <v>888.25</v>
      </c>
      <c r="R191" s="45">
        <f t="shared" si="186"/>
        <v>888.25</v>
      </c>
      <c r="U191" s="24">
        <f>SUM(I186:I193)+SUM(Albertsons_Financial_Model!H183:H188)</f>
        <v>6816.4302298955554</v>
      </c>
    </row>
    <row r="192" spans="2:21" outlineLevel="1" x14ac:dyDescent="0.3">
      <c r="C192" s="9" t="s">
        <v>83</v>
      </c>
      <c r="D192" s="167" t="s">
        <v>454</v>
      </c>
      <c r="E192" s="150">
        <v>-56</v>
      </c>
      <c r="F192" s="150">
        <v>73</v>
      </c>
      <c r="G192" s="150">
        <v>-31</v>
      </c>
      <c r="H192" s="150">
        <v>161</v>
      </c>
      <c r="I192" s="24">
        <f t="shared" ref="I192:R192" si="187">I61*I133</f>
        <v>38.32129429408122</v>
      </c>
      <c r="J192" s="24">
        <f t="shared" si="187"/>
        <v>44.947708213833437</v>
      </c>
      <c r="K192" s="24">
        <f t="shared" si="187"/>
        <v>47.715909242379439</v>
      </c>
      <c r="L192" s="24">
        <f t="shared" si="187"/>
        <v>51.300434009939273</v>
      </c>
      <c r="M192" s="24">
        <f t="shared" si="187"/>
        <v>54.930371450711135</v>
      </c>
      <c r="N192" s="24">
        <f t="shared" si="187"/>
        <v>58.517116085931043</v>
      </c>
      <c r="O192" s="24">
        <f t="shared" si="187"/>
        <v>61.976473670775469</v>
      </c>
      <c r="P192" s="24">
        <f t="shared" si="187"/>
        <v>65.355454200508817</v>
      </c>
      <c r="Q192" s="24">
        <f t="shared" si="187"/>
        <v>68.684700428021529</v>
      </c>
      <c r="R192" s="24">
        <f t="shared" si="187"/>
        <v>71.944690969784361</v>
      </c>
    </row>
    <row r="193" spans="2:18" s="5" customFormat="1" outlineLevel="1" x14ac:dyDescent="0.3">
      <c r="C193" s="57" t="s">
        <v>175</v>
      </c>
      <c r="D193" s="171" t="s">
        <v>454</v>
      </c>
      <c r="E193" s="154">
        <v>-554</v>
      </c>
      <c r="F193" s="154">
        <v>1541</v>
      </c>
      <c r="G193" s="154">
        <v>-229</v>
      </c>
      <c r="H193" s="154">
        <v>-3193</v>
      </c>
      <c r="I193" s="162">
        <f>I70</f>
        <v>891.58859435864179</v>
      </c>
      <c r="J193" s="162">
        <f t="shared" ref="J193:R193" si="188">J70</f>
        <v>137.66506396689692</v>
      </c>
      <c r="K193" s="162">
        <f t="shared" si="188"/>
        <v>140.88385483204183</v>
      </c>
      <c r="L193" s="162">
        <f t="shared" si="188"/>
        <v>123.47866745428837</v>
      </c>
      <c r="M193" s="162">
        <f t="shared" si="188"/>
        <v>95.871137478585297</v>
      </c>
      <c r="N193" s="162">
        <f t="shared" si="188"/>
        <v>85.1642514391242</v>
      </c>
      <c r="O193" s="162">
        <f t="shared" si="188"/>
        <v>79.340232440426917</v>
      </c>
      <c r="P193" s="162">
        <f t="shared" si="188"/>
        <v>72.747273882505397</v>
      </c>
      <c r="Q193" s="162">
        <f t="shared" si="188"/>
        <v>67.626004221634503</v>
      </c>
      <c r="R193" s="162">
        <f t="shared" si="188"/>
        <v>61.959186415002478</v>
      </c>
    </row>
    <row r="194" spans="2:18" s="5" customFormat="1" outlineLevel="1" x14ac:dyDescent="0.3">
      <c r="C194" s="5" t="s">
        <v>70</v>
      </c>
      <c r="D194" s="167" t="s">
        <v>454</v>
      </c>
      <c r="E194" s="26">
        <f>SUM(E184:E193)</f>
        <v>4664</v>
      </c>
      <c r="F194" s="26">
        <f>SUM(F184:F193)</f>
        <v>6815</v>
      </c>
      <c r="G194" s="26">
        <f>SUM(G184:G193)</f>
        <v>6336</v>
      </c>
      <c r="H194" s="26">
        <f>SUM(H184:H193)</f>
        <v>4600</v>
      </c>
      <c r="I194" s="26">
        <f t="shared" ref="I194:R194" si="189">SUM(I184:I193)</f>
        <v>9542.1546637998781</v>
      </c>
      <c r="J194" s="26">
        <f t="shared" si="189"/>
        <v>9747.3965657822373</v>
      </c>
      <c r="K194" s="26">
        <f t="shared" si="189"/>
        <v>10280.632300775613</v>
      </c>
      <c r="L194" s="26">
        <f t="shared" si="189"/>
        <v>10862.814495978822</v>
      </c>
      <c r="M194" s="26">
        <f t="shared" si="189"/>
        <v>11402.609980747418</v>
      </c>
      <c r="N194" s="26">
        <f t="shared" si="189"/>
        <v>11940.685301925736</v>
      </c>
      <c r="O194" s="26">
        <f t="shared" si="189"/>
        <v>12462.321081411463</v>
      </c>
      <c r="P194" s="26">
        <f t="shared" si="189"/>
        <v>12965.986545878712</v>
      </c>
      <c r="Q194" s="26">
        <f t="shared" si="189"/>
        <v>13459.402260472752</v>
      </c>
      <c r="R194" s="26">
        <f t="shared" si="189"/>
        <v>13937.485086587745</v>
      </c>
    </row>
    <row r="195" spans="2:18" outlineLevel="1" x14ac:dyDescent="0.3">
      <c r="D195" s="167"/>
      <c r="E195" s="24"/>
      <c r="F195" s="24"/>
      <c r="G195" s="24"/>
      <c r="H195" s="24"/>
    </row>
    <row r="196" spans="2:18" outlineLevel="1" x14ac:dyDescent="0.3">
      <c r="B196" s="35" t="s">
        <v>73</v>
      </c>
      <c r="C196" s="35"/>
      <c r="D196" s="176"/>
      <c r="E196" s="36"/>
      <c r="F196" s="36"/>
      <c r="G196" s="36"/>
      <c r="H196" s="36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outlineLevel="1" x14ac:dyDescent="0.3">
      <c r="C197" s="9" t="s">
        <v>75</v>
      </c>
      <c r="D197" s="167" t="s">
        <v>454</v>
      </c>
      <c r="E197" s="150">
        <v>-3128</v>
      </c>
      <c r="F197" s="150">
        <v>-2865</v>
      </c>
      <c r="G197" s="150">
        <v>-2614</v>
      </c>
      <c r="H197" s="150">
        <v>-3078</v>
      </c>
      <c r="I197" s="24">
        <f>-I71*I120</f>
        <v>-3479.4274787704685</v>
      </c>
      <c r="J197" s="24">
        <f t="shared" ref="J197:R197" si="190">-J71*J120</f>
        <v>-3702.3096732691729</v>
      </c>
      <c r="K197" s="24">
        <f t="shared" si="190"/>
        <v>-3931.9350494106693</v>
      </c>
      <c r="L197" s="24">
        <f t="shared" si="190"/>
        <v>-4136.8886498083948</v>
      </c>
      <c r="M197" s="24">
        <f t="shared" si="190"/>
        <v>-4301.2139233589305</v>
      </c>
      <c r="N197" s="24">
        <f t="shared" si="190"/>
        <v>-4450.4284836205888</v>
      </c>
      <c r="O197" s="24">
        <f t="shared" si="190"/>
        <v>-4591.8932091727911</v>
      </c>
      <c r="P197" s="24">
        <f t="shared" si="190"/>
        <v>-4724.3154150383089</v>
      </c>
      <c r="Q197" s="24">
        <f t="shared" si="190"/>
        <v>-4849.8752908670212</v>
      </c>
      <c r="R197" s="24">
        <f t="shared" si="190"/>
        <v>-4967.630406064105</v>
      </c>
    </row>
    <row r="198" spans="2:18" outlineLevel="1" x14ac:dyDescent="0.3">
      <c r="C198" s="9" t="s">
        <v>76</v>
      </c>
      <c r="D198" s="167" t="s">
        <v>454</v>
      </c>
      <c r="E198" s="150">
        <v>273</v>
      </c>
      <c r="F198" s="150">
        <v>165</v>
      </c>
      <c r="G198" s="150">
        <v>153</v>
      </c>
      <c r="H198" s="150">
        <v>78</v>
      </c>
      <c r="I198" s="45">
        <v>0</v>
      </c>
      <c r="J198" s="45">
        <f>I198</f>
        <v>0</v>
      </c>
      <c r="K198" s="45">
        <f t="shared" ref="K198:R199" si="191">J198</f>
        <v>0</v>
      </c>
      <c r="L198" s="45">
        <f t="shared" si="191"/>
        <v>0</v>
      </c>
      <c r="M198" s="45">
        <f t="shared" si="191"/>
        <v>0</v>
      </c>
      <c r="N198" s="45">
        <f t="shared" si="191"/>
        <v>0</v>
      </c>
      <c r="O198" s="45">
        <f t="shared" si="191"/>
        <v>0</v>
      </c>
      <c r="P198" s="45">
        <f t="shared" si="191"/>
        <v>0</v>
      </c>
      <c r="Q198" s="45">
        <f t="shared" si="191"/>
        <v>0</v>
      </c>
      <c r="R198" s="45">
        <f t="shared" si="191"/>
        <v>0</v>
      </c>
    </row>
    <row r="199" spans="2:18" outlineLevel="1" x14ac:dyDescent="0.3">
      <c r="C199" s="22" t="s">
        <v>66</v>
      </c>
      <c r="D199" s="171" t="s">
        <v>454</v>
      </c>
      <c r="E199" s="151">
        <v>244</v>
      </c>
      <c r="F199" s="151">
        <v>-114</v>
      </c>
      <c r="G199" s="151">
        <v>-150</v>
      </c>
      <c r="H199" s="151">
        <v>-15</v>
      </c>
      <c r="I199" s="53">
        <f>AVERAGE(E199:H199)</f>
        <v>-8.75</v>
      </c>
      <c r="J199" s="53">
        <f>I199</f>
        <v>-8.75</v>
      </c>
      <c r="K199" s="53">
        <f t="shared" si="191"/>
        <v>-8.75</v>
      </c>
      <c r="L199" s="53">
        <f t="shared" si="191"/>
        <v>-8.75</v>
      </c>
      <c r="M199" s="53">
        <f t="shared" si="191"/>
        <v>-8.75</v>
      </c>
      <c r="N199" s="53">
        <f t="shared" si="191"/>
        <v>-8.75</v>
      </c>
      <c r="O199" s="53">
        <f t="shared" si="191"/>
        <v>-8.75</v>
      </c>
      <c r="P199" s="53">
        <f t="shared" si="191"/>
        <v>-8.75</v>
      </c>
      <c r="Q199" s="53">
        <f t="shared" si="191"/>
        <v>-8.75</v>
      </c>
      <c r="R199" s="53">
        <f t="shared" si="191"/>
        <v>-8.75</v>
      </c>
    </row>
    <row r="200" spans="2:18" s="5" customFormat="1" outlineLevel="1" x14ac:dyDescent="0.3">
      <c r="C200" s="5" t="s">
        <v>71</v>
      </c>
      <c r="D200" s="167" t="s">
        <v>454</v>
      </c>
      <c r="E200" s="26">
        <f>SUM(E197:E199)</f>
        <v>-2611</v>
      </c>
      <c r="F200" s="26">
        <f>SUM(F197:F199)</f>
        <v>-2814</v>
      </c>
      <c r="G200" s="26">
        <f t="shared" ref="G200:H200" si="192">SUM(G197:G199)</f>
        <v>-2611</v>
      </c>
      <c r="H200" s="26">
        <f t="shared" si="192"/>
        <v>-3015</v>
      </c>
      <c r="I200" s="26">
        <f>SUM(I197:I199)</f>
        <v>-3488.1774787704685</v>
      </c>
      <c r="J200" s="26">
        <f t="shared" ref="J200:R200" si="193">SUM(J197:J199)</f>
        <v>-3711.0596732691729</v>
      </c>
      <c r="K200" s="26">
        <f t="shared" si="193"/>
        <v>-3940.6850494106693</v>
      </c>
      <c r="L200" s="26">
        <f t="shared" si="193"/>
        <v>-4145.6386498083948</v>
      </c>
      <c r="M200" s="26">
        <f t="shared" si="193"/>
        <v>-4309.9639233589305</v>
      </c>
      <c r="N200" s="26">
        <f t="shared" si="193"/>
        <v>-4459.1784836205888</v>
      </c>
      <c r="O200" s="26">
        <f t="shared" si="193"/>
        <v>-4600.6432091727911</v>
      </c>
      <c r="P200" s="26">
        <f t="shared" si="193"/>
        <v>-4733.0654150383089</v>
      </c>
      <c r="Q200" s="26">
        <f t="shared" si="193"/>
        <v>-4858.6252908670212</v>
      </c>
      <c r="R200" s="26">
        <f t="shared" si="193"/>
        <v>-4976.380406064105</v>
      </c>
    </row>
    <row r="201" spans="2:18" outlineLevel="1" x14ac:dyDescent="0.3">
      <c r="D201" s="167"/>
      <c r="E201" s="24"/>
      <c r="F201" s="24"/>
      <c r="G201" s="24"/>
      <c r="H201" s="24"/>
    </row>
    <row r="202" spans="2:18" outlineLevel="1" x14ac:dyDescent="0.3">
      <c r="B202" s="35" t="s">
        <v>74</v>
      </c>
      <c r="C202" s="35"/>
      <c r="D202" s="176"/>
      <c r="E202" s="36"/>
      <c r="F202" s="36"/>
      <c r="G202" s="36"/>
      <c r="H202" s="36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 outlineLevel="1" x14ac:dyDescent="0.3">
      <c r="C203" s="9" t="s">
        <v>77</v>
      </c>
      <c r="D203" s="167" t="s">
        <v>454</v>
      </c>
      <c r="E203" s="150">
        <v>813</v>
      </c>
      <c r="F203" s="150">
        <v>1049</v>
      </c>
      <c r="G203" s="150">
        <v>56</v>
      </c>
      <c r="H203" s="150">
        <v>0</v>
      </c>
      <c r="I203" s="45">
        <v>0</v>
      </c>
      <c r="J203" s="45">
        <f>I203</f>
        <v>0</v>
      </c>
      <c r="K203" s="45">
        <f t="shared" ref="K203:R207" si="194">J203</f>
        <v>0</v>
      </c>
      <c r="L203" s="45">
        <f t="shared" si="194"/>
        <v>0</v>
      </c>
      <c r="M203" s="45">
        <f t="shared" si="194"/>
        <v>0</v>
      </c>
      <c r="N203" s="45">
        <f t="shared" si="194"/>
        <v>0</v>
      </c>
      <c r="O203" s="45">
        <f t="shared" si="194"/>
        <v>0</v>
      </c>
      <c r="P203" s="45">
        <f t="shared" si="194"/>
        <v>0</v>
      </c>
      <c r="Q203" s="45">
        <f t="shared" si="194"/>
        <v>0</v>
      </c>
      <c r="R203" s="45">
        <f t="shared" si="194"/>
        <v>0</v>
      </c>
    </row>
    <row r="204" spans="2:18" outlineLevel="1" x14ac:dyDescent="0.3">
      <c r="C204" s="9" t="s">
        <v>78</v>
      </c>
      <c r="D204" s="167" t="s">
        <v>454</v>
      </c>
      <c r="E204" s="150">
        <v>-1954</v>
      </c>
      <c r="F204" s="150">
        <v>-1897</v>
      </c>
      <c r="G204" s="150">
        <v>-1442</v>
      </c>
      <c r="H204" s="150">
        <v>-552</v>
      </c>
      <c r="I204" s="24">
        <f>I105+I97</f>
        <v>-1304.99</v>
      </c>
      <c r="J204" s="24">
        <f t="shared" ref="J204:R204" si="195">J105+J97</f>
        <v>-182.30964999999998</v>
      </c>
      <c r="K204" s="24">
        <f t="shared" si="195"/>
        <v>-246.81548774999999</v>
      </c>
      <c r="L204" s="24">
        <f t="shared" si="195"/>
        <v>-1554.51402982125</v>
      </c>
      <c r="M204" s="24">
        <f t="shared" si="195"/>
        <v>-781.41202086499379</v>
      </c>
      <c r="N204" s="24">
        <f t="shared" si="195"/>
        <v>-831.51644159526859</v>
      </c>
      <c r="O204" s="24">
        <f t="shared" si="195"/>
        <v>-837.83451705110292</v>
      </c>
      <c r="P204" s="24">
        <f t="shared" si="195"/>
        <v>-844.37372514789149</v>
      </c>
      <c r="Q204" s="24">
        <f t="shared" si="195"/>
        <v>-851.14180552806772</v>
      </c>
      <c r="R204" s="24">
        <f t="shared" si="195"/>
        <v>-858.14676872155007</v>
      </c>
    </row>
    <row r="205" spans="2:18" outlineLevel="1" x14ac:dyDescent="0.3">
      <c r="C205" s="9" t="s">
        <v>79</v>
      </c>
      <c r="D205" s="167" t="s">
        <v>454</v>
      </c>
      <c r="E205" s="150">
        <v>55</v>
      </c>
      <c r="F205" s="150">
        <v>127</v>
      </c>
      <c r="G205" s="150">
        <v>172</v>
      </c>
      <c r="H205" s="150">
        <v>134</v>
      </c>
      <c r="I205" s="45">
        <v>0</v>
      </c>
      <c r="J205" s="45">
        <f>I205</f>
        <v>0</v>
      </c>
      <c r="K205" s="45">
        <f t="shared" si="194"/>
        <v>0</v>
      </c>
      <c r="L205" s="45">
        <f t="shared" si="194"/>
        <v>0</v>
      </c>
      <c r="M205" s="45">
        <f t="shared" si="194"/>
        <v>0</v>
      </c>
      <c r="N205" s="45">
        <f t="shared" si="194"/>
        <v>0</v>
      </c>
      <c r="O205" s="45">
        <f t="shared" si="194"/>
        <v>0</v>
      </c>
      <c r="P205" s="45">
        <f t="shared" si="194"/>
        <v>0</v>
      </c>
      <c r="Q205" s="45">
        <f t="shared" si="194"/>
        <v>0</v>
      </c>
      <c r="R205" s="45">
        <f t="shared" si="194"/>
        <v>0</v>
      </c>
    </row>
    <row r="206" spans="2:18" outlineLevel="1" x14ac:dyDescent="0.3">
      <c r="C206" s="9" t="s">
        <v>80</v>
      </c>
      <c r="D206" s="167" t="s">
        <v>454</v>
      </c>
      <c r="E206" s="150">
        <v>-465</v>
      </c>
      <c r="F206" s="150">
        <v>-1324</v>
      </c>
      <c r="G206" s="150">
        <v>-1647</v>
      </c>
      <c r="H206" s="150">
        <v>-993</v>
      </c>
      <c r="I206" s="45">
        <v>0</v>
      </c>
      <c r="J206" s="45">
        <f>I206</f>
        <v>0</v>
      </c>
      <c r="K206" s="45">
        <f t="shared" si="194"/>
        <v>0</v>
      </c>
      <c r="L206" s="45">
        <f t="shared" si="194"/>
        <v>0</v>
      </c>
      <c r="M206" s="45">
        <f t="shared" si="194"/>
        <v>0</v>
      </c>
      <c r="N206" s="45">
        <f t="shared" si="194"/>
        <v>0</v>
      </c>
      <c r="O206" s="45">
        <f t="shared" si="194"/>
        <v>0</v>
      </c>
      <c r="P206" s="45">
        <f t="shared" si="194"/>
        <v>0</v>
      </c>
      <c r="Q206" s="45">
        <f t="shared" si="194"/>
        <v>0</v>
      </c>
      <c r="R206" s="45">
        <f t="shared" si="194"/>
        <v>0</v>
      </c>
    </row>
    <row r="207" spans="2:18" outlineLevel="1" x14ac:dyDescent="0.3">
      <c r="C207" s="22" t="s">
        <v>66</v>
      </c>
      <c r="D207" s="171" t="s">
        <v>454</v>
      </c>
      <c r="E207" s="151">
        <v>-532</v>
      </c>
      <c r="F207" s="151">
        <v>-668</v>
      </c>
      <c r="G207" s="151">
        <v>-584</v>
      </c>
      <c r="H207" s="151">
        <v>-878</v>
      </c>
      <c r="I207" s="53">
        <f>AVERAGE(E207:H207)</f>
        <v>-665.5</v>
      </c>
      <c r="J207" s="53">
        <f>I207</f>
        <v>-665.5</v>
      </c>
      <c r="K207" s="53">
        <f t="shared" si="194"/>
        <v>-665.5</v>
      </c>
      <c r="L207" s="53">
        <f t="shared" si="194"/>
        <v>-665.5</v>
      </c>
      <c r="M207" s="53">
        <f t="shared" si="194"/>
        <v>-665.5</v>
      </c>
      <c r="N207" s="53">
        <f t="shared" si="194"/>
        <v>-665.5</v>
      </c>
      <c r="O207" s="53">
        <f t="shared" si="194"/>
        <v>-665.5</v>
      </c>
      <c r="P207" s="53">
        <f t="shared" si="194"/>
        <v>-665.5</v>
      </c>
      <c r="Q207" s="53">
        <f t="shared" si="194"/>
        <v>-665.5</v>
      </c>
      <c r="R207" s="53">
        <f t="shared" si="194"/>
        <v>-665.5</v>
      </c>
    </row>
    <row r="208" spans="2:18" s="5" customFormat="1" outlineLevel="1" x14ac:dyDescent="0.3">
      <c r="C208" s="5" t="s">
        <v>81</v>
      </c>
      <c r="D208" s="167" t="s">
        <v>454</v>
      </c>
      <c r="E208" s="26">
        <f>SUM(E203:E207)</f>
        <v>-2083</v>
      </c>
      <c r="F208" s="26">
        <f>SUM(F203:F207)</f>
        <v>-2713</v>
      </c>
      <c r="G208" s="26">
        <f t="shared" ref="G208:H208" si="196">SUM(G203:G207)</f>
        <v>-3445</v>
      </c>
      <c r="H208" s="26">
        <f t="shared" si="196"/>
        <v>-2289</v>
      </c>
      <c r="I208" s="26">
        <f>SUM(I203:I207)</f>
        <v>-1970.49</v>
      </c>
      <c r="J208" s="26">
        <f>SUM(J203:J207)</f>
        <v>-847.80964999999992</v>
      </c>
      <c r="K208" s="26">
        <f t="shared" ref="K208:R208" si="197">SUM(K203:K207)</f>
        <v>-912.31548774999999</v>
      </c>
      <c r="L208" s="26">
        <f t="shared" si="197"/>
        <v>-2220.01402982125</v>
      </c>
      <c r="M208" s="26">
        <f t="shared" si="197"/>
        <v>-1446.9120208649938</v>
      </c>
      <c r="N208" s="26">
        <f t="shared" si="197"/>
        <v>-1497.0164415952686</v>
      </c>
      <c r="O208" s="26">
        <f t="shared" si="197"/>
        <v>-1503.3345170511029</v>
      </c>
      <c r="P208" s="26">
        <f t="shared" si="197"/>
        <v>-1509.8737251478915</v>
      </c>
      <c r="Q208" s="26">
        <f t="shared" si="197"/>
        <v>-1516.6418055280678</v>
      </c>
      <c r="R208" s="26">
        <f t="shared" si="197"/>
        <v>-1523.64676872155</v>
      </c>
    </row>
    <row r="209" spans="3:18" outlineLevel="1" x14ac:dyDescent="0.3">
      <c r="D209" s="167"/>
      <c r="E209" s="24"/>
      <c r="F209" s="24"/>
      <c r="G209" s="24"/>
      <c r="H209" s="24"/>
    </row>
    <row r="210" spans="3:18" s="5" customFormat="1" outlineLevel="1" x14ac:dyDescent="0.3">
      <c r="C210" s="5" t="s">
        <v>82</v>
      </c>
      <c r="D210" s="167" t="s">
        <v>454</v>
      </c>
      <c r="E210" s="28">
        <f>E208+E200+E194</f>
        <v>-30</v>
      </c>
      <c r="F210" s="28">
        <f>F208+F200+F194</f>
        <v>1288</v>
      </c>
      <c r="G210" s="28">
        <f t="shared" ref="G210:R210" si="198">G208+G200+G194</f>
        <v>280</v>
      </c>
      <c r="H210" s="28">
        <f t="shared" si="198"/>
        <v>-704</v>
      </c>
      <c r="I210" s="28">
        <f t="shared" si="198"/>
        <v>4083.4871850294094</v>
      </c>
      <c r="J210" s="28">
        <f t="shared" si="198"/>
        <v>5188.5272425130643</v>
      </c>
      <c r="K210" s="28">
        <f t="shared" si="198"/>
        <v>5427.6317636149433</v>
      </c>
      <c r="L210" s="28">
        <f t="shared" si="198"/>
        <v>4497.1618163491776</v>
      </c>
      <c r="M210" s="28">
        <f t="shared" si="198"/>
        <v>5645.7340365234941</v>
      </c>
      <c r="N210" s="28">
        <f t="shared" si="198"/>
        <v>5984.4903767098785</v>
      </c>
      <c r="O210" s="28">
        <f t="shared" si="198"/>
        <v>6358.3433551875687</v>
      </c>
      <c r="P210" s="28">
        <f t="shared" si="198"/>
        <v>6723.0474056925113</v>
      </c>
      <c r="Q210" s="28">
        <f t="shared" si="198"/>
        <v>7084.1351640776629</v>
      </c>
      <c r="R210" s="28">
        <f t="shared" si="198"/>
        <v>7437.4579118020902</v>
      </c>
    </row>
  </sheetData>
  <pageMargins left="0.7" right="0.7" top="0.75" bottom="0.75" header="0.3" footer="0.3"/>
  <pageSetup paperSize="9" orientation="portrait" r:id="rId1"/>
  <ignoredErrors>
    <ignoredError sqref="I62:R62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6E4C-1DE4-400D-9415-4D106D9704DB}">
  <dimension ref="A1:V205"/>
  <sheetViews>
    <sheetView showGridLines="0" zoomScale="85" zoomScaleNormal="85" workbookViewId="0">
      <selection activeCell="G1" sqref="G1"/>
    </sheetView>
  </sheetViews>
  <sheetFormatPr defaultRowHeight="15.6" outlineLevelRow="1" outlineLevelCol="1" x14ac:dyDescent="0.3"/>
  <cols>
    <col min="1" max="2" width="1.77734375" style="4" customWidth="1"/>
    <col min="3" max="3" width="50.109375" style="4" bestFit="1" customWidth="1"/>
    <col min="4" max="4" width="14.33203125" style="4" bestFit="1" customWidth="1"/>
    <col min="5" max="7" width="13.77734375" style="4" customWidth="1" outlineLevel="1"/>
    <col min="8" max="8" width="13.77734375" style="4" customWidth="1" outlineLevel="1" collapsed="1"/>
    <col min="9" max="17" width="13.77734375" style="4" customWidth="1"/>
    <col min="18" max="16384" width="8.88671875" style="4"/>
  </cols>
  <sheetData>
    <row r="1" spans="1:19" x14ac:dyDescent="0.3">
      <c r="A1" s="5" t="s">
        <v>151</v>
      </c>
    </row>
    <row r="2" spans="1:19" x14ac:dyDescent="0.3">
      <c r="A2" s="7" t="s">
        <v>3</v>
      </c>
    </row>
    <row r="3" spans="1:19" x14ac:dyDescent="0.3">
      <c r="B3" s="1" t="s">
        <v>0</v>
      </c>
      <c r="C3" s="2"/>
      <c r="D3" s="2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C4" s="4" t="s">
        <v>4</v>
      </c>
      <c r="D4" s="69" t="s">
        <v>152</v>
      </c>
    </row>
    <row r="5" spans="1:19" x14ac:dyDescent="0.3">
      <c r="C5" s="4" t="s">
        <v>7</v>
      </c>
      <c r="D5" s="69" t="s">
        <v>153</v>
      </c>
    </row>
    <row r="6" spans="1:19" x14ac:dyDescent="0.3">
      <c r="C6" s="4" t="s">
        <v>5</v>
      </c>
      <c r="D6" s="71">
        <f>$H$42</f>
        <v>0.23111793037821524</v>
      </c>
    </row>
    <row r="7" spans="1:19" x14ac:dyDescent="0.3">
      <c r="C7" s="4" t="s">
        <v>9</v>
      </c>
      <c r="D7" s="70">
        <v>1000000</v>
      </c>
    </row>
    <row r="8" spans="1:19" x14ac:dyDescent="0.3">
      <c r="C8" s="4" t="s">
        <v>10</v>
      </c>
      <c r="D8" s="54">
        <v>21.83</v>
      </c>
    </row>
    <row r="9" spans="1:19" x14ac:dyDescent="0.3">
      <c r="C9" s="4" t="s">
        <v>11</v>
      </c>
      <c r="D9" s="55">
        <v>582.6</v>
      </c>
    </row>
    <row r="10" spans="1:19" x14ac:dyDescent="0.3">
      <c r="C10" s="4" t="s">
        <v>12</v>
      </c>
      <c r="D10" s="54">
        <f>D9*D8</f>
        <v>12718.157999999999</v>
      </c>
    </row>
    <row r="11" spans="1:19" x14ac:dyDescent="0.3">
      <c r="C11" s="4" t="s">
        <v>117</v>
      </c>
      <c r="D11" s="11">
        <v>6.4000000000000001E-2</v>
      </c>
    </row>
    <row r="12" spans="1:19" x14ac:dyDescent="0.3">
      <c r="C12" s="4" t="s">
        <v>128</v>
      </c>
      <c r="D12" s="11">
        <v>0.106</v>
      </c>
    </row>
    <row r="14" spans="1:19" x14ac:dyDescent="0.3">
      <c r="B14" s="1"/>
      <c r="C14" s="1"/>
      <c r="D14" s="1"/>
      <c r="E14" s="13" t="s">
        <v>160</v>
      </c>
      <c r="F14" s="13"/>
      <c r="G14" s="14"/>
      <c r="H14" s="18" t="s">
        <v>16</v>
      </c>
      <c r="I14" s="13"/>
      <c r="J14" s="13"/>
      <c r="K14" s="13"/>
      <c r="L14" s="13"/>
      <c r="M14" s="13"/>
      <c r="N14" s="13"/>
      <c r="O14" s="13"/>
      <c r="P14" s="13"/>
      <c r="Q14" s="13"/>
    </row>
    <row r="15" spans="1:19" x14ac:dyDescent="0.3">
      <c r="B15" s="15" t="s">
        <v>13</v>
      </c>
      <c r="C15" s="16"/>
      <c r="D15" s="19" t="s">
        <v>14</v>
      </c>
      <c r="E15" s="17">
        <f>DATE(2020,12,31)</f>
        <v>44196</v>
      </c>
      <c r="F15" s="17">
        <f t="shared" ref="F15:Q15" si="0">EOMONTH(E15,12)</f>
        <v>44561</v>
      </c>
      <c r="G15" s="20">
        <f t="shared" si="0"/>
        <v>44926</v>
      </c>
      <c r="H15" s="17">
        <f t="shared" si="0"/>
        <v>45291</v>
      </c>
      <c r="I15" s="17">
        <f t="shared" si="0"/>
        <v>45657</v>
      </c>
      <c r="J15" s="17">
        <f t="shared" si="0"/>
        <v>46022</v>
      </c>
      <c r="K15" s="17">
        <f t="shared" si="0"/>
        <v>46387</v>
      </c>
      <c r="L15" s="17">
        <f t="shared" si="0"/>
        <v>46752</v>
      </c>
      <c r="M15" s="17">
        <f t="shared" si="0"/>
        <v>47118</v>
      </c>
      <c r="N15" s="17">
        <f t="shared" si="0"/>
        <v>47483</v>
      </c>
      <c r="O15" s="17">
        <f t="shared" si="0"/>
        <v>47848</v>
      </c>
      <c r="P15" s="17">
        <f t="shared" si="0"/>
        <v>48213</v>
      </c>
      <c r="Q15" s="17">
        <f t="shared" si="0"/>
        <v>48579</v>
      </c>
    </row>
    <row r="16" spans="1:19" outlineLevel="1" x14ac:dyDescent="0.3">
      <c r="B16" s="38" t="s">
        <v>86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outlineLevel="1" x14ac:dyDescent="0.3">
      <c r="C17" s="4" t="s">
        <v>87</v>
      </c>
      <c r="E17" s="155">
        <v>2277</v>
      </c>
      <c r="F17" s="155">
        <v>2276</v>
      </c>
      <c r="G17" s="155">
        <v>2271</v>
      </c>
      <c r="H17" s="62">
        <f>G17-2</f>
        <v>2269</v>
      </c>
      <c r="I17" s="62">
        <f t="shared" ref="I17:Q17" si="1">H17-2</f>
        <v>2267</v>
      </c>
      <c r="J17" s="62">
        <f t="shared" si="1"/>
        <v>2265</v>
      </c>
      <c r="K17" s="62">
        <f t="shared" si="1"/>
        <v>2263</v>
      </c>
      <c r="L17" s="62">
        <f t="shared" si="1"/>
        <v>2261</v>
      </c>
      <c r="M17" s="62">
        <f t="shared" si="1"/>
        <v>2259</v>
      </c>
      <c r="N17" s="62">
        <f t="shared" si="1"/>
        <v>2257</v>
      </c>
      <c r="O17" s="62">
        <f t="shared" si="1"/>
        <v>2255</v>
      </c>
      <c r="P17" s="62">
        <f t="shared" si="1"/>
        <v>2253</v>
      </c>
      <c r="Q17" s="62">
        <f t="shared" si="1"/>
        <v>2251</v>
      </c>
    </row>
    <row r="18" spans="1:17" outlineLevel="1" x14ac:dyDescent="0.3"/>
    <row r="19" spans="1:17" outlineLevel="1" x14ac:dyDescent="0.3">
      <c r="C19" s="4" t="s">
        <v>191</v>
      </c>
      <c r="E19" s="155">
        <v>1727</v>
      </c>
      <c r="F19" s="155">
        <v>1722</v>
      </c>
      <c r="G19" s="155">
        <v>1722</v>
      </c>
      <c r="H19" s="39">
        <f>H17*H20</f>
        <v>1720.4834874504622</v>
      </c>
      <c r="I19" s="39">
        <f t="shared" ref="I19:Q19" si="2">I17*I20</f>
        <v>1720.6859418758254</v>
      </c>
      <c r="J19" s="39">
        <f t="shared" si="2"/>
        <v>1720.8870807265519</v>
      </c>
      <c r="K19" s="39">
        <f t="shared" si="2"/>
        <v>1721.0869011690379</v>
      </c>
      <c r="L19" s="39">
        <f t="shared" si="2"/>
        <v>1721.2854003653281</v>
      </c>
      <c r="M19" s="39">
        <f t="shared" si="2"/>
        <v>1721.4825754731098</v>
      </c>
      <c r="N19" s="39">
        <f t="shared" si="2"/>
        <v>1721.6784236457067</v>
      </c>
      <c r="O19" s="39">
        <f t="shared" si="2"/>
        <v>1721.8729420320733</v>
      </c>
      <c r="P19" s="39">
        <f t="shared" si="2"/>
        <v>1722.0661277767888</v>
      </c>
      <c r="Q19" s="39">
        <f t="shared" si="2"/>
        <v>1722.2579780200517</v>
      </c>
    </row>
    <row r="20" spans="1:17" outlineLevel="1" x14ac:dyDescent="0.3">
      <c r="C20" s="9" t="s">
        <v>193</v>
      </c>
      <c r="E20" s="40">
        <f>E19/E17</f>
        <v>0.75845410628019327</v>
      </c>
      <c r="F20" s="40">
        <f t="shared" ref="F20:G20" si="3">F19/F17</f>
        <v>0.75659050966608088</v>
      </c>
      <c r="G20" s="40">
        <f t="shared" si="3"/>
        <v>0.75825627476882429</v>
      </c>
      <c r="H20" s="41">
        <f>G20</f>
        <v>0.75825627476882429</v>
      </c>
      <c r="I20" s="41">
        <f>H20*1.001</f>
        <v>0.75901453104359307</v>
      </c>
      <c r="J20" s="41">
        <f t="shared" ref="J20:Q20" si="4">I20*1.001</f>
        <v>0.75977354557463661</v>
      </c>
      <c r="K20" s="41">
        <f t="shared" si="4"/>
        <v>0.76053331912021116</v>
      </c>
      <c r="L20" s="41">
        <f t="shared" si="4"/>
        <v>0.76129385243933134</v>
      </c>
      <c r="M20" s="41">
        <f t="shared" si="4"/>
        <v>0.76205514629177062</v>
      </c>
      <c r="N20" s="41">
        <f t="shared" si="4"/>
        <v>0.76281720143806231</v>
      </c>
      <c r="O20" s="41">
        <f t="shared" si="4"/>
        <v>0.76358001863950031</v>
      </c>
      <c r="P20" s="41">
        <f t="shared" si="4"/>
        <v>0.76434359865813972</v>
      </c>
      <c r="Q20" s="41">
        <f t="shared" si="4"/>
        <v>0.76510794225679779</v>
      </c>
    </row>
    <row r="21" spans="1:17" outlineLevel="1" x14ac:dyDescent="0.3"/>
    <row r="22" spans="1:17" outlineLevel="1" x14ac:dyDescent="0.3">
      <c r="C22" s="4" t="s">
        <v>192</v>
      </c>
      <c r="E22" s="155">
        <v>400</v>
      </c>
      <c r="F22" s="155">
        <v>402</v>
      </c>
      <c r="G22" s="155">
        <v>401</v>
      </c>
      <c r="H22" s="62">
        <v>401</v>
      </c>
      <c r="I22" s="62">
        <v>402</v>
      </c>
      <c r="J22" s="62">
        <v>402</v>
      </c>
      <c r="K22" s="62">
        <v>403</v>
      </c>
      <c r="L22" s="62">
        <v>403</v>
      </c>
      <c r="M22" s="62">
        <v>404</v>
      </c>
      <c r="N22" s="62">
        <v>405</v>
      </c>
      <c r="O22" s="62">
        <v>405</v>
      </c>
      <c r="P22" s="62">
        <v>406</v>
      </c>
      <c r="Q22" s="62">
        <v>406</v>
      </c>
    </row>
    <row r="23" spans="1:17" outlineLevel="1" x14ac:dyDescent="0.3"/>
    <row r="24" spans="1:17" outlineLevel="1" x14ac:dyDescent="0.3">
      <c r="C24" s="4" t="s">
        <v>194</v>
      </c>
      <c r="E24" s="64">
        <f>E116/E17</f>
        <v>16.477821695212999</v>
      </c>
      <c r="F24" s="64">
        <f>F116/F17</f>
        <v>16.031063268892794</v>
      </c>
      <c r="G24" s="64">
        <f>G116/G17</f>
        <v>17.235755173932191</v>
      </c>
      <c r="H24" s="65">
        <v>17.5</v>
      </c>
      <c r="I24" s="65">
        <v>17.75</v>
      </c>
      <c r="J24" s="65">
        <f>I24+0.25</f>
        <v>18</v>
      </c>
      <c r="K24" s="65">
        <f t="shared" ref="K24:Q24" si="5">J24+0.25</f>
        <v>18.25</v>
      </c>
      <c r="L24" s="65">
        <f t="shared" si="5"/>
        <v>18.5</v>
      </c>
      <c r="M24" s="65">
        <f t="shared" si="5"/>
        <v>18.75</v>
      </c>
      <c r="N24" s="65">
        <f t="shared" si="5"/>
        <v>19</v>
      </c>
      <c r="O24" s="65">
        <f t="shared" si="5"/>
        <v>19.25</v>
      </c>
      <c r="P24" s="65">
        <f t="shared" si="5"/>
        <v>19.5</v>
      </c>
      <c r="Q24" s="65">
        <f t="shared" si="5"/>
        <v>19.75</v>
      </c>
    </row>
    <row r="25" spans="1:17" s="64" customFormat="1" outlineLevel="1" x14ac:dyDescent="0.3">
      <c r="A25" s="4"/>
      <c r="B25" s="4"/>
      <c r="C25" s="4"/>
      <c r="D25" s="4"/>
    </row>
    <row r="26" spans="1:17" outlineLevel="1" x14ac:dyDescent="0.3">
      <c r="C26" s="44" t="s">
        <v>195</v>
      </c>
      <c r="E26" s="43">
        <f>E117/E17</f>
        <v>10.397233201581027</v>
      </c>
      <c r="F26" s="43">
        <f>F117/F17</f>
        <v>10.824604569420035</v>
      </c>
      <c r="G26" s="43">
        <f>G117/G17</f>
        <v>11.266138265081462</v>
      </c>
      <c r="H26" s="65">
        <f>G26+0.3</f>
        <v>11.566138265081463</v>
      </c>
      <c r="I26" s="65">
        <f t="shared" ref="I26:Q26" si="6">H26+0.3</f>
        <v>11.866138265081464</v>
      </c>
      <c r="J26" s="65">
        <f t="shared" si="6"/>
        <v>12.166138265081464</v>
      </c>
      <c r="K26" s="65">
        <f t="shared" si="6"/>
        <v>12.466138265081465</v>
      </c>
      <c r="L26" s="65">
        <f t="shared" si="6"/>
        <v>12.766138265081466</v>
      </c>
      <c r="M26" s="65">
        <f t="shared" si="6"/>
        <v>13.066138265081467</v>
      </c>
      <c r="N26" s="65">
        <f t="shared" si="6"/>
        <v>13.366138265081467</v>
      </c>
      <c r="O26" s="65">
        <f t="shared" si="6"/>
        <v>13.666138265081468</v>
      </c>
      <c r="P26" s="65">
        <f t="shared" si="6"/>
        <v>13.966138265081469</v>
      </c>
      <c r="Q26" s="65">
        <f t="shared" si="6"/>
        <v>14.266138265081469</v>
      </c>
    </row>
    <row r="27" spans="1:17" outlineLevel="1" x14ac:dyDescent="0.3">
      <c r="G27" s="43"/>
      <c r="H27" s="43"/>
      <c r="I27" s="43"/>
    </row>
    <row r="28" spans="1:17" outlineLevel="1" x14ac:dyDescent="0.3">
      <c r="C28" s="4" t="s">
        <v>196</v>
      </c>
      <c r="E28" s="43">
        <f>E118/E19</f>
        <v>3.00856977417487</v>
      </c>
      <c r="F28" s="43">
        <f>F118/F19</f>
        <v>3.3817073170731708</v>
      </c>
      <c r="G28" s="43">
        <f>G118/G19</f>
        <v>3.9310685249709643</v>
      </c>
      <c r="H28" s="43">
        <f>G28*(1+H29)</f>
        <v>4.4941464005286171</v>
      </c>
      <c r="I28" s="43">
        <f t="shared" ref="I28:Q28" si="7">H28*(1+I29)</f>
        <v>5.1154076186510142</v>
      </c>
      <c r="J28" s="43">
        <f t="shared" si="7"/>
        <v>5.7969736251149877</v>
      </c>
      <c r="K28" s="43">
        <f t="shared" si="7"/>
        <v>6.5403651652429806</v>
      </c>
      <c r="L28" s="43">
        <f t="shared" si="7"/>
        <v>7.3463858259440382</v>
      </c>
      <c r="M28" s="43">
        <f t="shared" si="7"/>
        <v>8.2150068255253412</v>
      </c>
      <c r="N28" s="43">
        <f t="shared" si="7"/>
        <v>9.1452566863079383</v>
      </c>
      <c r="O28" s="43">
        <f t="shared" si="7"/>
        <v>10.135119774856626</v>
      </c>
      <c r="P28" s="43">
        <f t="shared" si="7"/>
        <v>11.181447935119113</v>
      </c>
      <c r="Q28" s="43">
        <f t="shared" si="7"/>
        <v>12.279889544487036</v>
      </c>
    </row>
    <row r="29" spans="1:17" outlineLevel="1" x14ac:dyDescent="0.3">
      <c r="C29" s="9" t="s">
        <v>197</v>
      </c>
      <c r="F29" s="40">
        <f>F28/E28-1</f>
        <v>0.1240248925257641</v>
      </c>
      <c r="G29" s="40">
        <f>G28/F28-1</f>
        <v>0.16245084402314847</v>
      </c>
      <c r="H29" s="41">
        <f>AVERAGE(F29:G29)</f>
        <v>0.14323786827445628</v>
      </c>
      <c r="I29" s="41">
        <f>H29-0.5%</f>
        <v>0.13823786827445628</v>
      </c>
      <c r="J29" s="41">
        <f t="shared" ref="J29:Q29" si="8">I29-0.5%</f>
        <v>0.13323786827445627</v>
      </c>
      <c r="K29" s="41">
        <f t="shared" si="8"/>
        <v>0.12823786827445627</v>
      </c>
      <c r="L29" s="41">
        <f t="shared" si="8"/>
        <v>0.12323786827445626</v>
      </c>
      <c r="M29" s="41">
        <f t="shared" si="8"/>
        <v>0.11823786827445626</v>
      </c>
      <c r="N29" s="41">
        <f t="shared" si="8"/>
        <v>0.11323786827445625</v>
      </c>
      <c r="O29" s="41">
        <f t="shared" si="8"/>
        <v>0.10823786827445625</v>
      </c>
      <c r="P29" s="41">
        <f t="shared" si="8"/>
        <v>0.10323786827445625</v>
      </c>
      <c r="Q29" s="41">
        <f t="shared" si="8"/>
        <v>9.8237868274456241E-2</v>
      </c>
    </row>
    <row r="30" spans="1:17" outlineLevel="1" x14ac:dyDescent="0.3"/>
    <row r="31" spans="1:17" outlineLevel="1" x14ac:dyDescent="0.3">
      <c r="C31" s="4" t="s">
        <v>199</v>
      </c>
      <c r="E31" s="43">
        <f>E119/E22</f>
        <v>5.5912499999999996</v>
      </c>
      <c r="F31" s="43">
        <f>F119/F22</f>
        <v>9.3221393034825866</v>
      </c>
      <c r="G31" s="43">
        <f>G119/G22</f>
        <v>12.113715710723193</v>
      </c>
      <c r="H31" s="43">
        <f>G31*(1+H32)</f>
        <v>15.135562391843216</v>
      </c>
      <c r="I31" s="43">
        <f t="shared" ref="I31:Q31" si="9">H31*(1+I32)</f>
        <v>18.154450638615359</v>
      </c>
      <c r="J31" s="43">
        <f t="shared" si="9"/>
        <v>20.867753625304033</v>
      </c>
      <c r="K31" s="43">
        <f t="shared" si="9"/>
        <v>22.943190047511635</v>
      </c>
      <c r="L31" s="43">
        <f t="shared" si="9"/>
        <v>24.077882876787914</v>
      </c>
      <c r="M31" s="43">
        <f t="shared" si="9"/>
        <v>25.148304373522613</v>
      </c>
      <c r="N31" s="43">
        <f t="shared" si="9"/>
        <v>26.140571679324694</v>
      </c>
      <c r="O31" s="43">
        <f t="shared" si="9"/>
        <v>27.04128764929564</v>
      </c>
      <c r="P31" s="43">
        <f t="shared" si="9"/>
        <v>27.891915391977818</v>
      </c>
      <c r="Q31" s="43">
        <f t="shared" si="9"/>
        <v>28.685625269469792</v>
      </c>
    </row>
    <row r="32" spans="1:17" outlineLevel="1" x14ac:dyDescent="0.3">
      <c r="C32" s="9" t="s">
        <v>200</v>
      </c>
      <c r="E32" s="43"/>
      <c r="F32" s="40">
        <f>F31/E31-1</f>
        <v>0.66727284658754082</v>
      </c>
      <c r="G32" s="40">
        <f>G31/F31-1</f>
        <v>0.29945662860859867</v>
      </c>
      <c r="H32" s="41">
        <f>G32-5%</f>
        <v>0.24945662860859869</v>
      </c>
      <c r="I32" s="41">
        <f t="shared" ref="I32:L32" si="10">H32-5%</f>
        <v>0.1994566286085987</v>
      </c>
      <c r="J32" s="41">
        <f t="shared" si="10"/>
        <v>0.14945662860859871</v>
      </c>
      <c r="K32" s="41">
        <f t="shared" si="10"/>
        <v>9.9456628608598704E-2</v>
      </c>
      <c r="L32" s="41">
        <f t="shared" si="10"/>
        <v>4.9456628608598702E-2</v>
      </c>
      <c r="M32" s="41">
        <f>L32-0.5%</f>
        <v>4.4456628608598704E-2</v>
      </c>
      <c r="N32" s="41">
        <f t="shared" ref="N32:O32" si="11">M32-0.5%</f>
        <v>3.9456628608598707E-2</v>
      </c>
      <c r="O32" s="41">
        <f t="shared" si="11"/>
        <v>3.4456628608598709E-2</v>
      </c>
      <c r="P32" s="41">
        <f>O32-0.3%</f>
        <v>3.1456628608598707E-2</v>
      </c>
      <c r="Q32" s="41">
        <f>P32-0.3%</f>
        <v>2.8456628608598707E-2</v>
      </c>
    </row>
    <row r="33" spans="2:17" outlineLevel="1" x14ac:dyDescent="0.3"/>
    <row r="34" spans="2:17" outlineLevel="1" x14ac:dyDescent="0.3">
      <c r="C34" s="4" t="s">
        <v>198</v>
      </c>
      <c r="E34" s="40">
        <f>E120/E121</f>
        <v>1.5261786415345582E-2</v>
      </c>
      <c r="F34" s="40">
        <f t="shared" ref="F34:G34" si="12">F120/F121</f>
        <v>1.6591316927956377E-2</v>
      </c>
      <c r="G34" s="40">
        <f t="shared" si="12"/>
        <v>1.6677463016598903E-2</v>
      </c>
      <c r="H34" s="41">
        <f>AVERAGE(E34:G34)</f>
        <v>1.6176855453300287E-2</v>
      </c>
      <c r="I34" s="41">
        <f>H34</f>
        <v>1.6176855453300287E-2</v>
      </c>
      <c r="J34" s="41">
        <f t="shared" ref="J34:Q34" si="13">I34</f>
        <v>1.6176855453300287E-2</v>
      </c>
      <c r="K34" s="41">
        <f t="shared" si="13"/>
        <v>1.6176855453300287E-2</v>
      </c>
      <c r="L34" s="41">
        <f t="shared" si="13"/>
        <v>1.6176855453300287E-2</v>
      </c>
      <c r="M34" s="41">
        <f t="shared" si="13"/>
        <v>1.6176855453300287E-2</v>
      </c>
      <c r="N34" s="41">
        <f t="shared" si="13"/>
        <v>1.6176855453300287E-2</v>
      </c>
      <c r="O34" s="41">
        <f t="shared" si="13"/>
        <v>1.6176855453300287E-2</v>
      </c>
      <c r="P34" s="41">
        <f t="shared" si="13"/>
        <v>1.6176855453300287E-2</v>
      </c>
      <c r="Q34" s="41">
        <f t="shared" si="13"/>
        <v>1.6176855453300287E-2</v>
      </c>
    </row>
    <row r="35" spans="2:17" outlineLevel="1" x14ac:dyDescent="0.3"/>
    <row r="36" spans="2:17" outlineLevel="1" x14ac:dyDescent="0.3">
      <c r="C36" s="4" t="s">
        <v>103</v>
      </c>
      <c r="E36" s="40">
        <f>-E122/E121</f>
        <v>0.692487057040855</v>
      </c>
      <c r="F36" s="40">
        <f t="shared" ref="F36:G36" si="14">-F122/F121</f>
        <v>0.69717334149428956</v>
      </c>
      <c r="G36" s="40">
        <f t="shared" si="14"/>
        <v>0.70613666247261719</v>
      </c>
      <c r="H36" s="41">
        <f>AVERAGE(E36:G36)</f>
        <v>0.69859902033592058</v>
      </c>
      <c r="I36" s="41">
        <f>H36</f>
        <v>0.69859902033592058</v>
      </c>
      <c r="J36" s="41">
        <f t="shared" ref="J36:Q36" si="15">I36</f>
        <v>0.69859902033592058</v>
      </c>
      <c r="K36" s="41">
        <f t="shared" si="15"/>
        <v>0.69859902033592058</v>
      </c>
      <c r="L36" s="41">
        <f t="shared" si="15"/>
        <v>0.69859902033592058</v>
      </c>
      <c r="M36" s="41">
        <f t="shared" si="15"/>
        <v>0.69859902033592058</v>
      </c>
      <c r="N36" s="41">
        <f t="shared" si="15"/>
        <v>0.69859902033592058</v>
      </c>
      <c r="O36" s="41">
        <f t="shared" si="15"/>
        <v>0.69859902033592058</v>
      </c>
      <c r="P36" s="41">
        <f t="shared" si="15"/>
        <v>0.69859902033592058</v>
      </c>
      <c r="Q36" s="41">
        <f t="shared" si="15"/>
        <v>0.69859902033592058</v>
      </c>
    </row>
    <row r="37" spans="2:17" outlineLevel="1" x14ac:dyDescent="0.3"/>
    <row r="38" spans="2:17" outlineLevel="1" x14ac:dyDescent="0.3">
      <c r="C38" s="4" t="s">
        <v>201</v>
      </c>
      <c r="E38" s="40">
        <f>-E126/E121</f>
        <v>0.2702782592724392</v>
      </c>
      <c r="F38" s="40">
        <f t="shared" ref="F38:G38" si="16">-F126/F121</f>
        <v>0.25457314952633997</v>
      </c>
      <c r="G38" s="40">
        <f t="shared" si="16"/>
        <v>0.25236414306816379</v>
      </c>
      <c r="H38" s="41">
        <f>AVERAGE(E38:G38)</f>
        <v>0.25907185062231436</v>
      </c>
      <c r="I38" s="41">
        <f>H38</f>
        <v>0.25907185062231436</v>
      </c>
      <c r="J38" s="41">
        <f t="shared" ref="J38:Q38" si="17">I38</f>
        <v>0.25907185062231436</v>
      </c>
      <c r="K38" s="41">
        <f t="shared" si="17"/>
        <v>0.25907185062231436</v>
      </c>
      <c r="L38" s="41">
        <f t="shared" si="17"/>
        <v>0.25907185062231436</v>
      </c>
      <c r="M38" s="41">
        <f t="shared" si="17"/>
        <v>0.25907185062231436</v>
      </c>
      <c r="N38" s="41">
        <f t="shared" si="17"/>
        <v>0.25907185062231436</v>
      </c>
      <c r="O38" s="41">
        <f t="shared" si="17"/>
        <v>0.25907185062231436</v>
      </c>
      <c r="P38" s="41">
        <f t="shared" si="17"/>
        <v>0.25907185062231436</v>
      </c>
      <c r="Q38" s="41">
        <f t="shared" si="17"/>
        <v>0.25907185062231436</v>
      </c>
    </row>
    <row r="39" spans="2:17" outlineLevel="1" x14ac:dyDescent="0.3"/>
    <row r="40" spans="2:17" outlineLevel="1" x14ac:dyDescent="0.3">
      <c r="C40" s="4" t="s">
        <v>202</v>
      </c>
      <c r="E40" s="40">
        <f>E129/E121</f>
        <v>1.2655975571958258E-3</v>
      </c>
      <c r="F40" s="40">
        <f t="shared" ref="F40:G40" si="18">F129/F121</f>
        <v>2.2187599983307135E-3</v>
      </c>
      <c r="G40" s="40">
        <f t="shared" si="18"/>
        <v>2.3245421424680324E-3</v>
      </c>
      <c r="H40" s="41">
        <f>AVERAGE(E40:G40)</f>
        <v>1.9362998993315238E-3</v>
      </c>
      <c r="I40" s="41">
        <f>H40</f>
        <v>1.9362998993315238E-3</v>
      </c>
      <c r="J40" s="41">
        <f t="shared" ref="J40:Q42" si="19">I40</f>
        <v>1.9362998993315238E-3</v>
      </c>
      <c r="K40" s="41">
        <f t="shared" si="19"/>
        <v>1.9362998993315238E-3</v>
      </c>
      <c r="L40" s="41">
        <f t="shared" si="19"/>
        <v>1.9362998993315238E-3</v>
      </c>
      <c r="M40" s="41">
        <f t="shared" si="19"/>
        <v>1.9362998993315238E-3</v>
      </c>
      <c r="N40" s="41">
        <f t="shared" si="19"/>
        <v>1.9362998993315238E-3</v>
      </c>
      <c r="O40" s="41">
        <f t="shared" si="19"/>
        <v>1.9362998993315238E-3</v>
      </c>
      <c r="P40" s="41">
        <f t="shared" si="19"/>
        <v>1.9362998993315238E-3</v>
      </c>
      <c r="Q40" s="41">
        <f t="shared" si="19"/>
        <v>1.9362998993315238E-3</v>
      </c>
    </row>
    <row r="41" spans="2:17" outlineLevel="1" x14ac:dyDescent="0.3"/>
    <row r="42" spans="2:17" outlineLevel="1" x14ac:dyDescent="0.3">
      <c r="C42" s="4" t="s">
        <v>203</v>
      </c>
      <c r="E42" s="40">
        <f>-E131/E130</f>
        <v>0.24674404181801962</v>
      </c>
      <c r="F42" s="40">
        <f t="shared" ref="F42:G42" si="20">-F131/F130</f>
        <v>0.22857823291259793</v>
      </c>
      <c r="G42" s="40">
        <f t="shared" si="20"/>
        <v>0.21803151640402818</v>
      </c>
      <c r="H42" s="41">
        <f>AVERAGE(E42:G42)</f>
        <v>0.23111793037821524</v>
      </c>
      <c r="I42" s="41">
        <f>H42</f>
        <v>0.23111793037821524</v>
      </c>
      <c r="J42" s="41">
        <f t="shared" si="19"/>
        <v>0.23111793037821524</v>
      </c>
      <c r="K42" s="41">
        <f t="shared" si="19"/>
        <v>0.23111793037821524</v>
      </c>
      <c r="L42" s="41">
        <f t="shared" si="19"/>
        <v>0.23111793037821524</v>
      </c>
      <c r="M42" s="41">
        <f t="shared" si="19"/>
        <v>0.23111793037821524</v>
      </c>
      <c r="N42" s="41">
        <f t="shared" si="19"/>
        <v>0.23111793037821524</v>
      </c>
      <c r="O42" s="41">
        <f t="shared" si="19"/>
        <v>0.23111793037821524</v>
      </c>
      <c r="P42" s="41">
        <f t="shared" si="19"/>
        <v>0.23111793037821524</v>
      </c>
      <c r="Q42" s="41">
        <f t="shared" si="19"/>
        <v>0.23111793037821524</v>
      </c>
    </row>
    <row r="43" spans="2:17" outlineLevel="1" x14ac:dyDescent="0.3"/>
    <row r="44" spans="2:17" outlineLevel="1" x14ac:dyDescent="0.3">
      <c r="B44" s="38" t="s">
        <v>204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2:17" outlineLevel="1" x14ac:dyDescent="0.3">
      <c r="C45" s="4" t="s">
        <v>205</v>
      </c>
      <c r="E45" s="40">
        <f>E141/E121</f>
        <v>7.9049625199453574E-3</v>
      </c>
      <c r="F45" s="40">
        <f>F141/F121</f>
        <v>7.7983501884902702E-3</v>
      </c>
      <c r="G45" s="40">
        <f>G141/G121</f>
        <v>8.8551533360721277E-3</v>
      </c>
      <c r="H45" s="41">
        <f>AVERAGE(E45:G45)</f>
        <v>8.1861553481692509E-3</v>
      </c>
      <c r="I45" s="41">
        <f>H45</f>
        <v>8.1861553481692509E-3</v>
      </c>
      <c r="J45" s="41">
        <f t="shared" ref="J45:Q49" si="21">I45</f>
        <v>8.1861553481692509E-3</v>
      </c>
      <c r="K45" s="41">
        <f t="shared" si="21"/>
        <v>8.1861553481692509E-3</v>
      </c>
      <c r="L45" s="41">
        <f t="shared" si="21"/>
        <v>8.1861553481692509E-3</v>
      </c>
      <c r="M45" s="41">
        <f t="shared" si="21"/>
        <v>8.1861553481692509E-3</v>
      </c>
      <c r="N45" s="41">
        <f t="shared" si="21"/>
        <v>8.1861553481692509E-3</v>
      </c>
      <c r="O45" s="41">
        <f t="shared" si="21"/>
        <v>8.1861553481692509E-3</v>
      </c>
      <c r="P45" s="41">
        <f t="shared" si="21"/>
        <v>8.1861553481692509E-3</v>
      </c>
      <c r="Q45" s="41">
        <f t="shared" si="21"/>
        <v>8.1861553481692509E-3</v>
      </c>
    </row>
    <row r="46" spans="2:17" outlineLevel="1" x14ac:dyDescent="0.3">
      <c r="C46" s="4" t="s">
        <v>206</v>
      </c>
      <c r="E46" s="40">
        <f>E142/E121</f>
        <v>6.1720122140208687E-2</v>
      </c>
      <c r="F46" s="40">
        <f t="shared" ref="F46:G46" si="22">F142/F121</f>
        <v>6.2609373043804858E-2</v>
      </c>
      <c r="G46" s="40">
        <f t="shared" si="22"/>
        <v>6.1584268838128148E-2</v>
      </c>
      <c r="H46" s="41">
        <f>AVERAGE(E46:G46)</f>
        <v>6.1971254674047231E-2</v>
      </c>
      <c r="I46" s="41">
        <f>H46</f>
        <v>6.1971254674047231E-2</v>
      </c>
      <c r="J46" s="41">
        <f t="shared" si="21"/>
        <v>6.1971254674047231E-2</v>
      </c>
      <c r="K46" s="41">
        <f t="shared" si="21"/>
        <v>6.1971254674047231E-2</v>
      </c>
      <c r="L46" s="41">
        <f t="shared" si="21"/>
        <v>6.1971254674047231E-2</v>
      </c>
      <c r="M46" s="41">
        <f t="shared" si="21"/>
        <v>6.1971254674047231E-2</v>
      </c>
      <c r="N46" s="41">
        <f t="shared" si="21"/>
        <v>6.1971254674047231E-2</v>
      </c>
      <c r="O46" s="41">
        <f t="shared" si="21"/>
        <v>6.1971254674047231E-2</v>
      </c>
      <c r="P46" s="41">
        <f t="shared" si="21"/>
        <v>6.1971254674047231E-2</v>
      </c>
      <c r="Q46" s="41">
        <f t="shared" si="21"/>
        <v>6.1971254674047231E-2</v>
      </c>
    </row>
    <row r="47" spans="2:17" outlineLevel="1" x14ac:dyDescent="0.3">
      <c r="C47" s="4" t="s">
        <v>207</v>
      </c>
      <c r="E47" s="40">
        <f>E143/E121</f>
        <v>6.0094360198822208E-3</v>
      </c>
      <c r="F47" s="40">
        <f t="shared" ref="F47:G47" si="23">F143/F121</f>
        <v>5.6060205600456268E-3</v>
      </c>
      <c r="G47" s="40">
        <f t="shared" si="23"/>
        <v>4.4430306878197852E-3</v>
      </c>
      <c r="H47" s="41">
        <f>AVERAGE(E47:G47)</f>
        <v>5.3528290892492112E-3</v>
      </c>
      <c r="I47" s="41">
        <f>H47</f>
        <v>5.3528290892492112E-3</v>
      </c>
      <c r="J47" s="41">
        <f t="shared" si="21"/>
        <v>5.3528290892492112E-3</v>
      </c>
      <c r="K47" s="41">
        <f t="shared" si="21"/>
        <v>5.3528290892492112E-3</v>
      </c>
      <c r="L47" s="41">
        <f t="shared" si="21"/>
        <v>5.3528290892492112E-3</v>
      </c>
      <c r="M47" s="41">
        <f t="shared" si="21"/>
        <v>5.3528290892492112E-3</v>
      </c>
      <c r="N47" s="41">
        <f t="shared" si="21"/>
        <v>5.3528290892492112E-3</v>
      </c>
      <c r="O47" s="41">
        <f t="shared" si="21"/>
        <v>5.3528290892492112E-3</v>
      </c>
      <c r="P47" s="41">
        <f t="shared" si="21"/>
        <v>5.3528290892492112E-3</v>
      </c>
      <c r="Q47" s="41">
        <f t="shared" si="21"/>
        <v>5.3528290892492112E-3</v>
      </c>
    </row>
    <row r="48" spans="2:17" outlineLevel="1" x14ac:dyDescent="0.3">
      <c r="C48" s="4" t="s">
        <v>135</v>
      </c>
      <c r="E48" s="40">
        <f>-E159/E122</f>
        <v>7.2261120562291101E-2</v>
      </c>
      <c r="F48" s="40">
        <f t="shared" ref="F48:G48" si="24">-F159/F122</f>
        <v>8.4536999902230153E-2</v>
      </c>
      <c r="G48" s="40">
        <f t="shared" si="24"/>
        <v>7.6107989414805066E-2</v>
      </c>
      <c r="H48" s="41">
        <f>AVERAGE(E48:G48)</f>
        <v>7.7635369959775435E-2</v>
      </c>
      <c r="I48" s="41">
        <f>H48</f>
        <v>7.7635369959775435E-2</v>
      </c>
      <c r="J48" s="41">
        <f t="shared" si="21"/>
        <v>7.7635369959775435E-2</v>
      </c>
      <c r="K48" s="41">
        <f t="shared" si="21"/>
        <v>7.7635369959775435E-2</v>
      </c>
      <c r="L48" s="41">
        <f t="shared" si="21"/>
        <v>7.7635369959775435E-2</v>
      </c>
      <c r="M48" s="41">
        <f t="shared" si="21"/>
        <v>7.7635369959775435E-2</v>
      </c>
      <c r="N48" s="41">
        <f t="shared" si="21"/>
        <v>7.7635369959775435E-2</v>
      </c>
      <c r="O48" s="41">
        <f t="shared" si="21"/>
        <v>7.7635369959775435E-2</v>
      </c>
      <c r="P48" s="41">
        <f t="shared" si="21"/>
        <v>7.7635369959775435E-2</v>
      </c>
      <c r="Q48" s="41">
        <f t="shared" si="21"/>
        <v>7.7635369959775435E-2</v>
      </c>
    </row>
    <row r="49" spans="2:17" outlineLevel="1" x14ac:dyDescent="0.3">
      <c r="C49" s="4" t="s">
        <v>208</v>
      </c>
      <c r="E49" s="40">
        <f>-E160/E126</f>
        <v>7.8292400641331944E-2</v>
      </c>
      <c r="F49" s="40">
        <f t="shared" ref="F49:G49" si="25">-F160/F126</f>
        <v>8.4964891669626522E-2</v>
      </c>
      <c r="G49" s="40">
        <f t="shared" si="25"/>
        <v>6.7228005715452135E-2</v>
      </c>
      <c r="H49" s="41">
        <f>AVERAGE(E49:G49)</f>
        <v>7.6828432675470196E-2</v>
      </c>
      <c r="I49" s="41">
        <f>H49</f>
        <v>7.6828432675470196E-2</v>
      </c>
      <c r="J49" s="41">
        <f t="shared" si="21"/>
        <v>7.6828432675470196E-2</v>
      </c>
      <c r="K49" s="41">
        <f t="shared" si="21"/>
        <v>7.6828432675470196E-2</v>
      </c>
      <c r="L49" s="41">
        <f t="shared" si="21"/>
        <v>7.6828432675470196E-2</v>
      </c>
      <c r="M49" s="41">
        <f t="shared" si="21"/>
        <v>7.6828432675470196E-2</v>
      </c>
      <c r="N49" s="41">
        <f t="shared" si="21"/>
        <v>7.6828432675470196E-2</v>
      </c>
      <c r="O49" s="41">
        <f t="shared" si="21"/>
        <v>7.6828432675470196E-2</v>
      </c>
      <c r="P49" s="41">
        <f t="shared" si="21"/>
        <v>7.6828432675470196E-2</v>
      </c>
      <c r="Q49" s="41">
        <f t="shared" si="21"/>
        <v>7.6828432675470196E-2</v>
      </c>
    </row>
    <row r="50" spans="2:17" outlineLevel="1" x14ac:dyDescent="0.3">
      <c r="C50" s="4" t="s">
        <v>209</v>
      </c>
      <c r="E50" s="40">
        <f>E161/E121</f>
        <v>5.6248780319814486E-3</v>
      </c>
      <c r="F50" s="40">
        <f t="shared" ref="F50:G50" si="26">F161/F121</f>
        <v>5.6964402464979762E-3</v>
      </c>
      <c r="G50" s="40">
        <f t="shared" si="26"/>
        <v>5.9240409170930467E-3</v>
      </c>
      <c r="H50" s="41">
        <f>G50+0.01%</f>
        <v>6.0240409170930469E-3</v>
      </c>
      <c r="I50" s="41">
        <f t="shared" ref="I50:Q50" si="27">H50+0.01%</f>
        <v>6.1240409170930472E-3</v>
      </c>
      <c r="J50" s="41">
        <f t="shared" si="27"/>
        <v>6.2240409170930475E-3</v>
      </c>
      <c r="K50" s="41">
        <f t="shared" si="27"/>
        <v>6.3240409170930477E-3</v>
      </c>
      <c r="L50" s="41">
        <f t="shared" si="27"/>
        <v>6.424040917093048E-3</v>
      </c>
      <c r="M50" s="41">
        <f t="shared" si="27"/>
        <v>6.5240409170930483E-3</v>
      </c>
      <c r="N50" s="41">
        <f t="shared" si="27"/>
        <v>6.6240409170930485E-3</v>
      </c>
      <c r="O50" s="41">
        <f t="shared" si="27"/>
        <v>6.7240409170930488E-3</v>
      </c>
      <c r="P50" s="41">
        <f t="shared" si="27"/>
        <v>6.824040917093049E-3</v>
      </c>
      <c r="Q50" s="41">
        <f t="shared" si="27"/>
        <v>6.9240409170930493E-3</v>
      </c>
    </row>
    <row r="51" spans="2:17" outlineLevel="1" x14ac:dyDescent="0.3"/>
    <row r="52" spans="2:17" outlineLevel="1" x14ac:dyDescent="0.3">
      <c r="B52" s="38" t="s">
        <v>210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2:17" outlineLevel="1" x14ac:dyDescent="0.3">
      <c r="C53" s="4" t="s">
        <v>211</v>
      </c>
      <c r="E53" s="40">
        <f>E186/E131</f>
        <v>0.40323159784560142</v>
      </c>
      <c r="F53" s="40">
        <f t="shared" ref="F53:G53" si="28">F186/F131</f>
        <v>-0.45634507188997708</v>
      </c>
      <c r="G53" s="40">
        <f t="shared" si="28"/>
        <v>-3.0568720379146919E-2</v>
      </c>
      <c r="H53" s="41">
        <f>AVERAGE(E53:G53)</f>
        <v>-2.789406480784086E-2</v>
      </c>
      <c r="I53" s="41">
        <f>H53</f>
        <v>-2.789406480784086E-2</v>
      </c>
      <c r="J53" s="41">
        <f t="shared" ref="J53:Q53" si="29">I53</f>
        <v>-2.789406480784086E-2</v>
      </c>
      <c r="K53" s="41">
        <f t="shared" si="29"/>
        <v>-2.789406480784086E-2</v>
      </c>
      <c r="L53" s="41">
        <f t="shared" si="29"/>
        <v>-2.789406480784086E-2</v>
      </c>
      <c r="M53" s="41">
        <f t="shared" si="29"/>
        <v>-2.789406480784086E-2</v>
      </c>
      <c r="N53" s="41">
        <f t="shared" si="29"/>
        <v>-2.789406480784086E-2</v>
      </c>
      <c r="O53" s="41">
        <f t="shared" si="29"/>
        <v>-2.789406480784086E-2</v>
      </c>
      <c r="P53" s="41">
        <f t="shared" si="29"/>
        <v>-2.789406480784086E-2</v>
      </c>
      <c r="Q53" s="41">
        <f t="shared" si="29"/>
        <v>-2.789406480784086E-2</v>
      </c>
    </row>
    <row r="54" spans="2:17" outlineLevel="1" x14ac:dyDescent="0.3">
      <c r="C54" s="4" t="s">
        <v>212</v>
      </c>
      <c r="H54" s="43">
        <f>SUM(G141:G143)-SUM(H141:H143)</f>
        <v>-306.55385120702522</v>
      </c>
      <c r="I54" s="43">
        <f t="shared" ref="I54:Q54" si="30">SUM(H141:H143)-SUM(I141:I143)</f>
        <v>-267.6606660055204</v>
      </c>
      <c r="J54" s="43">
        <f t="shared" si="30"/>
        <v>-264.88538855963088</v>
      </c>
      <c r="K54" s="43">
        <f t="shared" si="30"/>
        <v>-254.98390848291183</v>
      </c>
      <c r="L54" s="43">
        <f t="shared" si="30"/>
        <v>-232.41139384744747</v>
      </c>
      <c r="M54" s="43">
        <f t="shared" si="30"/>
        <v>-240.47966607130274</v>
      </c>
      <c r="N54" s="43">
        <f t="shared" si="30"/>
        <v>-246.21486797458601</v>
      </c>
      <c r="O54" s="43">
        <f t="shared" si="30"/>
        <v>-249.17524684608725</v>
      </c>
      <c r="P54" s="43">
        <f t="shared" si="30"/>
        <v>-257.08168734226365</v>
      </c>
      <c r="Q54" s="43">
        <f t="shared" si="30"/>
        <v>-259.98220116048924</v>
      </c>
    </row>
    <row r="55" spans="2:17" outlineLevel="1" x14ac:dyDescent="0.3">
      <c r="C55" s="4" t="s">
        <v>213</v>
      </c>
      <c r="H55" s="43">
        <f>SUM(H159:H161)-SUM(G159:G161)</f>
        <v>547.91543018679022</v>
      </c>
      <c r="I55" s="43">
        <f t="shared" ref="I55:Q55" si="31">SUM(I159:I161)-SUM(H159:H161)</f>
        <v>292.6181014924623</v>
      </c>
      <c r="J55" s="43">
        <f t="shared" si="31"/>
        <v>290.37336495794261</v>
      </c>
      <c r="K55" s="43">
        <f t="shared" si="31"/>
        <v>280.52388232175781</v>
      </c>
      <c r="L55" s="43">
        <f t="shared" si="31"/>
        <v>257.1159579909463</v>
      </c>
      <c r="M55" s="43">
        <f t="shared" si="31"/>
        <v>266.35049828796673</v>
      </c>
      <c r="N55" s="43">
        <f t="shared" si="31"/>
        <v>273.12169204452948</v>
      </c>
      <c r="O55" s="43">
        <f t="shared" si="31"/>
        <v>276.94410613040054</v>
      </c>
      <c r="P55" s="43">
        <f t="shared" si="31"/>
        <v>286.08158262516008</v>
      </c>
      <c r="Q55" s="43">
        <f t="shared" si="31"/>
        <v>289.87635187567867</v>
      </c>
    </row>
    <row r="56" spans="2:17" outlineLevel="1" x14ac:dyDescent="0.3">
      <c r="C56" s="48" t="s">
        <v>436</v>
      </c>
      <c r="H56" s="43">
        <f>G141-H141</f>
        <v>23.998388805836157</v>
      </c>
      <c r="I56" s="43">
        <f t="shared" ref="I56:P56" si="32">H141-I141</f>
        <v>-29.017412979995811</v>
      </c>
      <c r="J56" s="43">
        <f t="shared" si="32"/>
        <v>-28.716541832272696</v>
      </c>
      <c r="K56" s="43">
        <f t="shared" si="32"/>
        <v>-27.643110532906917</v>
      </c>
      <c r="L56" s="43">
        <f t="shared" si="32"/>
        <v>-25.195997219811034</v>
      </c>
      <c r="M56" s="43">
        <f t="shared" si="32"/>
        <v>-26.070688262946192</v>
      </c>
      <c r="N56" s="43">
        <f t="shared" si="32"/>
        <v>-26.692448361786433</v>
      </c>
      <c r="O56" s="43">
        <f t="shared" si="32"/>
        <v>-27.013386576480343</v>
      </c>
      <c r="P56" s="43">
        <f t="shared" si="32"/>
        <v>-27.870533248433162</v>
      </c>
      <c r="Q56" s="43">
        <f t="shared" ref="Q56" si="33">P141-Q141</f>
        <v>-28.184981421090356</v>
      </c>
    </row>
    <row r="57" spans="2:17" outlineLevel="1" x14ac:dyDescent="0.3">
      <c r="C57" s="48" t="s">
        <v>437</v>
      </c>
      <c r="H57" s="43">
        <f t="shared" ref="H57:P58" si="34">G142-H142</f>
        <v>-241.63108203396223</v>
      </c>
      <c r="I57" s="43">
        <f t="shared" si="34"/>
        <v>-219.6691136783129</v>
      </c>
      <c r="J57" s="43">
        <f t="shared" si="34"/>
        <v>-217.39144342572126</v>
      </c>
      <c r="K57" s="43">
        <f t="shared" si="34"/>
        <v>-209.26529853855391</v>
      </c>
      <c r="L57" s="43">
        <f t="shared" si="34"/>
        <v>-190.74003534817984</v>
      </c>
      <c r="M57" s="43">
        <f t="shared" si="34"/>
        <v>-197.361666515656</v>
      </c>
      <c r="N57" s="43">
        <f t="shared" si="34"/>
        <v>-202.06854682669291</v>
      </c>
      <c r="O57" s="43">
        <f t="shared" si="34"/>
        <v>-204.49812982280309</v>
      </c>
      <c r="P57" s="43">
        <f t="shared" si="34"/>
        <v>-210.98694568829796</v>
      </c>
      <c r="Q57" s="43">
        <f t="shared" ref="Q57" si="35">P142-Q142</f>
        <v>-213.36739743404723</v>
      </c>
    </row>
    <row r="58" spans="2:17" outlineLevel="1" x14ac:dyDescent="0.3">
      <c r="C58" s="48" t="s">
        <v>438</v>
      </c>
      <c r="H58" s="43">
        <f t="shared" si="34"/>
        <v>-88.921157978899828</v>
      </c>
      <c r="I58" s="43">
        <f t="shared" si="34"/>
        <v>-18.974139347210894</v>
      </c>
      <c r="J58" s="43">
        <f t="shared" si="34"/>
        <v>-18.777403301637548</v>
      </c>
      <c r="K58" s="43">
        <f t="shared" si="34"/>
        <v>-18.075499411450551</v>
      </c>
      <c r="L58" s="43">
        <f t="shared" si="34"/>
        <v>-16.47536127945682</v>
      </c>
      <c r="M58" s="43">
        <f t="shared" si="34"/>
        <v>-17.047311292700499</v>
      </c>
      <c r="N58" s="43">
        <f t="shared" si="34"/>
        <v>-17.453872786106672</v>
      </c>
      <c r="O58" s="43">
        <f t="shared" si="34"/>
        <v>-17.663730446803243</v>
      </c>
      <c r="P58" s="43">
        <f t="shared" si="34"/>
        <v>-18.224208405532522</v>
      </c>
      <c r="Q58" s="43">
        <f t="shared" ref="Q58" si="36">P143-Q143</f>
        <v>-18.429822305351308</v>
      </c>
    </row>
    <row r="59" spans="2:17" outlineLevel="1" x14ac:dyDescent="0.3">
      <c r="C59" s="134" t="s">
        <v>439</v>
      </c>
      <c r="H59" s="43">
        <f>H159-G159</f>
        <v>223.48069904865497</v>
      </c>
      <c r="I59" s="43">
        <f t="shared" ref="I59:P59" si="37">I159-H159</f>
        <v>192.24998205564134</v>
      </c>
      <c r="J59" s="43">
        <f t="shared" si="37"/>
        <v>190.2566109446243</v>
      </c>
      <c r="K59" s="43">
        <f t="shared" si="37"/>
        <v>183.14477267760503</v>
      </c>
      <c r="L59" s="43">
        <f t="shared" si="37"/>
        <v>166.93183560925991</v>
      </c>
      <c r="M59" s="43">
        <f t="shared" si="37"/>
        <v>172.72695378409298</v>
      </c>
      <c r="N59" s="43">
        <f t="shared" si="37"/>
        <v>176.84632059075193</v>
      </c>
      <c r="O59" s="43">
        <f t="shared" si="37"/>
        <v>178.97264267392438</v>
      </c>
      <c r="P59" s="43">
        <f t="shared" si="37"/>
        <v>184.65152357263105</v>
      </c>
      <c r="Q59" s="43">
        <f t="shared" ref="Q59" si="38">Q159-P159</f>
        <v>186.73484697545882</v>
      </c>
    </row>
    <row r="60" spans="2:17" outlineLevel="1" x14ac:dyDescent="0.3">
      <c r="C60" s="134" t="s">
        <v>440</v>
      </c>
      <c r="H60" s="43">
        <f t="shared" ref="H60:P61" si="39">H160-G160</f>
        <v>296.10253018906155</v>
      </c>
      <c r="I60" s="43">
        <f t="shared" si="39"/>
        <v>70.553881233819311</v>
      </c>
      <c r="J60" s="43">
        <f t="shared" si="39"/>
        <v>69.822333344358185</v>
      </c>
      <c r="K60" s="43">
        <f t="shared" si="39"/>
        <v>67.212357587376573</v>
      </c>
      <c r="L60" s="43">
        <f t="shared" si="39"/>
        <v>61.262366725789207</v>
      </c>
      <c r="M60" s="43">
        <f t="shared" si="39"/>
        <v>63.389118963013061</v>
      </c>
      <c r="N60" s="43">
        <f t="shared" si="39"/>
        <v>64.900886679857649</v>
      </c>
      <c r="O60" s="43">
        <f t="shared" si="39"/>
        <v>65.681226288302696</v>
      </c>
      <c r="P60" s="43">
        <f t="shared" si="39"/>
        <v>67.765320571091706</v>
      </c>
      <c r="Q60" s="43">
        <f t="shared" ref="Q60" si="40">Q160-P160</f>
        <v>68.529880080346629</v>
      </c>
    </row>
    <row r="61" spans="2:17" outlineLevel="1" x14ac:dyDescent="0.3">
      <c r="C61" s="134" t="s">
        <v>441</v>
      </c>
      <c r="H61" s="43">
        <f t="shared" si="39"/>
        <v>28.332200949072899</v>
      </c>
      <c r="I61" s="43">
        <f t="shared" si="39"/>
        <v>29.814238203002105</v>
      </c>
      <c r="J61" s="43">
        <f t="shared" si="39"/>
        <v>30.294420668959901</v>
      </c>
      <c r="K61" s="43">
        <f t="shared" si="39"/>
        <v>30.16675205677609</v>
      </c>
      <c r="L61" s="43">
        <f t="shared" si="39"/>
        <v>28.921755655896618</v>
      </c>
      <c r="M61" s="43">
        <f t="shared" si="39"/>
        <v>30.234425540862162</v>
      </c>
      <c r="N61" s="43">
        <f t="shared" si="39"/>
        <v>31.374484773919562</v>
      </c>
      <c r="O61" s="43">
        <f t="shared" si="39"/>
        <v>32.290237168173235</v>
      </c>
      <c r="P61" s="43">
        <f t="shared" si="39"/>
        <v>33.664738481438462</v>
      </c>
      <c r="Q61" s="43">
        <f t="shared" ref="Q61" si="41">Q161-P161</f>
        <v>34.611624819871281</v>
      </c>
    </row>
    <row r="62" spans="2:17" outlineLevel="1" x14ac:dyDescent="0.3"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2:17" outlineLevel="1" x14ac:dyDescent="0.3">
      <c r="C63" s="4" t="s">
        <v>150</v>
      </c>
      <c r="E63" s="40">
        <f>E192/E121</f>
        <v>-2.3392031040143261E-2</v>
      </c>
      <c r="F63" s="40">
        <f t="shared" ref="F63:G63" si="42">F192/F121</f>
        <v>-2.234757327472283E-2</v>
      </c>
      <c r="G63" s="40">
        <f t="shared" si="42"/>
        <v>-2.7738677676797201E-2</v>
      </c>
      <c r="H63" s="41">
        <f>AVERAGE(E63:G63)</f>
        <v>-2.4492760663887767E-2</v>
      </c>
      <c r="I63" s="41">
        <f>H63</f>
        <v>-2.4492760663887767E-2</v>
      </c>
      <c r="J63" s="41">
        <f t="shared" ref="J63:Q63" si="43">I63</f>
        <v>-2.4492760663887767E-2</v>
      </c>
      <c r="K63" s="41">
        <f t="shared" si="43"/>
        <v>-2.4492760663887767E-2</v>
      </c>
      <c r="L63" s="41">
        <f t="shared" si="43"/>
        <v>-2.4492760663887767E-2</v>
      </c>
      <c r="M63" s="41">
        <f t="shared" si="43"/>
        <v>-2.4492760663887767E-2</v>
      </c>
      <c r="N63" s="41">
        <f t="shared" si="43"/>
        <v>-2.4492760663887767E-2</v>
      </c>
      <c r="O63" s="41">
        <f t="shared" si="43"/>
        <v>-2.4492760663887767E-2</v>
      </c>
      <c r="P63" s="41">
        <f t="shared" si="43"/>
        <v>-2.4492760663887767E-2</v>
      </c>
      <c r="Q63" s="41">
        <f t="shared" si="43"/>
        <v>-2.4492760663887767E-2</v>
      </c>
    </row>
    <row r="64" spans="2:17" outlineLevel="1" x14ac:dyDescent="0.3"/>
    <row r="65" spans="2:22" outlineLevel="1" x14ac:dyDescent="0.3">
      <c r="C65" s="4" t="s">
        <v>231</v>
      </c>
      <c r="E65" s="24">
        <f>E183</f>
        <v>1536.9</v>
      </c>
      <c r="F65" s="24">
        <f t="shared" ref="F65:G65" si="44">F183</f>
        <v>1681.3</v>
      </c>
      <c r="G65" s="24">
        <f t="shared" si="44"/>
        <v>1807.1</v>
      </c>
      <c r="H65" s="24">
        <f>H67-H66</f>
        <v>1824.297106899691</v>
      </c>
      <c r="I65" s="24">
        <f t="shared" ref="I65:Q65" si="45">I67-I66</f>
        <v>1902.4510170314509</v>
      </c>
      <c r="J65" s="24">
        <f t="shared" si="45"/>
        <v>1979.7945772999547</v>
      </c>
      <c r="K65" s="24">
        <f t="shared" si="45"/>
        <v>2054.2470165246536</v>
      </c>
      <c r="L65" s="24">
        <f t="shared" si="45"/>
        <v>2122.1085348396978</v>
      </c>
      <c r="M65" s="24">
        <f t="shared" si="45"/>
        <v>2192.325898082247</v>
      </c>
      <c r="N65" s="24">
        <f t="shared" si="45"/>
        <v>2264.2178759061089</v>
      </c>
      <c r="O65" s="24">
        <f t="shared" si="45"/>
        <v>2336.9742511318454</v>
      </c>
      <c r="P65" s="24">
        <f t="shared" si="45"/>
        <v>2412.0392182370761</v>
      </c>
      <c r="Q65" s="24">
        <f t="shared" si="45"/>
        <v>2450.9622139316875</v>
      </c>
    </row>
    <row r="66" spans="2:22" outlineLevel="1" x14ac:dyDescent="0.3">
      <c r="C66" s="9" t="s">
        <v>232</v>
      </c>
      <c r="E66" s="24">
        <v>-67.400000000000006</v>
      </c>
      <c r="F66" s="24">
        <v>-63.8</v>
      </c>
      <c r="G66" s="24">
        <v>-55.5</v>
      </c>
      <c r="H66" s="24">
        <f>H99</f>
        <v>-36.988888888888887</v>
      </c>
      <c r="I66" s="24">
        <f>I99</f>
        <v>-36.988888888888887</v>
      </c>
      <c r="J66" s="24">
        <f t="shared" ref="J66:Q66" si="46">J99</f>
        <v>-36.988888888888887</v>
      </c>
      <c r="K66" s="24">
        <f t="shared" si="46"/>
        <v>-36.988888888888887</v>
      </c>
      <c r="L66" s="24">
        <f t="shared" si="46"/>
        <v>-36.988888888888887</v>
      </c>
      <c r="M66" s="24">
        <f t="shared" si="46"/>
        <v>-36.988888888888887</v>
      </c>
      <c r="N66" s="24">
        <f t="shared" si="46"/>
        <v>-36.988888888888887</v>
      </c>
      <c r="O66" s="24">
        <f t="shared" si="46"/>
        <v>-36.988888888888887</v>
      </c>
      <c r="P66" s="24">
        <f t="shared" si="46"/>
        <v>-36.988888888888887</v>
      </c>
      <c r="Q66" s="24">
        <f t="shared" si="46"/>
        <v>0</v>
      </c>
    </row>
    <row r="67" spans="2:22" outlineLevel="1" x14ac:dyDescent="0.3">
      <c r="C67" s="4" t="s">
        <v>233</v>
      </c>
      <c r="E67" s="24">
        <f>SUM(E65:E66)</f>
        <v>1469.5</v>
      </c>
      <c r="F67" s="24">
        <f t="shared" ref="F67:G67" si="47">SUM(F65:F66)</f>
        <v>1617.5</v>
      </c>
      <c r="G67" s="24">
        <f t="shared" si="47"/>
        <v>1751.6</v>
      </c>
      <c r="H67" s="24">
        <f t="shared" ref="H67:Q67" si="48">H68*H121</f>
        <v>1787.3082180108022</v>
      </c>
      <c r="I67" s="24">
        <f t="shared" si="48"/>
        <v>1865.4621281425621</v>
      </c>
      <c r="J67" s="24">
        <f t="shared" si="48"/>
        <v>1942.8056884110658</v>
      </c>
      <c r="K67" s="24">
        <f t="shared" si="48"/>
        <v>2017.2581276357646</v>
      </c>
      <c r="L67" s="24">
        <f t="shared" si="48"/>
        <v>2085.1196459508087</v>
      </c>
      <c r="M67" s="24">
        <f t="shared" si="48"/>
        <v>2155.337009193358</v>
      </c>
      <c r="N67" s="24">
        <f t="shared" si="48"/>
        <v>2227.2289870172199</v>
      </c>
      <c r="O67" s="24">
        <f t="shared" si="48"/>
        <v>2299.9853622429564</v>
      </c>
      <c r="P67" s="24">
        <f t="shared" si="48"/>
        <v>2375.050329348187</v>
      </c>
      <c r="Q67" s="24">
        <f t="shared" si="48"/>
        <v>2450.9622139316875</v>
      </c>
    </row>
    <row r="68" spans="2:22" outlineLevel="1" x14ac:dyDescent="0.3">
      <c r="C68" s="9" t="s">
        <v>234</v>
      </c>
      <c r="E68" s="40">
        <f>E67/E121</f>
        <v>2.1086118030603927E-2</v>
      </c>
      <c r="F68" s="40">
        <f>F67/F121</f>
        <v>2.2500591205642188E-2</v>
      </c>
      <c r="G68" s="40">
        <f>G67/G121</f>
        <v>2.2557717544304738E-2</v>
      </c>
      <c r="H68" s="41">
        <f>AVERAGE(E68:G68)</f>
        <v>2.2048142260183617E-2</v>
      </c>
      <c r="I68" s="41">
        <f>H68</f>
        <v>2.2048142260183617E-2</v>
      </c>
      <c r="J68" s="41">
        <f t="shared" ref="J68:Q68" si="49">I68</f>
        <v>2.2048142260183617E-2</v>
      </c>
      <c r="K68" s="41">
        <f t="shared" si="49"/>
        <v>2.2048142260183617E-2</v>
      </c>
      <c r="L68" s="41">
        <f t="shared" si="49"/>
        <v>2.2048142260183617E-2</v>
      </c>
      <c r="M68" s="41">
        <f t="shared" si="49"/>
        <v>2.2048142260183617E-2</v>
      </c>
      <c r="N68" s="41">
        <f t="shared" si="49"/>
        <v>2.2048142260183617E-2</v>
      </c>
      <c r="O68" s="41">
        <f t="shared" si="49"/>
        <v>2.2048142260183617E-2</v>
      </c>
      <c r="P68" s="41">
        <f t="shared" si="49"/>
        <v>2.2048142260183617E-2</v>
      </c>
      <c r="Q68" s="41">
        <f t="shared" si="49"/>
        <v>2.2048142260183617E-2</v>
      </c>
    </row>
    <row r="69" spans="2:22" outlineLevel="1" x14ac:dyDescent="0.3"/>
    <row r="70" spans="2:22" outlineLevel="1" x14ac:dyDescent="0.3">
      <c r="B70" s="38" t="s">
        <v>110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</row>
    <row r="71" spans="2:22" outlineLevel="1" x14ac:dyDescent="0.3">
      <c r="C71" s="4" t="s">
        <v>214</v>
      </c>
      <c r="F71" s="24">
        <f>E74</f>
        <v>6153.3</v>
      </c>
      <c r="G71" s="24">
        <f>F74</f>
        <v>6060.5</v>
      </c>
      <c r="H71" s="24">
        <f t="shared" ref="H71:Q71" si="50">G74</f>
        <v>6051</v>
      </c>
      <c r="I71" s="24">
        <f t="shared" si="50"/>
        <v>6056.1994565298792</v>
      </c>
      <c r="J71" s="24">
        <f t="shared" si="50"/>
        <v>6089.8355064159505</v>
      </c>
      <c r="K71" s="24">
        <f t="shared" si="50"/>
        <v>6148.5149382327581</v>
      </c>
      <c r="L71" s="24">
        <f t="shared" si="50"/>
        <v>6228.441403897652</v>
      </c>
      <c r="M71" s="24">
        <f t="shared" si="50"/>
        <v>6324.8584567138778</v>
      </c>
      <c r="N71" s="24">
        <f t="shared" si="50"/>
        <v>6436.8469612160588</v>
      </c>
      <c r="O71" s="24">
        <f t="shared" si="50"/>
        <v>6563.334941645152</v>
      </c>
      <c r="P71" s="24">
        <f t="shared" si="50"/>
        <v>6703.0663378742129</v>
      </c>
      <c r="Q71" s="24">
        <f t="shared" si="50"/>
        <v>6855.4576115501677</v>
      </c>
    </row>
    <row r="72" spans="2:22" outlineLevel="1" x14ac:dyDescent="0.3">
      <c r="C72" s="9" t="s">
        <v>130</v>
      </c>
      <c r="F72" s="24">
        <f>F78</f>
        <v>-653.08879999999999</v>
      </c>
      <c r="G72" s="24">
        <f>G78</f>
        <v>-674.92799999999988</v>
      </c>
      <c r="H72" s="24">
        <f>H78</f>
        <v>-658.05054164068622</v>
      </c>
      <c r="I72" s="24">
        <f t="shared" ref="I72:Q72" si="51">I78</f>
        <v>-658.61598622599831</v>
      </c>
      <c r="J72" s="24">
        <f t="shared" si="51"/>
        <v>-662.27393050730416</v>
      </c>
      <c r="K72" s="24">
        <f t="shared" si="51"/>
        <v>-668.655360335468</v>
      </c>
      <c r="L72" s="24">
        <f t="shared" si="51"/>
        <v>-677.34742016396058</v>
      </c>
      <c r="M72" s="24">
        <f t="shared" si="51"/>
        <v>-687.83284304102483</v>
      </c>
      <c r="N72" s="24">
        <f t="shared" si="51"/>
        <v>-700.01167233290903</v>
      </c>
      <c r="O72" s="24">
        <f t="shared" si="51"/>
        <v>-713.76732991552353</v>
      </c>
      <c r="P72" s="24">
        <f t="shared" si="51"/>
        <v>-728.96321835920958</v>
      </c>
      <c r="Q72" s="24">
        <f t="shared" si="51"/>
        <v>-745.53587745419804</v>
      </c>
    </row>
    <row r="73" spans="2:22" outlineLevel="1" x14ac:dyDescent="0.3">
      <c r="C73" s="9" t="s">
        <v>217</v>
      </c>
      <c r="F73" s="24">
        <f>F74-SUM(F71:F72)</f>
        <v>560.28880000000026</v>
      </c>
      <c r="G73" s="24">
        <f>G74-SUM(G71:G72)</f>
        <v>665.42799999999988</v>
      </c>
      <c r="H73" s="24">
        <f t="shared" ref="H73:Q73" si="52">H80*H121</f>
        <v>663.24999817056539</v>
      </c>
      <c r="I73" s="24">
        <f t="shared" si="52"/>
        <v>692.25203611206996</v>
      </c>
      <c r="J73" s="24">
        <f t="shared" si="52"/>
        <v>720.95336232411125</v>
      </c>
      <c r="K73" s="24">
        <f t="shared" si="52"/>
        <v>748.58182600036173</v>
      </c>
      <c r="L73" s="24">
        <f t="shared" si="52"/>
        <v>773.76447298018604</v>
      </c>
      <c r="M73" s="24">
        <f t="shared" si="52"/>
        <v>799.82134754320623</v>
      </c>
      <c r="N73" s="24">
        <f t="shared" si="52"/>
        <v>826.49965276200226</v>
      </c>
      <c r="O73" s="24">
        <f t="shared" si="52"/>
        <v>853.49872614458502</v>
      </c>
      <c r="P73" s="24">
        <f t="shared" si="52"/>
        <v>881.35449203516464</v>
      </c>
      <c r="Q73" s="24">
        <f t="shared" si="52"/>
        <v>909.52453948627897</v>
      </c>
    </row>
    <row r="74" spans="2:22" outlineLevel="1" x14ac:dyDescent="0.3">
      <c r="C74" s="4" t="s">
        <v>216</v>
      </c>
      <c r="E74" s="24">
        <f>E166</f>
        <v>6153.3</v>
      </c>
      <c r="F74" s="24">
        <f t="shared" ref="F74:G74" si="53">F166</f>
        <v>6060.5</v>
      </c>
      <c r="G74" s="24">
        <f t="shared" si="53"/>
        <v>6051</v>
      </c>
      <c r="H74" s="24">
        <f>SUM(H71:H73)</f>
        <v>6056.1994565298792</v>
      </c>
      <c r="I74" s="24">
        <f t="shared" ref="I74:Q74" si="54">SUM(I71:I73)</f>
        <v>6089.8355064159505</v>
      </c>
      <c r="J74" s="24">
        <f t="shared" si="54"/>
        <v>6148.5149382327581</v>
      </c>
      <c r="K74" s="24">
        <f t="shared" si="54"/>
        <v>6228.441403897652</v>
      </c>
      <c r="L74" s="24">
        <f t="shared" si="54"/>
        <v>6324.8584567138778</v>
      </c>
      <c r="M74" s="24">
        <f t="shared" si="54"/>
        <v>6436.8469612160588</v>
      </c>
      <c r="N74" s="24">
        <f t="shared" si="54"/>
        <v>6563.334941645152</v>
      </c>
      <c r="O74" s="24">
        <f t="shared" si="54"/>
        <v>6703.0663378742129</v>
      </c>
      <c r="P74" s="24">
        <f t="shared" si="54"/>
        <v>6855.4576115501677</v>
      </c>
      <c r="Q74" s="24">
        <f t="shared" si="54"/>
        <v>7019.4462735822481</v>
      </c>
    </row>
    <row r="75" spans="2:22" outlineLevel="1" x14ac:dyDescent="0.3"/>
    <row r="76" spans="2:22" outlineLevel="1" x14ac:dyDescent="0.3">
      <c r="C76" s="4" t="s">
        <v>112</v>
      </c>
      <c r="E76" s="24">
        <f>E125</f>
        <v>-1016.2</v>
      </c>
      <c r="F76" s="24">
        <f t="shared" ref="F76:G76" si="55">F125</f>
        <v>-1046.9000000000001</v>
      </c>
      <c r="G76" s="24">
        <f t="shared" si="55"/>
        <v>-1062.8</v>
      </c>
      <c r="H76" s="24">
        <f>H79*H71</f>
        <v>-1045.3145416406862</v>
      </c>
      <c r="I76" s="24">
        <f t="shared" ref="I76:Q76" si="56">I79*I71</f>
        <v>-1046.2127514439105</v>
      </c>
      <c r="J76" s="24">
        <f t="shared" si="56"/>
        <v>-1052.0234029179251</v>
      </c>
      <c r="K76" s="24">
        <f t="shared" si="56"/>
        <v>-1062.1603163823645</v>
      </c>
      <c r="L76" s="24">
        <f t="shared" si="56"/>
        <v>-1075.9676700134103</v>
      </c>
      <c r="M76" s="24">
        <f t="shared" si="56"/>
        <v>-1092.623784270713</v>
      </c>
      <c r="N76" s="24">
        <f t="shared" si="56"/>
        <v>-1111.9698778507368</v>
      </c>
      <c r="O76" s="24">
        <f t="shared" si="56"/>
        <v>-1133.8207661808133</v>
      </c>
      <c r="P76" s="24">
        <f t="shared" si="56"/>
        <v>-1157.9594639831591</v>
      </c>
      <c r="Q76" s="24">
        <f t="shared" si="56"/>
        <v>-1184.2851645934088</v>
      </c>
      <c r="T76" s="4" t="s">
        <v>218</v>
      </c>
      <c r="U76" s="4" t="s">
        <v>219</v>
      </c>
      <c r="V76" s="4" t="s">
        <v>220</v>
      </c>
    </row>
    <row r="77" spans="2:22" outlineLevel="1" x14ac:dyDescent="0.3">
      <c r="C77" s="4" t="s">
        <v>116</v>
      </c>
      <c r="F77" s="24">
        <f t="shared" ref="F77:Q77" si="57">F71*Albertsons_Operating_Lease_Discount_Rate</f>
        <v>393.81120000000004</v>
      </c>
      <c r="G77" s="24">
        <f t="shared" si="57"/>
        <v>387.87200000000001</v>
      </c>
      <c r="H77" s="24">
        <f t="shared" si="57"/>
        <v>387.26400000000001</v>
      </c>
      <c r="I77" s="24">
        <f t="shared" si="57"/>
        <v>387.59676521791226</v>
      </c>
      <c r="J77" s="24">
        <f t="shared" si="57"/>
        <v>389.74947241062085</v>
      </c>
      <c r="K77" s="24">
        <f t="shared" si="57"/>
        <v>393.50495604689655</v>
      </c>
      <c r="L77" s="24">
        <f t="shared" si="57"/>
        <v>398.62024984944975</v>
      </c>
      <c r="M77" s="24">
        <f t="shared" si="57"/>
        <v>404.7909412296882</v>
      </c>
      <c r="N77" s="24">
        <f t="shared" si="57"/>
        <v>411.95820551782776</v>
      </c>
      <c r="O77" s="24">
        <f t="shared" si="57"/>
        <v>420.05343626528975</v>
      </c>
      <c r="P77" s="24">
        <f t="shared" si="57"/>
        <v>428.99624562394962</v>
      </c>
      <c r="Q77" s="24">
        <f t="shared" si="57"/>
        <v>438.74928713921076</v>
      </c>
      <c r="T77" s="4">
        <v>2023</v>
      </c>
      <c r="U77" s="4">
        <v>953.4</v>
      </c>
      <c r="V77" s="4">
        <v>104.8</v>
      </c>
    </row>
    <row r="78" spans="2:22" outlineLevel="1" x14ac:dyDescent="0.3">
      <c r="C78" s="4" t="s">
        <v>215</v>
      </c>
      <c r="F78" s="24">
        <f>F77+F76</f>
        <v>-653.08879999999999</v>
      </c>
      <c r="G78" s="24">
        <f>G77+G76</f>
        <v>-674.92799999999988</v>
      </c>
      <c r="H78" s="24">
        <f t="shared" ref="H78:Q78" si="58">H77+H76</f>
        <v>-658.05054164068622</v>
      </c>
      <c r="I78" s="24">
        <f t="shared" si="58"/>
        <v>-658.61598622599831</v>
      </c>
      <c r="J78" s="24">
        <f t="shared" si="58"/>
        <v>-662.27393050730416</v>
      </c>
      <c r="K78" s="24">
        <f t="shared" si="58"/>
        <v>-668.655360335468</v>
      </c>
      <c r="L78" s="24">
        <f t="shared" si="58"/>
        <v>-677.34742016396058</v>
      </c>
      <c r="M78" s="24">
        <f t="shared" si="58"/>
        <v>-687.83284304102483</v>
      </c>
      <c r="N78" s="24">
        <f t="shared" si="58"/>
        <v>-700.01167233290903</v>
      </c>
      <c r="O78" s="24">
        <f t="shared" si="58"/>
        <v>-713.76732991552353</v>
      </c>
      <c r="P78" s="24">
        <f t="shared" si="58"/>
        <v>-728.96321835920958</v>
      </c>
      <c r="Q78" s="24">
        <f t="shared" si="58"/>
        <v>-745.53587745419804</v>
      </c>
      <c r="T78" s="4">
        <v>2024</v>
      </c>
      <c r="U78" s="4">
        <v>968.8</v>
      </c>
      <c r="V78" s="4">
        <v>104.2</v>
      </c>
    </row>
    <row r="79" spans="2:22" outlineLevel="1" x14ac:dyDescent="0.3">
      <c r="C79" s="9" t="s">
        <v>120</v>
      </c>
      <c r="F79" s="40">
        <f>F76/F71</f>
        <v>-0.17013634960102711</v>
      </c>
      <c r="G79" s="40">
        <f>G76/G71</f>
        <v>-0.17536506888870554</v>
      </c>
      <c r="H79" s="41">
        <f>AVERAGE(E79:G79)</f>
        <v>-0.17275070924486632</v>
      </c>
      <c r="I79" s="41">
        <f>H79</f>
        <v>-0.17275070924486632</v>
      </c>
      <c r="J79" s="41">
        <f t="shared" ref="J79:Q80" si="59">I79</f>
        <v>-0.17275070924486632</v>
      </c>
      <c r="K79" s="41">
        <f t="shared" si="59"/>
        <v>-0.17275070924486632</v>
      </c>
      <c r="L79" s="41">
        <f t="shared" si="59"/>
        <v>-0.17275070924486632</v>
      </c>
      <c r="M79" s="41">
        <f t="shared" si="59"/>
        <v>-0.17275070924486632</v>
      </c>
      <c r="N79" s="41">
        <f t="shared" si="59"/>
        <v>-0.17275070924486632</v>
      </c>
      <c r="O79" s="41">
        <f t="shared" si="59"/>
        <v>-0.17275070924486632</v>
      </c>
      <c r="P79" s="41">
        <f t="shared" si="59"/>
        <v>-0.17275070924486632</v>
      </c>
      <c r="Q79" s="41">
        <f t="shared" si="59"/>
        <v>-0.17275070924486632</v>
      </c>
      <c r="T79" s="4">
        <v>2025</v>
      </c>
      <c r="U79" s="4">
        <v>885.5</v>
      </c>
      <c r="V79" s="4">
        <v>91.5</v>
      </c>
    </row>
    <row r="80" spans="2:22" outlineLevel="1" x14ac:dyDescent="0.3">
      <c r="C80" s="4" t="s">
        <v>119</v>
      </c>
      <c r="F80" s="40">
        <f>F73/F121</f>
        <v>7.7940211721173542E-3</v>
      </c>
      <c r="G80" s="40">
        <f>G73/G121</f>
        <v>8.5696145638682417E-3</v>
      </c>
      <c r="H80" s="41">
        <f>AVERAGE(E80:G80)</f>
        <v>8.1818178679927984E-3</v>
      </c>
      <c r="I80" s="41">
        <f>H80</f>
        <v>8.1818178679927984E-3</v>
      </c>
      <c r="J80" s="41">
        <f t="shared" si="59"/>
        <v>8.1818178679927984E-3</v>
      </c>
      <c r="K80" s="41">
        <f t="shared" si="59"/>
        <v>8.1818178679927984E-3</v>
      </c>
      <c r="L80" s="41">
        <f t="shared" si="59"/>
        <v>8.1818178679927984E-3</v>
      </c>
      <c r="M80" s="41">
        <f t="shared" si="59"/>
        <v>8.1818178679927984E-3</v>
      </c>
      <c r="N80" s="41">
        <f t="shared" si="59"/>
        <v>8.1818178679927984E-3</v>
      </c>
      <c r="O80" s="41">
        <f t="shared" si="59"/>
        <v>8.1818178679927984E-3</v>
      </c>
      <c r="P80" s="41">
        <f t="shared" si="59"/>
        <v>8.1818178679927984E-3</v>
      </c>
      <c r="Q80" s="41">
        <f t="shared" si="59"/>
        <v>8.1818178679927984E-3</v>
      </c>
      <c r="T80" s="4">
        <v>2026</v>
      </c>
      <c r="U80" s="4">
        <v>810.7</v>
      </c>
      <c r="V80" s="4">
        <v>75.3</v>
      </c>
    </row>
    <row r="81" spans="2:22" outlineLevel="1" x14ac:dyDescent="0.3"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</row>
    <row r="82" spans="2:22" outlineLevel="1" x14ac:dyDescent="0.3">
      <c r="C82" s="4" t="s">
        <v>221</v>
      </c>
      <c r="H82" s="24">
        <f>G85</f>
        <v>5879.1</v>
      </c>
      <c r="I82" s="24">
        <f t="shared" ref="I82:Q82" si="60">H85</f>
        <v>5884.2994565298795</v>
      </c>
      <c r="J82" s="24">
        <f t="shared" si="60"/>
        <v>5917.9355064159508</v>
      </c>
      <c r="K82" s="24">
        <f t="shared" si="60"/>
        <v>5976.6149382327585</v>
      </c>
      <c r="L82" s="24">
        <f t="shared" si="60"/>
        <v>6056.5414038976523</v>
      </c>
      <c r="M82" s="24">
        <f t="shared" si="60"/>
        <v>6152.9584567138781</v>
      </c>
      <c r="N82" s="24">
        <f t="shared" si="60"/>
        <v>6264.9469612160592</v>
      </c>
      <c r="O82" s="24">
        <f t="shared" si="60"/>
        <v>6391.4349416451523</v>
      </c>
      <c r="P82" s="24">
        <f t="shared" si="60"/>
        <v>6531.1663378742132</v>
      </c>
      <c r="Q82" s="24">
        <f t="shared" si="60"/>
        <v>6683.5576115501681</v>
      </c>
      <c r="T82" s="4">
        <v>2027</v>
      </c>
      <c r="U82" s="4">
        <v>717.9</v>
      </c>
      <c r="V82" s="4">
        <v>62</v>
      </c>
    </row>
    <row r="83" spans="2:22" outlineLevel="1" x14ac:dyDescent="0.3">
      <c r="C83" s="9" t="s">
        <v>223</v>
      </c>
      <c r="H83" s="24">
        <f>H72</f>
        <v>-658.05054164068622</v>
      </c>
      <c r="I83" s="24">
        <f t="shared" ref="I83:Q83" si="61">I72</f>
        <v>-658.61598622599831</v>
      </c>
      <c r="J83" s="24">
        <f t="shared" si="61"/>
        <v>-662.27393050730416</v>
      </c>
      <c r="K83" s="24">
        <f t="shared" si="61"/>
        <v>-668.655360335468</v>
      </c>
      <c r="L83" s="24">
        <f t="shared" si="61"/>
        <v>-677.34742016396058</v>
      </c>
      <c r="M83" s="24">
        <f t="shared" si="61"/>
        <v>-687.83284304102483</v>
      </c>
      <c r="N83" s="24">
        <f t="shared" si="61"/>
        <v>-700.01167233290903</v>
      </c>
      <c r="O83" s="24">
        <f t="shared" si="61"/>
        <v>-713.76732991552353</v>
      </c>
      <c r="P83" s="24">
        <f t="shared" si="61"/>
        <v>-728.96321835920958</v>
      </c>
      <c r="Q83" s="24">
        <f t="shared" si="61"/>
        <v>-745.53587745419804</v>
      </c>
    </row>
    <row r="84" spans="2:22" outlineLevel="1" x14ac:dyDescent="0.3">
      <c r="C84" s="9" t="s">
        <v>217</v>
      </c>
      <c r="H84" s="24">
        <f>H73</f>
        <v>663.24999817056539</v>
      </c>
      <c r="I84" s="24">
        <f t="shared" ref="I84:Q84" si="62">I73</f>
        <v>692.25203611206996</v>
      </c>
      <c r="J84" s="24">
        <f t="shared" si="62"/>
        <v>720.95336232411125</v>
      </c>
      <c r="K84" s="24">
        <f t="shared" si="62"/>
        <v>748.58182600036173</v>
      </c>
      <c r="L84" s="24">
        <f t="shared" si="62"/>
        <v>773.76447298018604</v>
      </c>
      <c r="M84" s="24">
        <f t="shared" si="62"/>
        <v>799.82134754320623</v>
      </c>
      <c r="N84" s="24">
        <f t="shared" si="62"/>
        <v>826.49965276200226</v>
      </c>
      <c r="O84" s="24">
        <f t="shared" si="62"/>
        <v>853.49872614458502</v>
      </c>
      <c r="P84" s="24">
        <f t="shared" si="62"/>
        <v>881.35449203516464</v>
      </c>
      <c r="Q84" s="24">
        <f t="shared" si="62"/>
        <v>909.52453948627897</v>
      </c>
    </row>
    <row r="85" spans="2:22" outlineLevel="1" x14ac:dyDescent="0.3">
      <c r="C85" s="4" t="s">
        <v>222</v>
      </c>
      <c r="G85" s="24">
        <f>G148</f>
        <v>5879.1</v>
      </c>
      <c r="H85" s="24">
        <f>SUM(H82:H84)</f>
        <v>5884.2994565298795</v>
      </c>
      <c r="I85" s="24">
        <f t="shared" ref="I85:Q85" si="63">SUM(I82:I84)</f>
        <v>5917.9355064159508</v>
      </c>
      <c r="J85" s="24">
        <f t="shared" si="63"/>
        <v>5976.6149382327585</v>
      </c>
      <c r="K85" s="24">
        <f t="shared" si="63"/>
        <v>6056.5414038976523</v>
      </c>
      <c r="L85" s="24">
        <f t="shared" si="63"/>
        <v>6152.9584567138781</v>
      </c>
      <c r="M85" s="24">
        <f t="shared" si="63"/>
        <v>6264.9469612160592</v>
      </c>
      <c r="N85" s="24">
        <f t="shared" si="63"/>
        <v>6391.4349416451523</v>
      </c>
      <c r="O85" s="24">
        <f t="shared" si="63"/>
        <v>6531.1663378742132</v>
      </c>
      <c r="P85" s="24">
        <f t="shared" si="63"/>
        <v>6683.5576115501681</v>
      </c>
      <c r="Q85" s="24">
        <f t="shared" si="63"/>
        <v>6847.5462735822484</v>
      </c>
    </row>
    <row r="86" spans="2:22" outlineLevel="1" x14ac:dyDescent="0.3"/>
    <row r="87" spans="2:22" outlineLevel="1" x14ac:dyDescent="0.3">
      <c r="B87" s="38" t="s">
        <v>121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</row>
    <row r="88" spans="2:22" outlineLevel="1" x14ac:dyDescent="0.3">
      <c r="C88" s="4" t="s">
        <v>225</v>
      </c>
      <c r="G88" s="24"/>
      <c r="H88" s="24">
        <f>G90</f>
        <v>517.1</v>
      </c>
      <c r="I88" s="24">
        <f t="shared" ref="I88:P88" si="64">H90</f>
        <v>467.11260000000004</v>
      </c>
      <c r="J88" s="24">
        <f t="shared" si="64"/>
        <v>412.42653560000002</v>
      </c>
      <c r="K88" s="24">
        <f t="shared" si="64"/>
        <v>364.64374837360003</v>
      </c>
      <c r="L88" s="24">
        <f t="shared" si="64"/>
        <v>327.99598570120162</v>
      </c>
      <c r="M88" s="24">
        <f t="shared" si="64"/>
        <v>300.763560185529</v>
      </c>
      <c r="N88" s="24">
        <f t="shared" si="64"/>
        <v>269.89748311285649</v>
      </c>
      <c r="O88" s="24">
        <f t="shared" si="64"/>
        <v>242.19905943964656</v>
      </c>
      <c r="P88" s="24">
        <f t="shared" si="64"/>
        <v>217.34320645339571</v>
      </c>
    </row>
    <row r="89" spans="2:22" outlineLevel="1" x14ac:dyDescent="0.3">
      <c r="C89" s="9" t="s">
        <v>130</v>
      </c>
      <c r="G89" s="24"/>
      <c r="H89" s="24">
        <f>-H94</f>
        <v>-49.987399999999994</v>
      </c>
      <c r="I89" s="24">
        <f t="shared" ref="I89:O89" si="65">-I94</f>
        <v>-54.686064399999999</v>
      </c>
      <c r="J89" s="24">
        <f t="shared" si="65"/>
        <v>-47.782787226399996</v>
      </c>
      <c r="K89" s="24">
        <f t="shared" si="65"/>
        <v>-36.647762672398393</v>
      </c>
      <c r="L89" s="24">
        <f t="shared" si="65"/>
        <v>-27.232425515672631</v>
      </c>
      <c r="M89" s="24">
        <f t="shared" si="65"/>
        <v>-30.866077072672503</v>
      </c>
      <c r="N89" s="24">
        <f t="shared" si="65"/>
        <v>-27.69842367320992</v>
      </c>
      <c r="O89" s="24">
        <f t="shared" si="65"/>
        <v>-24.855852986250852</v>
      </c>
      <c r="P89" s="24">
        <f>-P88</f>
        <v>-217.34320645339571</v>
      </c>
    </row>
    <row r="90" spans="2:22" outlineLevel="1" x14ac:dyDescent="0.3">
      <c r="C90" s="4" t="s">
        <v>226</v>
      </c>
      <c r="G90" s="24">
        <f>G167</f>
        <v>517.1</v>
      </c>
      <c r="H90" s="24">
        <f>SUM(H88:H89)</f>
        <v>467.11260000000004</v>
      </c>
      <c r="I90" s="24">
        <f t="shared" ref="I90:L90" si="66">SUM(I88:I89)</f>
        <v>412.42653560000002</v>
      </c>
      <c r="J90" s="24">
        <f t="shared" si="66"/>
        <v>364.64374837360003</v>
      </c>
      <c r="K90" s="24">
        <f t="shared" si="66"/>
        <v>327.99598570120162</v>
      </c>
      <c r="L90" s="24">
        <f t="shared" si="66"/>
        <v>300.763560185529</v>
      </c>
      <c r="M90" s="24">
        <f t="shared" ref="M90" si="67">SUM(M88:M89)</f>
        <v>269.89748311285649</v>
      </c>
      <c r="N90" s="24">
        <f t="shared" ref="N90" si="68">SUM(N88:N89)</f>
        <v>242.19905943964656</v>
      </c>
      <c r="O90" s="24">
        <f t="shared" ref="O90" si="69">SUM(O88:O89)</f>
        <v>217.34320645339571</v>
      </c>
      <c r="P90" s="24">
        <f>SUM(P88:P89)</f>
        <v>0</v>
      </c>
    </row>
    <row r="91" spans="2:22" outlineLevel="1" x14ac:dyDescent="0.3"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2:22" outlineLevel="1" x14ac:dyDescent="0.3">
      <c r="C92" s="4" t="s">
        <v>224</v>
      </c>
      <c r="G92" s="24"/>
      <c r="H92" s="24">
        <v>104.8</v>
      </c>
      <c r="I92" s="24">
        <v>104.2</v>
      </c>
      <c r="J92" s="24">
        <v>91.5</v>
      </c>
      <c r="K92" s="24">
        <v>75.3</v>
      </c>
      <c r="L92" s="24">
        <v>62</v>
      </c>
      <c r="M92" s="24">
        <f>M96*M88</f>
        <v>62.747014452338576</v>
      </c>
      <c r="N92" s="24">
        <f t="shared" ref="N92:O92" si="70">N96*N88</f>
        <v>56.307556883172708</v>
      </c>
      <c r="O92" s="24">
        <f t="shared" si="70"/>
        <v>50.528953286853387</v>
      </c>
      <c r="P92" s="24"/>
    </row>
    <row r="93" spans="2:22" outlineLevel="1" x14ac:dyDescent="0.3">
      <c r="C93" s="4" t="s">
        <v>116</v>
      </c>
      <c r="G93" s="24"/>
      <c r="H93" s="24">
        <f t="shared" ref="H93:O93" si="71">-H88*Albertsons_Finance_Lease_Discount_Rate</f>
        <v>-54.812600000000003</v>
      </c>
      <c r="I93" s="24">
        <f t="shared" si="71"/>
        <v>-49.513935600000003</v>
      </c>
      <c r="J93" s="24">
        <f t="shared" si="71"/>
        <v>-43.717212773600004</v>
      </c>
      <c r="K93" s="24">
        <f t="shared" si="71"/>
        <v>-38.652237327601604</v>
      </c>
      <c r="L93" s="24">
        <f t="shared" si="71"/>
        <v>-34.767574484327369</v>
      </c>
      <c r="M93" s="24">
        <f t="shared" si="71"/>
        <v>-31.880937379666072</v>
      </c>
      <c r="N93" s="24">
        <f t="shared" si="71"/>
        <v>-28.609133209962788</v>
      </c>
      <c r="O93" s="24">
        <f t="shared" si="71"/>
        <v>-25.673100300602535</v>
      </c>
      <c r="P93" s="24"/>
    </row>
    <row r="94" spans="2:22" outlineLevel="1" x14ac:dyDescent="0.3">
      <c r="C94" s="4" t="s">
        <v>215</v>
      </c>
      <c r="G94" s="24"/>
      <c r="H94" s="24">
        <f>H93+H92</f>
        <v>49.987399999999994</v>
      </c>
      <c r="I94" s="24">
        <f t="shared" ref="I94:L94" si="72">I93+I92</f>
        <v>54.686064399999999</v>
      </c>
      <c r="J94" s="24">
        <f t="shared" si="72"/>
        <v>47.782787226399996</v>
      </c>
      <c r="K94" s="24">
        <f t="shared" si="72"/>
        <v>36.647762672398393</v>
      </c>
      <c r="L94" s="24">
        <f t="shared" si="72"/>
        <v>27.232425515672631</v>
      </c>
      <c r="M94" s="24">
        <f t="shared" ref="M94" si="73">M93+M92</f>
        <v>30.866077072672503</v>
      </c>
      <c r="N94" s="24">
        <f t="shared" ref="N94" si="74">N93+N92</f>
        <v>27.69842367320992</v>
      </c>
      <c r="O94" s="24">
        <f t="shared" ref="O94" si="75">O93+O92</f>
        <v>24.855852986250852</v>
      </c>
      <c r="P94" s="24"/>
    </row>
    <row r="95" spans="2:22" outlineLevel="1" x14ac:dyDescent="0.3"/>
    <row r="96" spans="2:22" outlineLevel="1" x14ac:dyDescent="0.3">
      <c r="C96" s="4" t="s">
        <v>227</v>
      </c>
      <c r="H96" s="40">
        <f>H92/H88</f>
        <v>0.20266872945271705</v>
      </c>
      <c r="I96" s="40">
        <f t="shared" ref="I96:L96" si="76">I92/I88</f>
        <v>0.22307255252802</v>
      </c>
      <c r="J96" s="40">
        <f t="shared" si="76"/>
        <v>0.22185769367842778</v>
      </c>
      <c r="K96" s="40">
        <f t="shared" si="76"/>
        <v>0.20650292329391726</v>
      </c>
      <c r="L96" s="40">
        <f t="shared" si="76"/>
        <v>0.18902670368801669</v>
      </c>
      <c r="M96" s="41">
        <f>AVERAGE(H96:L96)</f>
        <v>0.20862572052821976</v>
      </c>
      <c r="N96" s="41">
        <f>M96</f>
        <v>0.20862572052821976</v>
      </c>
      <c r="O96" s="41">
        <f t="shared" ref="O96" si="77">N96</f>
        <v>0.20862572052821976</v>
      </c>
      <c r="P96" s="24"/>
    </row>
    <row r="97" spans="2:17" outlineLevel="1" x14ac:dyDescent="0.3"/>
    <row r="98" spans="2:17" outlineLevel="1" x14ac:dyDescent="0.3">
      <c r="C98" s="4" t="s">
        <v>228</v>
      </c>
      <c r="H98" s="24">
        <f>G100</f>
        <v>332.9</v>
      </c>
      <c r="I98" s="24">
        <f>H100</f>
        <v>295.9111111111111</v>
      </c>
      <c r="J98" s="24">
        <f t="shared" ref="J98:P98" si="78">I100</f>
        <v>258.92222222222222</v>
      </c>
      <c r="K98" s="24">
        <f t="shared" si="78"/>
        <v>221.93333333333334</v>
      </c>
      <c r="L98" s="24">
        <f t="shared" si="78"/>
        <v>184.94444444444446</v>
      </c>
      <c r="M98" s="24">
        <f t="shared" si="78"/>
        <v>147.95555555555558</v>
      </c>
      <c r="N98" s="24">
        <f t="shared" si="78"/>
        <v>110.9666666666667</v>
      </c>
      <c r="O98" s="24">
        <f t="shared" si="78"/>
        <v>73.977777777777817</v>
      </c>
      <c r="P98" s="24">
        <f t="shared" si="78"/>
        <v>36.98888888888893</v>
      </c>
    </row>
    <row r="99" spans="2:17" outlineLevel="1" x14ac:dyDescent="0.3">
      <c r="C99" s="9" t="s">
        <v>230</v>
      </c>
      <c r="H99" s="24">
        <v>-36.988888888888887</v>
      </c>
      <c r="I99" s="24">
        <f>H99</f>
        <v>-36.988888888888887</v>
      </c>
      <c r="J99" s="24">
        <f t="shared" ref="J99:P99" si="79">I99</f>
        <v>-36.988888888888887</v>
      </c>
      <c r="K99" s="24">
        <f t="shared" si="79"/>
        <v>-36.988888888888887</v>
      </c>
      <c r="L99" s="24">
        <f t="shared" si="79"/>
        <v>-36.988888888888887</v>
      </c>
      <c r="M99" s="24">
        <f t="shared" si="79"/>
        <v>-36.988888888888887</v>
      </c>
      <c r="N99" s="24">
        <f t="shared" si="79"/>
        <v>-36.988888888888887</v>
      </c>
      <c r="O99" s="24">
        <f t="shared" si="79"/>
        <v>-36.988888888888887</v>
      </c>
      <c r="P99" s="24">
        <f t="shared" si="79"/>
        <v>-36.988888888888887</v>
      </c>
      <c r="Q99" s="43"/>
    </row>
    <row r="100" spans="2:17" outlineLevel="1" x14ac:dyDescent="0.3">
      <c r="C100" s="4" t="s">
        <v>228</v>
      </c>
      <c r="G100" s="24">
        <f>G149</f>
        <v>332.9</v>
      </c>
      <c r="H100" s="24">
        <f>H99+H98</f>
        <v>295.9111111111111</v>
      </c>
      <c r="I100" s="24">
        <f t="shared" ref="I100:P100" si="80">I99+I98</f>
        <v>258.92222222222222</v>
      </c>
      <c r="J100" s="24">
        <f t="shared" si="80"/>
        <v>221.93333333333334</v>
      </c>
      <c r="K100" s="24">
        <f t="shared" si="80"/>
        <v>184.94444444444446</v>
      </c>
      <c r="L100" s="24">
        <f t="shared" si="80"/>
        <v>147.95555555555558</v>
      </c>
      <c r="M100" s="24">
        <f t="shared" si="80"/>
        <v>110.9666666666667</v>
      </c>
      <c r="N100" s="24">
        <f t="shared" si="80"/>
        <v>73.977777777777817</v>
      </c>
      <c r="O100" s="24">
        <f t="shared" si="80"/>
        <v>36.98888888888893</v>
      </c>
      <c r="P100" s="24">
        <f t="shared" si="80"/>
        <v>0</v>
      </c>
    </row>
    <row r="101" spans="2:17" outlineLevel="1" x14ac:dyDescent="0.3"/>
    <row r="102" spans="2:17" outlineLevel="1" x14ac:dyDescent="0.3">
      <c r="B102" s="38" t="s">
        <v>235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</row>
    <row r="103" spans="2:17" outlineLevel="1" x14ac:dyDescent="0.3">
      <c r="C103" s="4" t="s">
        <v>236</v>
      </c>
      <c r="H103" s="24">
        <f>G165</f>
        <v>8393</v>
      </c>
      <c r="I103" s="24">
        <f>H105</f>
        <v>7392.1</v>
      </c>
      <c r="J103" s="24">
        <f t="shared" ref="J103:Q103" si="81">I105</f>
        <v>7375.2000000000007</v>
      </c>
      <c r="K103" s="24">
        <f t="shared" si="81"/>
        <v>7361.1</v>
      </c>
      <c r="L103" s="24">
        <f t="shared" si="81"/>
        <v>4601</v>
      </c>
      <c r="M103" s="24">
        <f t="shared" si="81"/>
        <v>2944.4</v>
      </c>
      <c r="N103" s="24">
        <f t="shared" si="81"/>
        <v>2649.96</v>
      </c>
      <c r="O103" s="24">
        <f t="shared" si="81"/>
        <v>2355.52</v>
      </c>
      <c r="P103" s="24">
        <f t="shared" si="81"/>
        <v>2061.08</v>
      </c>
      <c r="Q103" s="24">
        <f t="shared" si="81"/>
        <v>1766.6399999999999</v>
      </c>
    </row>
    <row r="104" spans="2:17" outlineLevel="1" x14ac:dyDescent="0.3">
      <c r="C104" s="4" t="s">
        <v>130</v>
      </c>
      <c r="H104" s="24">
        <v>-1000.9</v>
      </c>
      <c r="I104" s="24">
        <v>-16.899999999999999</v>
      </c>
      <c r="J104" s="24">
        <v>-14.1</v>
      </c>
      <c r="K104" s="24">
        <v>-2760.1</v>
      </c>
      <c r="L104" s="24">
        <v>-1656.6</v>
      </c>
      <c r="M104" s="45">
        <f>-L105/10</f>
        <v>-294.44</v>
      </c>
      <c r="N104" s="45">
        <f>M104</f>
        <v>-294.44</v>
      </c>
      <c r="O104" s="45">
        <f t="shared" ref="O104:Q104" si="82">N104</f>
        <v>-294.44</v>
      </c>
      <c r="P104" s="45">
        <f t="shared" si="82"/>
        <v>-294.44</v>
      </c>
      <c r="Q104" s="45">
        <f t="shared" si="82"/>
        <v>-294.44</v>
      </c>
    </row>
    <row r="105" spans="2:17" outlineLevel="1" x14ac:dyDescent="0.3">
      <c r="C105" s="4" t="s">
        <v>237</v>
      </c>
      <c r="H105" s="24">
        <f>H103+H104</f>
        <v>7392.1</v>
      </c>
      <c r="I105" s="24">
        <f t="shared" ref="I105:L105" si="83">I103+I104</f>
        <v>7375.2000000000007</v>
      </c>
      <c r="J105" s="24">
        <f t="shared" si="83"/>
        <v>7361.1</v>
      </c>
      <c r="K105" s="24">
        <f t="shared" si="83"/>
        <v>4601</v>
      </c>
      <c r="L105" s="24">
        <f t="shared" si="83"/>
        <v>2944.4</v>
      </c>
      <c r="M105" s="24">
        <f t="shared" ref="M105" si="84">M103+M104</f>
        <v>2649.96</v>
      </c>
      <c r="N105" s="24">
        <f t="shared" ref="N105" si="85">N103+N104</f>
        <v>2355.52</v>
      </c>
      <c r="O105" s="24">
        <f t="shared" ref="O105" si="86">O103+O104</f>
        <v>2061.08</v>
      </c>
      <c r="P105" s="24">
        <f t="shared" ref="P105" si="87">P103+P104</f>
        <v>1766.6399999999999</v>
      </c>
      <c r="Q105" s="24">
        <f t="shared" ref="Q105" si="88">Q103+Q104</f>
        <v>1472.1999999999998</v>
      </c>
    </row>
    <row r="106" spans="2:17" outlineLevel="1" x14ac:dyDescent="0.3">
      <c r="H106" s="24"/>
      <c r="I106" s="24"/>
      <c r="J106" s="24"/>
      <c r="K106" s="24"/>
      <c r="L106" s="24"/>
      <c r="M106" s="24"/>
      <c r="N106" s="24"/>
      <c r="O106" s="24"/>
      <c r="P106" s="24"/>
      <c r="Q106" s="24"/>
    </row>
    <row r="107" spans="2:17" outlineLevel="1" x14ac:dyDescent="0.3">
      <c r="C107" s="4" t="s">
        <v>116</v>
      </c>
      <c r="H107" s="24">
        <f>-H103*H108</f>
        <v>-587.5100000000001</v>
      </c>
      <c r="I107" s="24">
        <f t="shared" ref="I107:Q107" si="89">-I103*I108</f>
        <v>-517.44700000000012</v>
      </c>
      <c r="J107" s="24">
        <f t="shared" si="89"/>
        <v>-516.26400000000012</v>
      </c>
      <c r="K107" s="24">
        <f t="shared" si="89"/>
        <v>-515.27700000000004</v>
      </c>
      <c r="L107" s="24">
        <f t="shared" si="89"/>
        <v>-322.07000000000005</v>
      </c>
      <c r="M107" s="24">
        <f t="shared" si="89"/>
        <v>-206.10800000000003</v>
      </c>
      <c r="N107" s="24">
        <f t="shared" si="89"/>
        <v>-185.49720000000002</v>
      </c>
      <c r="O107" s="24">
        <f t="shared" si="89"/>
        <v>-164.88640000000001</v>
      </c>
      <c r="P107" s="24">
        <f t="shared" si="89"/>
        <v>-144.2756</v>
      </c>
      <c r="Q107" s="24">
        <f t="shared" si="89"/>
        <v>-123.6648</v>
      </c>
    </row>
    <row r="108" spans="2:17" outlineLevel="1" x14ac:dyDescent="0.3">
      <c r="C108" s="4" t="s">
        <v>141</v>
      </c>
      <c r="H108" s="41">
        <v>7.0000000000000007E-2</v>
      </c>
      <c r="I108" s="41">
        <v>7.0000000000000007E-2</v>
      </c>
      <c r="J108" s="41">
        <v>7.0000000000000007E-2</v>
      </c>
      <c r="K108" s="41">
        <v>7.0000000000000007E-2</v>
      </c>
      <c r="L108" s="41">
        <v>7.0000000000000007E-2</v>
      </c>
      <c r="M108" s="41">
        <v>7.0000000000000007E-2</v>
      </c>
      <c r="N108" s="41">
        <v>7.0000000000000007E-2</v>
      </c>
      <c r="O108" s="41">
        <v>7.0000000000000007E-2</v>
      </c>
      <c r="P108" s="41">
        <v>7.0000000000000007E-2</v>
      </c>
      <c r="Q108" s="41">
        <v>7.0000000000000007E-2</v>
      </c>
    </row>
    <row r="109" spans="2:17" outlineLevel="1" x14ac:dyDescent="0.3"/>
    <row r="110" spans="2:17" outlineLevel="1" x14ac:dyDescent="0.3">
      <c r="B110" s="38" t="s">
        <v>238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  <row r="111" spans="2:17" outlineLevel="1" x14ac:dyDescent="0.3">
      <c r="C111" s="4" t="s">
        <v>239</v>
      </c>
      <c r="H111" s="24">
        <f>H104+H89</f>
        <v>-1050.8874000000001</v>
      </c>
      <c r="I111" s="24">
        <f t="shared" ref="I111:Q111" si="90">I104+I89</f>
        <v>-71.586064399999998</v>
      </c>
      <c r="J111" s="24">
        <f t="shared" si="90"/>
        <v>-61.882787226399998</v>
      </c>
      <c r="K111" s="24">
        <f t="shared" si="90"/>
        <v>-2796.7477626723985</v>
      </c>
      <c r="L111" s="24">
        <f t="shared" si="90"/>
        <v>-1683.8324255156726</v>
      </c>
      <c r="M111" s="24">
        <f t="shared" si="90"/>
        <v>-325.30607707267251</v>
      </c>
      <c r="N111" s="24">
        <f t="shared" si="90"/>
        <v>-322.1384236732099</v>
      </c>
      <c r="O111" s="24">
        <f t="shared" si="90"/>
        <v>-319.29585298625085</v>
      </c>
      <c r="P111" s="24">
        <f t="shared" si="90"/>
        <v>-511.78320645339568</v>
      </c>
      <c r="Q111" s="24">
        <f t="shared" si="90"/>
        <v>-294.44</v>
      </c>
    </row>
    <row r="112" spans="2:17" outlineLevel="1" x14ac:dyDescent="0.3">
      <c r="C112" s="4" t="s">
        <v>116</v>
      </c>
      <c r="H112" s="24">
        <f>H107+H93</f>
        <v>-642.32260000000008</v>
      </c>
      <c r="I112" s="24">
        <f t="shared" ref="I112:Q112" si="91">I107+I93</f>
        <v>-566.96093560000008</v>
      </c>
      <c r="J112" s="24">
        <f t="shared" si="91"/>
        <v>-559.98121277360008</v>
      </c>
      <c r="K112" s="24">
        <f t="shared" si="91"/>
        <v>-553.92923732760164</v>
      </c>
      <c r="L112" s="24">
        <f t="shared" si="91"/>
        <v>-356.83757448432743</v>
      </c>
      <c r="M112" s="24">
        <f t="shared" si="91"/>
        <v>-237.98893737966611</v>
      </c>
      <c r="N112" s="24">
        <f t="shared" si="91"/>
        <v>-214.1063332099628</v>
      </c>
      <c r="O112" s="24">
        <f t="shared" si="91"/>
        <v>-190.55950030060254</v>
      </c>
      <c r="P112" s="24">
        <f t="shared" si="91"/>
        <v>-144.2756</v>
      </c>
      <c r="Q112" s="24">
        <f t="shared" si="91"/>
        <v>-123.6648</v>
      </c>
    </row>
    <row r="114" spans="2:17" x14ac:dyDescent="0.3">
      <c r="B114" s="1"/>
      <c r="C114" s="1"/>
      <c r="D114" s="1"/>
      <c r="E114" s="13" t="s">
        <v>160</v>
      </c>
      <c r="F114" s="13"/>
      <c r="G114" s="14"/>
      <c r="H114" s="18" t="s">
        <v>16</v>
      </c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2:17" x14ac:dyDescent="0.3">
      <c r="B115" s="15" t="s">
        <v>17</v>
      </c>
      <c r="C115" s="16"/>
      <c r="D115" s="19" t="s">
        <v>14</v>
      </c>
      <c r="E115" s="17">
        <f t="shared" ref="E115:Q115" si="92">E$15</f>
        <v>44196</v>
      </c>
      <c r="F115" s="17">
        <f t="shared" si="92"/>
        <v>44561</v>
      </c>
      <c r="G115" s="20">
        <f t="shared" si="92"/>
        <v>44926</v>
      </c>
      <c r="H115" s="17">
        <f t="shared" si="92"/>
        <v>45291</v>
      </c>
      <c r="I115" s="17">
        <f t="shared" si="92"/>
        <v>45657</v>
      </c>
      <c r="J115" s="17">
        <f t="shared" si="92"/>
        <v>46022</v>
      </c>
      <c r="K115" s="17">
        <f t="shared" si="92"/>
        <v>46387</v>
      </c>
      <c r="L115" s="17">
        <f t="shared" si="92"/>
        <v>46752</v>
      </c>
      <c r="M115" s="17">
        <f t="shared" si="92"/>
        <v>47118</v>
      </c>
      <c r="N115" s="17">
        <f t="shared" si="92"/>
        <v>47483</v>
      </c>
      <c r="O115" s="17">
        <f t="shared" si="92"/>
        <v>47848</v>
      </c>
      <c r="P115" s="17">
        <f t="shared" si="92"/>
        <v>48213</v>
      </c>
      <c r="Q115" s="17">
        <f t="shared" si="92"/>
        <v>48579</v>
      </c>
    </row>
    <row r="116" spans="2:17" outlineLevel="1" x14ac:dyDescent="0.3">
      <c r="C116" s="9" t="s">
        <v>155</v>
      </c>
      <c r="D116" s="167" t="s">
        <v>454</v>
      </c>
      <c r="E116" s="149">
        <v>37520</v>
      </c>
      <c r="F116" s="149">
        <v>36486.699999999997</v>
      </c>
      <c r="G116" s="149">
        <v>39142.400000000001</v>
      </c>
      <c r="H116" s="23">
        <f t="shared" ref="H116:Q116" si="93">H24*H17</f>
        <v>39707.5</v>
      </c>
      <c r="I116" s="23">
        <f t="shared" si="93"/>
        <v>40239.25</v>
      </c>
      <c r="J116" s="23">
        <f t="shared" si="93"/>
        <v>40770</v>
      </c>
      <c r="K116" s="23">
        <f t="shared" si="93"/>
        <v>41299.75</v>
      </c>
      <c r="L116" s="23">
        <f t="shared" si="93"/>
        <v>41828.5</v>
      </c>
      <c r="M116" s="23">
        <f t="shared" si="93"/>
        <v>42356.25</v>
      </c>
      <c r="N116" s="23">
        <f t="shared" si="93"/>
        <v>42883</v>
      </c>
      <c r="O116" s="23">
        <f t="shared" si="93"/>
        <v>43408.75</v>
      </c>
      <c r="P116" s="23">
        <f t="shared" si="93"/>
        <v>43933.5</v>
      </c>
      <c r="Q116" s="23">
        <f t="shared" si="93"/>
        <v>44457.25</v>
      </c>
    </row>
    <row r="117" spans="2:17" outlineLevel="1" x14ac:dyDescent="0.3">
      <c r="C117" s="9" t="s">
        <v>156</v>
      </c>
      <c r="D117" s="167" t="s">
        <v>454</v>
      </c>
      <c r="E117" s="150">
        <v>23674.5</v>
      </c>
      <c r="F117" s="150">
        <v>24636.799999999999</v>
      </c>
      <c r="G117" s="150">
        <v>25585.4</v>
      </c>
      <c r="H117" s="24">
        <f t="shared" ref="H117:Q117" si="94">H26*H17</f>
        <v>26243.567723469838</v>
      </c>
      <c r="I117" s="24">
        <f t="shared" si="94"/>
        <v>26900.535446939677</v>
      </c>
      <c r="J117" s="24">
        <f t="shared" si="94"/>
        <v>27556.303170409516</v>
      </c>
      <c r="K117" s="24">
        <f t="shared" si="94"/>
        <v>28210.870893879357</v>
      </c>
      <c r="L117" s="24">
        <f t="shared" si="94"/>
        <v>28864.238617349194</v>
      </c>
      <c r="M117" s="24">
        <f t="shared" si="94"/>
        <v>29516.406340819034</v>
      </c>
      <c r="N117" s="24">
        <f t="shared" si="94"/>
        <v>30167.374064288873</v>
      </c>
      <c r="O117" s="24">
        <f t="shared" si="94"/>
        <v>30817.141787758712</v>
      </c>
      <c r="P117" s="24">
        <f t="shared" si="94"/>
        <v>31465.70951122855</v>
      </c>
      <c r="Q117" s="24">
        <f t="shared" si="94"/>
        <v>32113.077234698387</v>
      </c>
    </row>
    <row r="118" spans="2:17" outlineLevel="1" x14ac:dyDescent="0.3">
      <c r="C118" s="9" t="s">
        <v>157</v>
      </c>
      <c r="D118" s="167" t="s">
        <v>454</v>
      </c>
      <c r="E118" s="150">
        <v>5195.8</v>
      </c>
      <c r="F118" s="150">
        <v>5823.3</v>
      </c>
      <c r="G118" s="150">
        <v>6769.3</v>
      </c>
      <c r="H118" s="24">
        <f t="shared" ref="H118:Q118" si="95">H28*H19</f>
        <v>7732.1046722944175</v>
      </c>
      <c r="I118" s="24">
        <f t="shared" si="95"/>
        <v>8802.0099763772942</v>
      </c>
      <c r="J118" s="24">
        <f t="shared" si="95"/>
        <v>9975.9370187729473</v>
      </c>
      <c r="K118" s="24">
        <f t="shared" si="95"/>
        <v>11256.536814761965</v>
      </c>
      <c r="L118" s="24">
        <f t="shared" si="95"/>
        <v>12645.226667648256</v>
      </c>
      <c r="M118" s="24">
        <f t="shared" si="95"/>
        <v>14141.991107534541</v>
      </c>
      <c r="N118" s="24">
        <f t="shared" si="95"/>
        <v>15745.191115518011</v>
      </c>
      <c r="O118" s="24">
        <f t="shared" si="95"/>
        <v>17451.388504579823</v>
      </c>
      <c r="P118" s="24">
        <f t="shared" si="95"/>
        <v>19255.192748568341</v>
      </c>
      <c r="Q118" s="24">
        <f t="shared" si="95"/>
        <v>21149.137737197816</v>
      </c>
    </row>
    <row r="119" spans="2:17" outlineLevel="1" x14ac:dyDescent="0.3">
      <c r="C119" s="9" t="s">
        <v>158</v>
      </c>
      <c r="D119" s="167" t="s">
        <v>454</v>
      </c>
      <c r="E119" s="150">
        <v>2236.5</v>
      </c>
      <c r="F119" s="150">
        <v>3747.5</v>
      </c>
      <c r="G119" s="150">
        <v>4857.6000000000004</v>
      </c>
      <c r="H119" s="24">
        <f t="shared" ref="H119:Q119" si="96">H31*H22</f>
        <v>6069.3605191291299</v>
      </c>
      <c r="I119" s="24">
        <f t="shared" si="96"/>
        <v>7298.0891567233739</v>
      </c>
      <c r="J119" s="24">
        <f t="shared" si="96"/>
        <v>8388.8369573722211</v>
      </c>
      <c r="K119" s="24">
        <f t="shared" si="96"/>
        <v>9246.1055891471897</v>
      </c>
      <c r="L119" s="24">
        <f t="shared" si="96"/>
        <v>9703.3867993455297</v>
      </c>
      <c r="M119" s="24">
        <f t="shared" si="96"/>
        <v>10159.914966903136</v>
      </c>
      <c r="N119" s="24">
        <f t="shared" si="96"/>
        <v>10586.931530126501</v>
      </c>
      <c r="O119" s="24">
        <f t="shared" si="96"/>
        <v>10951.721497964734</v>
      </c>
      <c r="P119" s="24">
        <f t="shared" si="96"/>
        <v>11324.117649142994</v>
      </c>
      <c r="Q119" s="24">
        <f t="shared" si="96"/>
        <v>11646.363859404735</v>
      </c>
    </row>
    <row r="120" spans="2:17" outlineLevel="1" x14ac:dyDescent="0.3">
      <c r="B120" s="21"/>
      <c r="C120" s="22" t="s">
        <v>159</v>
      </c>
      <c r="D120" s="171" t="s">
        <v>454</v>
      </c>
      <c r="E120" s="151">
        <v>1063.5999999999999</v>
      </c>
      <c r="F120" s="151">
        <v>1192.7</v>
      </c>
      <c r="G120" s="151">
        <v>1295</v>
      </c>
      <c r="H120" s="25">
        <f t="shared" ref="H120:Q120" si="97">SUM(H116:H119)*H34/(1-H34)</f>
        <v>1311.3588597198971</v>
      </c>
      <c r="I120" s="25">
        <f t="shared" si="97"/>
        <v>1368.7008567186579</v>
      </c>
      <c r="J120" s="25">
        <f t="shared" si="97"/>
        <v>1425.4482951169796</v>
      </c>
      <c r="K120" s="25">
        <f t="shared" si="97"/>
        <v>1480.074500502936</v>
      </c>
      <c r="L120" s="25">
        <f t="shared" si="97"/>
        <v>1529.864907316776</v>
      </c>
      <c r="M120" s="25">
        <f t="shared" si="97"/>
        <v>1581.3838118159499</v>
      </c>
      <c r="N120" s="25">
        <f t="shared" si="97"/>
        <v>1634.1313911713632</v>
      </c>
      <c r="O120" s="25">
        <f t="shared" si="97"/>
        <v>1687.5131841334983</v>
      </c>
      <c r="P120" s="25">
        <f t="shared" si="97"/>
        <v>1742.588804933577</v>
      </c>
      <c r="Q120" s="25">
        <f t="shared" si="97"/>
        <v>1798.2858142146065</v>
      </c>
    </row>
    <row r="121" spans="2:17" s="5" customFormat="1" outlineLevel="1" x14ac:dyDescent="0.3">
      <c r="C121" s="5" t="s">
        <v>20</v>
      </c>
      <c r="D121" s="167" t="s">
        <v>454</v>
      </c>
      <c r="E121" s="26">
        <f>SUM(E116:E120)</f>
        <v>69690.400000000009</v>
      </c>
      <c r="F121" s="26">
        <f t="shared" ref="F121:G121" si="98">SUM(F116:F120)</f>
        <v>71887</v>
      </c>
      <c r="G121" s="26">
        <f t="shared" si="98"/>
        <v>77649.700000000012</v>
      </c>
      <c r="H121" s="26">
        <f>SUM(H116:H120)</f>
        <v>81063.891774613279</v>
      </c>
      <c r="I121" s="26">
        <f t="shared" ref="I121:Q121" si="99">SUM(I116:I120)</f>
        <v>84608.585436758993</v>
      </c>
      <c r="J121" s="26">
        <f t="shared" si="99"/>
        <v>88116.525441671663</v>
      </c>
      <c r="K121" s="26">
        <f t="shared" si="99"/>
        <v>91493.337798291439</v>
      </c>
      <c r="L121" s="26">
        <f t="shared" si="99"/>
        <v>94571.216991659763</v>
      </c>
      <c r="M121" s="26">
        <f t="shared" si="99"/>
        <v>97755.946227072651</v>
      </c>
      <c r="N121" s="26">
        <f t="shared" si="99"/>
        <v>101016.62810110475</v>
      </c>
      <c r="O121" s="26">
        <f t="shared" si="99"/>
        <v>104316.51497443677</v>
      </c>
      <c r="P121" s="26">
        <f t="shared" si="99"/>
        <v>107721.10871387346</v>
      </c>
      <c r="Q121" s="26">
        <f t="shared" si="99"/>
        <v>111164.11464551554</v>
      </c>
    </row>
    <row r="122" spans="2:17" outlineLevel="1" x14ac:dyDescent="0.3">
      <c r="C122" s="22" t="s">
        <v>161</v>
      </c>
      <c r="D122" s="171" t="s">
        <v>454</v>
      </c>
      <c r="E122" s="151">
        <v>-48259.700000000004</v>
      </c>
      <c r="F122" s="151">
        <v>-50117.7</v>
      </c>
      <c r="G122" s="151">
        <v>-54831.299999999996</v>
      </c>
      <c r="H122" s="25">
        <f t="shared" ref="H122:Q122" si="100">-H36*H121</f>
        <v>-56631.155378361931</v>
      </c>
      <c r="I122" s="25">
        <f t="shared" si="100"/>
        <v>-59107.474898127868</v>
      </c>
      <c r="J122" s="25">
        <f t="shared" si="100"/>
        <v>-61558.118348957047</v>
      </c>
      <c r="K122" s="25">
        <f t="shared" si="100"/>
        <v>-63917.156153149852</v>
      </c>
      <c r="L122" s="25">
        <f t="shared" si="100"/>
        <v>-66067.359542349281</v>
      </c>
      <c r="M122" s="25">
        <f t="shared" si="100"/>
        <v>-68292.208266243892</v>
      </c>
      <c r="N122" s="25">
        <f t="shared" si="100"/>
        <v>-70570.117429069811</v>
      </c>
      <c r="O122" s="25">
        <f t="shared" si="100"/>
        <v>-72875.415165998915</v>
      </c>
      <c r="P122" s="25">
        <f t="shared" si="100"/>
        <v>-75253.861017011193</v>
      </c>
      <c r="Q122" s="25">
        <f t="shared" si="100"/>
        <v>-77659.141587867111</v>
      </c>
    </row>
    <row r="123" spans="2:17" s="5" customFormat="1" outlineLevel="1" x14ac:dyDescent="0.3">
      <c r="C123" s="5" t="s">
        <v>23</v>
      </c>
      <c r="D123" s="167" t="s">
        <v>454</v>
      </c>
      <c r="E123" s="26">
        <f>E122+E121</f>
        <v>21430.700000000004</v>
      </c>
      <c r="F123" s="26">
        <f t="shared" ref="F123:G123" si="101">F122+F121</f>
        <v>21769.300000000003</v>
      </c>
      <c r="G123" s="26">
        <f t="shared" si="101"/>
        <v>22818.400000000016</v>
      </c>
      <c r="H123" s="26">
        <f>H122+H121</f>
        <v>24432.736396251348</v>
      </c>
      <c r="I123" s="26">
        <f t="shared" ref="I123:Q123" si="102">I122+I121</f>
        <v>25501.110538631125</v>
      </c>
      <c r="J123" s="26">
        <f t="shared" si="102"/>
        <v>26558.407092714617</v>
      </c>
      <c r="K123" s="26">
        <f t="shared" si="102"/>
        <v>27576.181645141587</v>
      </c>
      <c r="L123" s="26">
        <f t="shared" si="102"/>
        <v>28503.857449310482</v>
      </c>
      <c r="M123" s="26">
        <f t="shared" si="102"/>
        <v>29463.737960828759</v>
      </c>
      <c r="N123" s="26">
        <f t="shared" si="102"/>
        <v>30446.510672034943</v>
      </c>
      <c r="O123" s="26">
        <f t="shared" si="102"/>
        <v>31441.099808437852</v>
      </c>
      <c r="P123" s="26">
        <f t="shared" si="102"/>
        <v>32467.247696862265</v>
      </c>
      <c r="Q123" s="26">
        <f t="shared" si="102"/>
        <v>33504.973057648429</v>
      </c>
    </row>
    <row r="124" spans="2:17" outlineLevel="1" x14ac:dyDescent="0.3">
      <c r="E124" s="24"/>
      <c r="F124" s="24"/>
      <c r="G124" s="24"/>
      <c r="H124" s="60"/>
      <c r="I124" s="60"/>
      <c r="J124" s="60"/>
    </row>
    <row r="125" spans="2:17" outlineLevel="1" x14ac:dyDescent="0.3">
      <c r="C125" s="9" t="s">
        <v>189</v>
      </c>
      <c r="D125" s="167" t="s">
        <v>454</v>
      </c>
      <c r="E125" s="150">
        <v>-1016.2</v>
      </c>
      <c r="F125" s="150">
        <v>-1046.9000000000001</v>
      </c>
      <c r="G125" s="150">
        <v>-1062.8</v>
      </c>
      <c r="H125" s="157">
        <f>H76</f>
        <v>-1045.3145416406862</v>
      </c>
      <c r="I125" s="157">
        <f t="shared" ref="I125:Q125" si="103">I76</f>
        <v>-1046.2127514439105</v>
      </c>
      <c r="J125" s="157">
        <f t="shared" si="103"/>
        <v>-1052.0234029179251</v>
      </c>
      <c r="K125" s="157">
        <f t="shared" si="103"/>
        <v>-1062.1603163823645</v>
      </c>
      <c r="L125" s="157">
        <f t="shared" si="103"/>
        <v>-1075.9676700134103</v>
      </c>
      <c r="M125" s="157">
        <f t="shared" si="103"/>
        <v>-1092.623784270713</v>
      </c>
      <c r="N125" s="157">
        <f t="shared" si="103"/>
        <v>-1111.9698778507368</v>
      </c>
      <c r="O125" s="157">
        <f t="shared" si="103"/>
        <v>-1133.8207661808133</v>
      </c>
      <c r="P125" s="157">
        <f t="shared" si="103"/>
        <v>-1157.9594639831591</v>
      </c>
      <c r="Q125" s="157">
        <f t="shared" si="103"/>
        <v>-1184.2851645934088</v>
      </c>
    </row>
    <row r="126" spans="2:17" outlineLevel="1" x14ac:dyDescent="0.3">
      <c r="C126" s="22" t="s">
        <v>162</v>
      </c>
      <c r="D126" s="171" t="s">
        <v>454</v>
      </c>
      <c r="E126" s="151">
        <v>-18835.8</v>
      </c>
      <c r="F126" s="151">
        <v>-18300.5</v>
      </c>
      <c r="G126" s="151">
        <v>-19596</v>
      </c>
      <c r="H126" s="25">
        <f t="shared" ref="H126:Q126" si="104">-H38*H121</f>
        <v>-21001.372460696068</v>
      </c>
      <c r="I126" s="25">
        <f t="shared" si="104"/>
        <v>-21919.702807637346</v>
      </c>
      <c r="J126" s="25">
        <f t="shared" si="104"/>
        <v>-22828.511316582124</v>
      </c>
      <c r="K126" s="25">
        <f t="shared" si="104"/>
        <v>-23703.348343015907</v>
      </c>
      <c r="L126" s="25">
        <f t="shared" si="104"/>
        <v>-24500.740201633755</v>
      </c>
      <c r="M126" s="25">
        <f t="shared" si="104"/>
        <v>-25325.81389838316</v>
      </c>
      <c r="N126" s="25">
        <f t="shared" si="104"/>
        <v>-26170.564785779294</v>
      </c>
      <c r="O126" s="25">
        <f t="shared" si="104"/>
        <v>-27025.4725848977</v>
      </c>
      <c r="P126" s="25">
        <f t="shared" si="104"/>
        <v>-27907.50698559071</v>
      </c>
      <c r="Q126" s="25">
        <f t="shared" si="104"/>
        <v>-28799.49290400483</v>
      </c>
    </row>
    <row r="127" spans="2:17" s="5" customFormat="1" outlineLevel="1" x14ac:dyDescent="0.3">
      <c r="C127" s="5" t="s">
        <v>25</v>
      </c>
      <c r="D127" s="167" t="s">
        <v>454</v>
      </c>
      <c r="E127" s="26">
        <f>E126+E123+E125</f>
        <v>1578.700000000005</v>
      </c>
      <c r="F127" s="26">
        <f t="shared" ref="F127:G127" si="105">F126+F123+F125</f>
        <v>2421.9000000000028</v>
      </c>
      <c r="G127" s="26">
        <f t="shared" si="105"/>
        <v>2159.6000000000158</v>
      </c>
      <c r="H127" s="26">
        <f t="shared" ref="H127" si="106">H126+H123+H125</f>
        <v>2386.0493939145945</v>
      </c>
      <c r="I127" s="26">
        <f t="shared" ref="I127" si="107">I126+I123+I125</f>
        <v>2535.1949795498676</v>
      </c>
      <c r="J127" s="26">
        <f t="shared" ref="J127" si="108">J126+J123+J125</f>
        <v>2677.8723732145677</v>
      </c>
      <c r="K127" s="26">
        <f t="shared" ref="K127" si="109">K126+K123+K125</f>
        <v>2810.6729857433156</v>
      </c>
      <c r="L127" s="26">
        <f t="shared" ref="L127" si="110">L126+L123+L125</f>
        <v>2927.1495776633174</v>
      </c>
      <c r="M127" s="26">
        <f t="shared" ref="M127" si="111">M126+M123+M125</f>
        <v>3045.3002781748864</v>
      </c>
      <c r="N127" s="26">
        <f t="shared" ref="N127" si="112">N126+N123+N125</f>
        <v>3163.9760084049126</v>
      </c>
      <c r="O127" s="26">
        <f t="shared" ref="O127" si="113">O126+O123+O125</f>
        <v>3281.8064573593388</v>
      </c>
      <c r="P127" s="26">
        <f t="shared" ref="P127" si="114">P126+P123+P125</f>
        <v>3401.7812472883961</v>
      </c>
      <c r="Q127" s="26">
        <f t="shared" ref="Q127" si="115">Q126+Q123+Q125</f>
        <v>3521.1949890501901</v>
      </c>
    </row>
    <row r="128" spans="2:17" outlineLevel="1" x14ac:dyDescent="0.3">
      <c r="C128" s="9" t="s">
        <v>164</v>
      </c>
      <c r="D128" s="167" t="s">
        <v>454</v>
      </c>
      <c r="E128" s="150">
        <v>-538.20000000000005</v>
      </c>
      <c r="F128" s="150">
        <v>-481.9</v>
      </c>
      <c r="G128" s="150">
        <v>-404.6</v>
      </c>
      <c r="H128" s="157">
        <f>H112</f>
        <v>-642.32260000000008</v>
      </c>
      <c r="I128" s="157">
        <f t="shared" ref="I128:Q128" si="116">I112</f>
        <v>-566.96093560000008</v>
      </c>
      <c r="J128" s="157">
        <f t="shared" si="116"/>
        <v>-559.98121277360008</v>
      </c>
      <c r="K128" s="157">
        <f t="shared" si="116"/>
        <v>-553.92923732760164</v>
      </c>
      <c r="L128" s="157">
        <f t="shared" si="116"/>
        <v>-356.83757448432743</v>
      </c>
      <c r="M128" s="157">
        <f t="shared" si="116"/>
        <v>-237.98893737966611</v>
      </c>
      <c r="N128" s="157">
        <f t="shared" si="116"/>
        <v>-214.1063332099628</v>
      </c>
      <c r="O128" s="157">
        <f t="shared" si="116"/>
        <v>-190.55950030060254</v>
      </c>
      <c r="P128" s="157">
        <f t="shared" si="116"/>
        <v>-144.2756</v>
      </c>
      <c r="Q128" s="157">
        <f t="shared" si="116"/>
        <v>-123.6648</v>
      </c>
    </row>
    <row r="129" spans="2:17" outlineLevel="1" x14ac:dyDescent="0.3">
      <c r="C129" s="22" t="s">
        <v>163</v>
      </c>
      <c r="D129" s="171" t="s">
        <v>454</v>
      </c>
      <c r="E129" s="151">
        <v>88.199999999999989</v>
      </c>
      <c r="F129" s="151">
        <v>159.5</v>
      </c>
      <c r="G129" s="151">
        <v>180.5</v>
      </c>
      <c r="H129" s="25">
        <f t="shared" ref="H129:Q129" si="117">H121*H40</f>
        <v>156.96400548260524</v>
      </c>
      <c r="I129" s="25">
        <f t="shared" si="117"/>
        <v>163.82759546377906</v>
      </c>
      <c r="J129" s="25">
        <f t="shared" si="117"/>
        <v>170.62001934215249</v>
      </c>
      <c r="K129" s="25">
        <f t="shared" si="117"/>
        <v>177.15854076833682</v>
      </c>
      <c r="L129" s="25">
        <f t="shared" si="117"/>
        <v>183.1182379406105</v>
      </c>
      <c r="M129" s="25">
        <f t="shared" si="117"/>
        <v>189.28482883853863</v>
      </c>
      <c r="N129" s="25">
        <f t="shared" si="117"/>
        <v>195.59848682297911</v>
      </c>
      <c r="O129" s="25">
        <f t="shared" si="117"/>
        <v>201.98805744361729</v>
      </c>
      <c r="P129" s="25">
        <f t="shared" si="117"/>
        <v>208.58037195855331</v>
      </c>
      <c r="Q129" s="25">
        <f t="shared" si="117"/>
        <v>215.24706399738972</v>
      </c>
    </row>
    <row r="130" spans="2:17" s="5" customFormat="1" outlineLevel="1" x14ac:dyDescent="0.3">
      <c r="C130" s="5" t="s">
        <v>31</v>
      </c>
      <c r="D130" s="167" t="s">
        <v>454</v>
      </c>
      <c r="E130" s="26">
        <f>SUM(E127:E129)</f>
        <v>1128.700000000005</v>
      </c>
      <c r="F130" s="26">
        <f t="shared" ref="F130:G130" si="118">SUM(F127:F129)</f>
        <v>2099.5000000000027</v>
      </c>
      <c r="G130" s="26">
        <f t="shared" si="118"/>
        <v>1935.5000000000159</v>
      </c>
      <c r="H130" s="26">
        <f t="shared" ref="H130" si="119">SUM(H127:H129)</f>
        <v>1900.6907993971997</v>
      </c>
      <c r="I130" s="26">
        <f t="shared" ref="I130" si="120">SUM(I127:I129)</f>
        <v>2132.0616394136468</v>
      </c>
      <c r="J130" s="26">
        <f t="shared" ref="J130" si="121">SUM(J127:J129)</f>
        <v>2288.51117978312</v>
      </c>
      <c r="K130" s="26">
        <f t="shared" ref="K130" si="122">SUM(K127:K129)</f>
        <v>2433.9022891840509</v>
      </c>
      <c r="L130" s="26">
        <f t="shared" ref="L130" si="123">SUM(L127:L129)</f>
        <v>2753.4302411196004</v>
      </c>
      <c r="M130" s="26">
        <f t="shared" ref="M130" si="124">SUM(M127:M129)</f>
        <v>2996.596169633759</v>
      </c>
      <c r="N130" s="26">
        <f t="shared" ref="N130" si="125">SUM(N127:N129)</f>
        <v>3145.468162017929</v>
      </c>
      <c r="O130" s="26">
        <f t="shared" ref="O130" si="126">SUM(O127:O129)</f>
        <v>3293.2350145023538</v>
      </c>
      <c r="P130" s="26">
        <f t="shared" ref="P130" si="127">SUM(P127:P129)</f>
        <v>3466.0860192469495</v>
      </c>
      <c r="Q130" s="26">
        <f t="shared" ref="Q130" si="128">SUM(Q127:Q129)</f>
        <v>3612.77725304758</v>
      </c>
    </row>
    <row r="131" spans="2:17" outlineLevel="1" x14ac:dyDescent="0.3">
      <c r="C131" s="22" t="s">
        <v>165</v>
      </c>
      <c r="D131" s="171" t="s">
        <v>454</v>
      </c>
      <c r="E131" s="151">
        <v>-278.5</v>
      </c>
      <c r="F131" s="151">
        <v>-479.9</v>
      </c>
      <c r="G131" s="151">
        <v>-422</v>
      </c>
      <c r="H131" s="25">
        <f t="shared" ref="H131:Q131" si="129">-H130*Albertsons_Tax_Rate</f>
        <v>-439.28372384559628</v>
      </c>
      <c r="I131" s="25">
        <f t="shared" si="129"/>
        <v>-492.75767354006666</v>
      </c>
      <c r="J131" s="25">
        <f t="shared" si="129"/>
        <v>-528.91596751888233</v>
      </c>
      <c r="K131" s="25">
        <f t="shared" si="129"/>
        <v>-562.51845981901818</v>
      </c>
      <c r="L131" s="25">
        <f t="shared" si="129"/>
        <v>-636.36709876835221</v>
      </c>
      <c r="M131" s="25">
        <f t="shared" si="129"/>
        <v>-692.56710490504156</v>
      </c>
      <c r="N131" s="25">
        <f t="shared" si="129"/>
        <v>-726.9740916761524</v>
      </c>
      <c r="O131" s="25">
        <f t="shared" si="129"/>
        <v>-761.1256608008556</v>
      </c>
      <c r="P131" s="25">
        <f t="shared" si="129"/>
        <v>-801.07462728122164</v>
      </c>
      <c r="Q131" s="25">
        <f t="shared" si="129"/>
        <v>-834.97760164185024</v>
      </c>
    </row>
    <row r="132" spans="2:17" s="5" customFormat="1" outlineLevel="1" x14ac:dyDescent="0.3">
      <c r="C132" s="5" t="s">
        <v>33</v>
      </c>
      <c r="D132" s="167" t="s">
        <v>454</v>
      </c>
      <c r="E132" s="28">
        <f>E131+E130</f>
        <v>850.20000000000505</v>
      </c>
      <c r="F132" s="28">
        <f t="shared" ref="F132:Q132" si="130">F131+F130</f>
        <v>1619.6000000000026</v>
      </c>
      <c r="G132" s="28">
        <f t="shared" si="130"/>
        <v>1513.5000000000159</v>
      </c>
      <c r="H132" s="28">
        <f t="shared" si="130"/>
        <v>1461.4070755516034</v>
      </c>
      <c r="I132" s="28">
        <f t="shared" si="130"/>
        <v>1639.3039658735802</v>
      </c>
      <c r="J132" s="28">
        <f t="shared" si="130"/>
        <v>1759.5952122642377</v>
      </c>
      <c r="K132" s="28">
        <f t="shared" si="130"/>
        <v>1871.3838293650329</v>
      </c>
      <c r="L132" s="28">
        <f t="shared" si="130"/>
        <v>2117.0631423512482</v>
      </c>
      <c r="M132" s="28">
        <f t="shared" si="130"/>
        <v>2304.0290647287175</v>
      </c>
      <c r="N132" s="28">
        <f t="shared" si="130"/>
        <v>2418.4940703417765</v>
      </c>
      <c r="O132" s="28">
        <f t="shared" si="130"/>
        <v>2532.1093537014981</v>
      </c>
      <c r="P132" s="28">
        <f t="shared" si="130"/>
        <v>2665.0113919657279</v>
      </c>
      <c r="Q132" s="28">
        <f t="shared" si="130"/>
        <v>2777.7996514057295</v>
      </c>
    </row>
    <row r="133" spans="2:17" outlineLevel="1" x14ac:dyDescent="0.3">
      <c r="D133" s="167"/>
    </row>
    <row r="134" spans="2:17" s="5" customFormat="1" outlineLevel="1" x14ac:dyDescent="0.3">
      <c r="C134" s="5" t="s">
        <v>263</v>
      </c>
      <c r="D134" s="167" t="s">
        <v>454</v>
      </c>
      <c r="E134" s="26">
        <f>E132+E183</f>
        <v>2387.1000000000049</v>
      </c>
      <c r="F134" s="26">
        <f t="shared" ref="F134:Q134" si="131">F132+F183</f>
        <v>3300.9000000000024</v>
      </c>
      <c r="G134" s="26">
        <f t="shared" si="131"/>
        <v>3320.6000000000158</v>
      </c>
      <c r="H134" s="26">
        <f t="shared" si="131"/>
        <v>3285.7041824512944</v>
      </c>
      <c r="I134" s="26">
        <f t="shared" si="131"/>
        <v>3541.7549829050313</v>
      </c>
      <c r="J134" s="26">
        <f t="shared" si="131"/>
        <v>3739.3897895641921</v>
      </c>
      <c r="K134" s="26">
        <f t="shared" si="131"/>
        <v>3925.6308458896865</v>
      </c>
      <c r="L134" s="26">
        <f t="shared" si="131"/>
        <v>4239.171677190946</v>
      </c>
      <c r="M134" s="26">
        <f t="shared" si="131"/>
        <v>4496.3549628109649</v>
      </c>
      <c r="N134" s="26">
        <f t="shared" si="131"/>
        <v>4682.7119462478859</v>
      </c>
      <c r="O134" s="26">
        <f t="shared" si="131"/>
        <v>4869.083604833344</v>
      </c>
      <c r="P134" s="26">
        <f t="shared" si="131"/>
        <v>5077.0506102028039</v>
      </c>
      <c r="Q134" s="26">
        <f t="shared" si="131"/>
        <v>5228.7618653374175</v>
      </c>
    </row>
    <row r="136" spans="2:17" x14ac:dyDescent="0.3">
      <c r="B136" s="1"/>
      <c r="C136" s="1"/>
      <c r="D136" s="1"/>
      <c r="E136" s="13" t="s">
        <v>160</v>
      </c>
      <c r="F136" s="13"/>
      <c r="G136" s="14"/>
      <c r="H136" s="18" t="s">
        <v>16</v>
      </c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2:17" x14ac:dyDescent="0.3">
      <c r="B137" s="15" t="s">
        <v>154</v>
      </c>
      <c r="C137" s="16"/>
      <c r="D137" s="19" t="s">
        <v>14</v>
      </c>
      <c r="E137" s="17">
        <f t="shared" ref="E137:Q137" si="132">E$15</f>
        <v>44196</v>
      </c>
      <c r="F137" s="17">
        <f t="shared" si="132"/>
        <v>44561</v>
      </c>
      <c r="G137" s="20">
        <f t="shared" si="132"/>
        <v>44926</v>
      </c>
      <c r="H137" s="17">
        <f t="shared" si="132"/>
        <v>45291</v>
      </c>
      <c r="I137" s="17">
        <f t="shared" si="132"/>
        <v>45657</v>
      </c>
      <c r="J137" s="17">
        <f t="shared" si="132"/>
        <v>46022</v>
      </c>
      <c r="K137" s="17">
        <f t="shared" si="132"/>
        <v>46387</v>
      </c>
      <c r="L137" s="17">
        <f t="shared" si="132"/>
        <v>46752</v>
      </c>
      <c r="M137" s="17">
        <f t="shared" si="132"/>
        <v>47118</v>
      </c>
      <c r="N137" s="17">
        <f t="shared" si="132"/>
        <v>47483</v>
      </c>
      <c r="O137" s="17">
        <f t="shared" si="132"/>
        <v>47848</v>
      </c>
      <c r="P137" s="17">
        <f t="shared" si="132"/>
        <v>48213</v>
      </c>
      <c r="Q137" s="17">
        <f t="shared" si="132"/>
        <v>48579</v>
      </c>
    </row>
    <row r="138" spans="2:17" outlineLevel="1" x14ac:dyDescent="0.3">
      <c r="B138" s="35" t="s">
        <v>34</v>
      </c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39" spans="2:17" outlineLevel="1" x14ac:dyDescent="0.3">
      <c r="C139" s="5" t="s">
        <v>35</v>
      </c>
    </row>
    <row r="140" spans="2:17" outlineLevel="1" x14ac:dyDescent="0.3">
      <c r="C140" s="9" t="s">
        <v>36</v>
      </c>
      <c r="D140" s="167" t="s">
        <v>454</v>
      </c>
      <c r="E140" s="149">
        <v>1717</v>
      </c>
      <c r="F140" s="149">
        <v>2902</v>
      </c>
      <c r="G140" s="149">
        <v>455.8</v>
      </c>
      <c r="H140" s="23">
        <f>G140+H205</f>
        <v>894.319937040794</v>
      </c>
      <c r="I140" s="23">
        <f t="shared" ref="I140:Q140" si="133">H140+I205</f>
        <v>2266.4601389670752</v>
      </c>
      <c r="J140" s="23">
        <f t="shared" si="133"/>
        <v>3761.5584324694701</v>
      </c>
      <c r="K140" s="23">
        <f t="shared" si="133"/>
        <v>2626.314657532273</v>
      </c>
      <c r="L140" s="23">
        <f t="shared" si="133"/>
        <v>2843.3658216430072</v>
      </c>
      <c r="M140" s="23">
        <f t="shared" si="133"/>
        <v>4600.8577235610501</v>
      </c>
      <c r="N140" s="23">
        <f t="shared" si="133"/>
        <v>6470.0069041458464</v>
      </c>
      <c r="O140" s="23">
        <f t="shared" si="133"/>
        <v>8449.3616358934578</v>
      </c>
      <c r="P140" s="23">
        <f t="shared" si="133"/>
        <v>10363.153494984183</v>
      </c>
      <c r="Q140" s="23">
        <f t="shared" si="133"/>
        <v>12563.51104261115</v>
      </c>
    </row>
    <row r="141" spans="2:17" outlineLevel="1" x14ac:dyDescent="0.3">
      <c r="C141" s="9" t="s">
        <v>167</v>
      </c>
      <c r="D141" s="167" t="s">
        <v>454</v>
      </c>
      <c r="E141" s="150">
        <v>550.9</v>
      </c>
      <c r="F141" s="150">
        <v>560.6</v>
      </c>
      <c r="G141" s="150">
        <v>687.6</v>
      </c>
      <c r="H141" s="24">
        <f t="shared" ref="H141:Q141" si="134">H$121*H45</f>
        <v>663.60161119416387</v>
      </c>
      <c r="I141" s="24">
        <f t="shared" si="134"/>
        <v>692.61902417415968</v>
      </c>
      <c r="J141" s="24">
        <f t="shared" si="134"/>
        <v>721.33556600643237</v>
      </c>
      <c r="K141" s="24">
        <f t="shared" si="134"/>
        <v>748.97867653933929</v>
      </c>
      <c r="L141" s="24">
        <f t="shared" si="134"/>
        <v>774.17467375915032</v>
      </c>
      <c r="M141" s="24">
        <f t="shared" si="134"/>
        <v>800.24536202209651</v>
      </c>
      <c r="N141" s="24">
        <f t="shared" si="134"/>
        <v>826.93781038388295</v>
      </c>
      <c r="O141" s="24">
        <f t="shared" si="134"/>
        <v>853.95119696036329</v>
      </c>
      <c r="P141" s="24">
        <f t="shared" si="134"/>
        <v>881.82173020879645</v>
      </c>
      <c r="Q141" s="24">
        <f t="shared" si="134"/>
        <v>910.00671162988681</v>
      </c>
    </row>
    <row r="142" spans="2:17" outlineLevel="1" x14ac:dyDescent="0.3">
      <c r="C142" s="9" t="s">
        <v>168</v>
      </c>
      <c r="D142" s="167" t="s">
        <v>454</v>
      </c>
      <c r="E142" s="150">
        <v>4301.3</v>
      </c>
      <c r="F142" s="150">
        <v>4500.8</v>
      </c>
      <c r="G142" s="150">
        <v>4782</v>
      </c>
      <c r="H142" s="24">
        <f t="shared" ref="H142:Q142" si="135">H$121*H46</f>
        <v>5023.6310820339622</v>
      </c>
      <c r="I142" s="24">
        <f t="shared" si="135"/>
        <v>5243.3001957122751</v>
      </c>
      <c r="J142" s="24">
        <f t="shared" si="135"/>
        <v>5460.6916391379964</v>
      </c>
      <c r="K142" s="24">
        <f t="shared" si="135"/>
        <v>5669.9569376765503</v>
      </c>
      <c r="L142" s="24">
        <f t="shared" si="135"/>
        <v>5860.6969730247301</v>
      </c>
      <c r="M142" s="24">
        <f t="shared" si="135"/>
        <v>6058.0586395403861</v>
      </c>
      <c r="N142" s="24">
        <f t="shared" si="135"/>
        <v>6260.127186367079</v>
      </c>
      <c r="O142" s="24">
        <f t="shared" si="135"/>
        <v>6464.6253161898821</v>
      </c>
      <c r="P142" s="24">
        <f t="shared" si="135"/>
        <v>6675.6122618781801</v>
      </c>
      <c r="Q142" s="24">
        <f t="shared" si="135"/>
        <v>6888.9796593122273</v>
      </c>
    </row>
    <row r="143" spans="2:17" outlineLevel="1" x14ac:dyDescent="0.3">
      <c r="C143" s="22" t="s">
        <v>41</v>
      </c>
      <c r="D143" s="171" t="s">
        <v>454</v>
      </c>
      <c r="E143" s="151">
        <v>418.79999999999995</v>
      </c>
      <c r="F143" s="151">
        <v>403</v>
      </c>
      <c r="G143" s="151">
        <v>345</v>
      </c>
      <c r="H143" s="25">
        <f t="shared" ref="H143:Q143" si="136">H$121*H47</f>
        <v>433.92115797889983</v>
      </c>
      <c r="I143" s="25">
        <f t="shared" si="136"/>
        <v>452.89529732611072</v>
      </c>
      <c r="J143" s="25">
        <f t="shared" si="136"/>
        <v>471.67270062774827</v>
      </c>
      <c r="K143" s="25">
        <f t="shared" si="136"/>
        <v>489.74820003919882</v>
      </c>
      <c r="L143" s="25">
        <f t="shared" si="136"/>
        <v>506.22356131865564</v>
      </c>
      <c r="M143" s="25">
        <f t="shared" si="136"/>
        <v>523.27087261135614</v>
      </c>
      <c r="N143" s="25">
        <f t="shared" si="136"/>
        <v>540.72474539746281</v>
      </c>
      <c r="O143" s="25">
        <f t="shared" si="136"/>
        <v>558.38847584426605</v>
      </c>
      <c r="P143" s="25">
        <f t="shared" si="136"/>
        <v>576.61268424979858</v>
      </c>
      <c r="Q143" s="25">
        <f t="shared" si="136"/>
        <v>595.04250655514988</v>
      </c>
    </row>
    <row r="144" spans="2:17" s="5" customFormat="1" outlineLevel="1" x14ac:dyDescent="0.3">
      <c r="C144" s="5" t="s">
        <v>35</v>
      </c>
      <c r="D144" s="167" t="s">
        <v>454</v>
      </c>
      <c r="E144" s="26">
        <f>SUM(E140:E143)</f>
        <v>6988.0000000000009</v>
      </c>
      <c r="F144" s="26">
        <f>SUM(F140:F143)</f>
        <v>8366.4</v>
      </c>
      <c r="G144" s="26">
        <f>SUM(G140:G143)</f>
        <v>6270.4</v>
      </c>
      <c r="H144" s="26">
        <f>SUM(H140:H143)</f>
        <v>7015.4737882478194</v>
      </c>
      <c r="I144" s="26">
        <f t="shared" ref="I144:Q144" si="137">SUM(I140:I143)</f>
        <v>8655.2746561796212</v>
      </c>
      <c r="J144" s="26">
        <f t="shared" si="137"/>
        <v>10415.258338241647</v>
      </c>
      <c r="K144" s="26">
        <f t="shared" si="137"/>
        <v>9534.9984717873613</v>
      </c>
      <c r="L144" s="26">
        <f t="shared" si="137"/>
        <v>9984.461029745542</v>
      </c>
      <c r="M144" s="26">
        <f t="shared" si="137"/>
        <v>11982.432597734889</v>
      </c>
      <c r="N144" s="26">
        <f t="shared" si="137"/>
        <v>14097.796646294271</v>
      </c>
      <c r="O144" s="26">
        <f t="shared" si="137"/>
        <v>16326.326624887968</v>
      </c>
      <c r="P144" s="26">
        <f t="shared" si="137"/>
        <v>18497.200171320957</v>
      </c>
      <c r="Q144" s="26">
        <f t="shared" si="137"/>
        <v>20957.539920108415</v>
      </c>
    </row>
    <row r="145" spans="2:18" outlineLevel="1" x14ac:dyDescent="0.3">
      <c r="E145" s="24"/>
      <c r="F145" s="24"/>
      <c r="G145" s="24"/>
    </row>
    <row r="146" spans="2:18" outlineLevel="1" x14ac:dyDescent="0.3">
      <c r="C146" s="5" t="s">
        <v>62</v>
      </c>
      <c r="E146" s="24"/>
      <c r="F146" s="24"/>
      <c r="G146" s="24"/>
    </row>
    <row r="147" spans="2:18" outlineLevel="1" x14ac:dyDescent="0.3">
      <c r="C147" s="9" t="s">
        <v>43</v>
      </c>
      <c r="D147" s="167" t="s">
        <v>454</v>
      </c>
      <c r="E147" s="150">
        <v>9027.8000000000011</v>
      </c>
      <c r="F147" s="150">
        <v>8976.2000000000007</v>
      </c>
      <c r="G147" s="150">
        <v>9025.8000000000011</v>
      </c>
      <c r="H147" s="24">
        <f>G147-H192-H67</f>
        <v>9223.9702817081015</v>
      </c>
      <c r="I147" s="24">
        <f t="shared" ref="I147:Q147" si="138">H147-I192-I67</f>
        <v>9430.8059867781776</v>
      </c>
      <c r="J147" s="24">
        <f t="shared" si="138"/>
        <v>9646.2172665433518</v>
      </c>
      <c r="K147" s="24">
        <f t="shared" si="138"/>
        <v>9869.8835639413755</v>
      </c>
      <c r="L147" s="24">
        <f t="shared" si="138"/>
        <v>10101.074101459886</v>
      </c>
      <c r="M147" s="24">
        <f t="shared" si="138"/>
        <v>10340.0500866781</v>
      </c>
      <c r="N147" s="24">
        <f t="shared" si="138"/>
        <v>10586.997194814197</v>
      </c>
      <c r="O147" s="24">
        <f t="shared" si="138"/>
        <v>10842.011267130985</v>
      </c>
      <c r="P147" s="24">
        <f t="shared" si="138"/>
        <v>11105.348271960336</v>
      </c>
      <c r="Q147" s="24">
        <f t="shared" si="138"/>
        <v>11377.102112454242</v>
      </c>
    </row>
    <row r="148" spans="2:18" outlineLevel="1" x14ac:dyDescent="0.3">
      <c r="C148" s="9" t="s">
        <v>44</v>
      </c>
      <c r="D148" s="167" t="s">
        <v>454</v>
      </c>
      <c r="E148" s="150">
        <v>6015.6</v>
      </c>
      <c r="F148" s="150">
        <v>5908.4</v>
      </c>
      <c r="G148" s="150">
        <v>5879.1</v>
      </c>
      <c r="H148" s="157">
        <f>H85</f>
        <v>5884.2994565298795</v>
      </c>
      <c r="I148" s="157">
        <f t="shared" ref="I148:Q148" si="139">I85</f>
        <v>5917.9355064159508</v>
      </c>
      <c r="J148" s="157">
        <f t="shared" si="139"/>
        <v>5976.6149382327585</v>
      </c>
      <c r="K148" s="157">
        <f t="shared" si="139"/>
        <v>6056.5414038976523</v>
      </c>
      <c r="L148" s="157">
        <f t="shared" si="139"/>
        <v>6152.9584567138781</v>
      </c>
      <c r="M148" s="157">
        <f t="shared" si="139"/>
        <v>6264.9469612160592</v>
      </c>
      <c r="N148" s="157">
        <f t="shared" si="139"/>
        <v>6391.4349416451523</v>
      </c>
      <c r="O148" s="157">
        <f t="shared" si="139"/>
        <v>6531.1663378742132</v>
      </c>
      <c r="P148" s="157">
        <f t="shared" si="139"/>
        <v>6683.5576115501681</v>
      </c>
      <c r="Q148" s="157">
        <f t="shared" si="139"/>
        <v>6847.5462735822484</v>
      </c>
      <c r="R148" s="24"/>
    </row>
    <row r="149" spans="2:18" outlineLevel="1" x14ac:dyDescent="0.3">
      <c r="C149" s="9" t="s">
        <v>84</v>
      </c>
      <c r="D149" s="167" t="s">
        <v>454</v>
      </c>
      <c r="E149" s="150">
        <v>384.9</v>
      </c>
      <c r="F149" s="150">
        <v>373.4</v>
      </c>
      <c r="G149" s="150">
        <v>332.9</v>
      </c>
      <c r="H149" s="157">
        <f>H100</f>
        <v>295.9111111111111</v>
      </c>
      <c r="I149" s="157">
        <f t="shared" ref="I149:Q149" si="140">I100</f>
        <v>258.92222222222222</v>
      </c>
      <c r="J149" s="157">
        <f t="shared" si="140"/>
        <v>221.93333333333334</v>
      </c>
      <c r="K149" s="157">
        <f t="shared" si="140"/>
        <v>184.94444444444446</v>
      </c>
      <c r="L149" s="157">
        <f t="shared" si="140"/>
        <v>147.95555555555558</v>
      </c>
      <c r="M149" s="157">
        <f t="shared" si="140"/>
        <v>110.9666666666667</v>
      </c>
      <c r="N149" s="157">
        <f t="shared" si="140"/>
        <v>73.977777777777817</v>
      </c>
      <c r="O149" s="157">
        <f t="shared" si="140"/>
        <v>36.98888888888893</v>
      </c>
      <c r="P149" s="157">
        <f t="shared" si="140"/>
        <v>0</v>
      </c>
      <c r="Q149" s="157">
        <f t="shared" si="140"/>
        <v>0</v>
      </c>
    </row>
    <row r="150" spans="2:18" outlineLevel="1" x14ac:dyDescent="0.3">
      <c r="C150" s="9" t="s">
        <v>45</v>
      </c>
      <c r="D150" s="167" t="s">
        <v>454</v>
      </c>
      <c r="E150" s="150">
        <v>2108.8000000000002</v>
      </c>
      <c r="F150" s="150">
        <v>2285</v>
      </c>
      <c r="G150" s="150">
        <v>2465.4</v>
      </c>
      <c r="H150" s="157">
        <f>G150</f>
        <v>2465.4</v>
      </c>
      <c r="I150" s="157">
        <f t="shared" ref="I150:Q150" si="141">H150</f>
        <v>2465.4</v>
      </c>
      <c r="J150" s="157">
        <f t="shared" si="141"/>
        <v>2465.4</v>
      </c>
      <c r="K150" s="157">
        <f t="shared" si="141"/>
        <v>2465.4</v>
      </c>
      <c r="L150" s="157">
        <f t="shared" si="141"/>
        <v>2465.4</v>
      </c>
      <c r="M150" s="157">
        <f t="shared" si="141"/>
        <v>2465.4</v>
      </c>
      <c r="N150" s="157">
        <f t="shared" si="141"/>
        <v>2465.4</v>
      </c>
      <c r="O150" s="157">
        <f t="shared" si="141"/>
        <v>2465.4</v>
      </c>
      <c r="P150" s="157">
        <f t="shared" si="141"/>
        <v>2465.4</v>
      </c>
      <c r="Q150" s="157">
        <f t="shared" si="141"/>
        <v>2465.4</v>
      </c>
    </row>
    <row r="151" spans="2:18" outlineLevel="1" x14ac:dyDescent="0.3">
      <c r="C151" s="9" t="s">
        <v>39</v>
      </c>
      <c r="D151" s="167" t="s">
        <v>454</v>
      </c>
      <c r="E151" s="150">
        <v>1183.3</v>
      </c>
      <c r="F151" s="150">
        <v>1201</v>
      </c>
      <c r="G151" s="150">
        <v>1201</v>
      </c>
      <c r="H151" s="157">
        <f>G151</f>
        <v>1201</v>
      </c>
      <c r="I151" s="157">
        <f t="shared" ref="I151:Q151" si="142">H151</f>
        <v>1201</v>
      </c>
      <c r="J151" s="157">
        <f t="shared" si="142"/>
        <v>1201</v>
      </c>
      <c r="K151" s="157">
        <f t="shared" si="142"/>
        <v>1201</v>
      </c>
      <c r="L151" s="157">
        <f t="shared" si="142"/>
        <v>1201</v>
      </c>
      <c r="M151" s="157">
        <f t="shared" si="142"/>
        <v>1201</v>
      </c>
      <c r="N151" s="157">
        <f t="shared" si="142"/>
        <v>1201</v>
      </c>
      <c r="O151" s="157">
        <f t="shared" si="142"/>
        <v>1201</v>
      </c>
      <c r="P151" s="157">
        <f t="shared" si="142"/>
        <v>1201</v>
      </c>
      <c r="Q151" s="157">
        <f t="shared" si="142"/>
        <v>1201</v>
      </c>
    </row>
    <row r="152" spans="2:18" outlineLevel="1" x14ac:dyDescent="0.3">
      <c r="C152" s="22" t="s">
        <v>169</v>
      </c>
      <c r="D152" s="171" t="s">
        <v>454</v>
      </c>
      <c r="E152" s="151">
        <v>889.6</v>
      </c>
      <c r="F152" s="151">
        <v>1012.6</v>
      </c>
      <c r="G152" s="151">
        <v>993.6</v>
      </c>
      <c r="H152" s="158">
        <f>G152</f>
        <v>993.6</v>
      </c>
      <c r="I152" s="158">
        <f t="shared" ref="I152:Q152" si="143">H152</f>
        <v>993.6</v>
      </c>
      <c r="J152" s="158">
        <f t="shared" si="143"/>
        <v>993.6</v>
      </c>
      <c r="K152" s="158">
        <f t="shared" si="143"/>
        <v>993.6</v>
      </c>
      <c r="L152" s="158">
        <f t="shared" si="143"/>
        <v>993.6</v>
      </c>
      <c r="M152" s="158">
        <f t="shared" si="143"/>
        <v>993.6</v>
      </c>
      <c r="N152" s="158">
        <f t="shared" si="143"/>
        <v>993.6</v>
      </c>
      <c r="O152" s="158">
        <f t="shared" si="143"/>
        <v>993.6</v>
      </c>
      <c r="P152" s="158">
        <f t="shared" si="143"/>
        <v>993.6</v>
      </c>
      <c r="Q152" s="158">
        <f t="shared" si="143"/>
        <v>993.6</v>
      </c>
    </row>
    <row r="153" spans="2:18" s="5" customFormat="1" outlineLevel="1" x14ac:dyDescent="0.3">
      <c r="C153" s="5" t="s">
        <v>62</v>
      </c>
      <c r="D153" s="167" t="s">
        <v>454</v>
      </c>
      <c r="E153" s="26">
        <f>SUM(E147:E152)</f>
        <v>19610</v>
      </c>
      <c r="F153" s="26">
        <f>SUM(F147:F152)</f>
        <v>19756.599999999999</v>
      </c>
      <c r="G153" s="26">
        <f>SUM(G147:G152)</f>
        <v>19897.8</v>
      </c>
      <c r="H153" s="26">
        <f t="shared" ref="H153" si="144">SUM(H147:H152)</f>
        <v>20064.18084934909</v>
      </c>
      <c r="I153" s="26">
        <f t="shared" ref="I153" si="145">SUM(I147:I152)</f>
        <v>20267.663715416347</v>
      </c>
      <c r="J153" s="26">
        <f t="shared" ref="J153" si="146">SUM(J147:J152)</f>
        <v>20504.765538109441</v>
      </c>
      <c r="K153" s="26">
        <f t="shared" ref="K153" si="147">SUM(K147:K152)</f>
        <v>20771.369412283471</v>
      </c>
      <c r="L153" s="26">
        <f t="shared" ref="L153" si="148">SUM(L147:L152)</f>
        <v>21061.98811372932</v>
      </c>
      <c r="M153" s="26">
        <f t="shared" ref="M153" si="149">SUM(M147:M152)</f>
        <v>21375.963714560829</v>
      </c>
      <c r="N153" s="26">
        <f t="shared" ref="N153" si="150">SUM(N147:N152)</f>
        <v>21712.409914237127</v>
      </c>
      <c r="O153" s="26">
        <f t="shared" ref="O153" si="151">SUM(O147:O152)</f>
        <v>22070.166493894088</v>
      </c>
      <c r="P153" s="26">
        <f t="shared" ref="P153" si="152">SUM(P147:P152)</f>
        <v>22448.905883510502</v>
      </c>
      <c r="Q153" s="26">
        <f t="shared" ref="Q153" si="153">SUM(Q147:Q152)</f>
        <v>22884.64838603649</v>
      </c>
    </row>
    <row r="154" spans="2:18" outlineLevel="1" x14ac:dyDescent="0.3">
      <c r="E154" s="24"/>
      <c r="F154" s="24"/>
      <c r="G154" s="24"/>
    </row>
    <row r="155" spans="2:18" s="5" customFormat="1" outlineLevel="1" x14ac:dyDescent="0.3">
      <c r="C155" s="5" t="s">
        <v>48</v>
      </c>
      <c r="D155" s="167" t="s">
        <v>454</v>
      </c>
      <c r="E155" s="28">
        <f>E153+E144</f>
        <v>26598</v>
      </c>
      <c r="F155" s="28">
        <f>F153+F144</f>
        <v>28123</v>
      </c>
      <c r="G155" s="28">
        <f>G153+G144</f>
        <v>26168.199999999997</v>
      </c>
      <c r="H155" s="28">
        <f t="shared" ref="H155" si="154">H153+H144</f>
        <v>27079.654637596908</v>
      </c>
      <c r="I155" s="28">
        <f t="shared" ref="I155:Q155" si="155">I153+I144</f>
        <v>28922.93837159597</v>
      </c>
      <c r="J155" s="28">
        <f t="shared" si="155"/>
        <v>30920.023876351086</v>
      </c>
      <c r="K155" s="28">
        <f t="shared" si="155"/>
        <v>30306.367884070831</v>
      </c>
      <c r="L155" s="28">
        <f t="shared" si="155"/>
        <v>31046.449143474863</v>
      </c>
      <c r="M155" s="28">
        <f t="shared" si="155"/>
        <v>33358.396312295721</v>
      </c>
      <c r="N155" s="28">
        <f t="shared" si="155"/>
        <v>35810.206560531398</v>
      </c>
      <c r="O155" s="28">
        <f t="shared" si="155"/>
        <v>38396.493118782055</v>
      </c>
      <c r="P155" s="28">
        <f t="shared" si="155"/>
        <v>40946.106054831456</v>
      </c>
      <c r="Q155" s="28">
        <f t="shared" si="155"/>
        <v>43842.188306144904</v>
      </c>
    </row>
    <row r="156" spans="2:18" outlineLevel="1" x14ac:dyDescent="0.3">
      <c r="E156" s="24"/>
      <c r="F156" s="24"/>
      <c r="G156" s="24"/>
    </row>
    <row r="157" spans="2:18" outlineLevel="1" x14ac:dyDescent="0.3">
      <c r="B157" s="35" t="s">
        <v>166</v>
      </c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</row>
    <row r="158" spans="2:18" outlineLevel="1" x14ac:dyDescent="0.3">
      <c r="C158" s="5" t="s">
        <v>170</v>
      </c>
      <c r="E158" s="24"/>
      <c r="F158" s="24"/>
      <c r="G158" s="24"/>
    </row>
    <row r="159" spans="2:18" outlineLevel="1" x14ac:dyDescent="0.3">
      <c r="C159" s="9" t="s">
        <v>51</v>
      </c>
      <c r="D159" s="167" t="s">
        <v>454</v>
      </c>
      <c r="E159" s="149">
        <v>3487.3</v>
      </c>
      <c r="F159" s="149">
        <v>4236.8</v>
      </c>
      <c r="G159" s="149">
        <v>4173.1000000000004</v>
      </c>
      <c r="H159" s="23">
        <f t="shared" ref="H159:Q159" si="156">-H48*H122</f>
        <v>4396.5806990486553</v>
      </c>
      <c r="I159" s="23">
        <f t="shared" si="156"/>
        <v>4588.8306811042967</v>
      </c>
      <c r="J159" s="23">
        <f t="shared" si="156"/>
        <v>4779.087292048921</v>
      </c>
      <c r="K159" s="23">
        <f t="shared" si="156"/>
        <v>4962.232064726526</v>
      </c>
      <c r="L159" s="23">
        <f t="shared" si="156"/>
        <v>5129.1639003357859</v>
      </c>
      <c r="M159" s="23">
        <f t="shared" si="156"/>
        <v>5301.8908541198789</v>
      </c>
      <c r="N159" s="23">
        <f t="shared" si="156"/>
        <v>5478.7371747106308</v>
      </c>
      <c r="O159" s="23">
        <f t="shared" si="156"/>
        <v>5657.7098173845552</v>
      </c>
      <c r="P159" s="23">
        <f t="shared" si="156"/>
        <v>5842.3613409571863</v>
      </c>
      <c r="Q159" s="23">
        <f t="shared" si="156"/>
        <v>6029.0961879326451</v>
      </c>
    </row>
    <row r="160" spans="2:18" outlineLevel="1" x14ac:dyDescent="0.3">
      <c r="C160" s="9" t="s">
        <v>52</v>
      </c>
      <c r="D160" s="167" t="s">
        <v>454</v>
      </c>
      <c r="E160" s="150">
        <v>1474.7</v>
      </c>
      <c r="F160" s="150">
        <v>1554.9</v>
      </c>
      <c r="G160" s="150">
        <v>1317.4</v>
      </c>
      <c r="H160" s="24">
        <f t="shared" ref="H160:Q160" si="157">-H49*H126</f>
        <v>1613.5025301890616</v>
      </c>
      <c r="I160" s="24">
        <f t="shared" si="157"/>
        <v>1684.056411422881</v>
      </c>
      <c r="J160" s="24">
        <f t="shared" si="157"/>
        <v>1753.8787447672391</v>
      </c>
      <c r="K160" s="24">
        <f t="shared" si="157"/>
        <v>1821.0911023546157</v>
      </c>
      <c r="L160" s="24">
        <f t="shared" si="157"/>
        <v>1882.3534690804049</v>
      </c>
      <c r="M160" s="24">
        <f t="shared" si="157"/>
        <v>1945.742588043418</v>
      </c>
      <c r="N160" s="24">
        <f t="shared" si="157"/>
        <v>2010.6434747232756</v>
      </c>
      <c r="O160" s="24">
        <f t="shared" si="157"/>
        <v>2076.3247010115783</v>
      </c>
      <c r="P160" s="24">
        <f t="shared" si="157"/>
        <v>2144.09002158267</v>
      </c>
      <c r="Q160" s="24">
        <f t="shared" si="157"/>
        <v>2212.6199016630167</v>
      </c>
    </row>
    <row r="161" spans="3:17" outlineLevel="1" x14ac:dyDescent="0.3">
      <c r="C161" s="22" t="s">
        <v>53</v>
      </c>
      <c r="D161" s="171" t="s">
        <v>454</v>
      </c>
      <c r="E161" s="151">
        <v>392</v>
      </c>
      <c r="F161" s="151">
        <v>409.5</v>
      </c>
      <c r="G161" s="151">
        <v>460</v>
      </c>
      <c r="H161" s="25">
        <f t="shared" ref="H161:Q161" si="158">H50*H121</f>
        <v>488.3322009490729</v>
      </c>
      <c r="I161" s="25">
        <f t="shared" si="158"/>
        <v>518.146439152075</v>
      </c>
      <c r="J161" s="25">
        <f t="shared" si="158"/>
        <v>548.44085982103491</v>
      </c>
      <c r="K161" s="25">
        <f t="shared" si="158"/>
        <v>578.607611877811</v>
      </c>
      <c r="L161" s="25">
        <f t="shared" si="158"/>
        <v>607.52936753370761</v>
      </c>
      <c r="M161" s="25">
        <f t="shared" si="158"/>
        <v>637.76379307456978</v>
      </c>
      <c r="N161" s="25">
        <f t="shared" si="158"/>
        <v>669.13827784848934</v>
      </c>
      <c r="O161" s="25">
        <f t="shared" si="158"/>
        <v>701.42851501666257</v>
      </c>
      <c r="P161" s="25">
        <f t="shared" si="158"/>
        <v>735.09325349810103</v>
      </c>
      <c r="Q161" s="25">
        <f t="shared" si="158"/>
        <v>769.70487831797232</v>
      </c>
    </row>
    <row r="162" spans="3:17" s="5" customFormat="1" outlineLevel="1" x14ac:dyDescent="0.3">
      <c r="C162" s="5" t="s">
        <v>170</v>
      </c>
      <c r="D162" s="167" t="s">
        <v>454</v>
      </c>
      <c r="E162" s="26">
        <f>SUM(E159:E161)</f>
        <v>5354</v>
      </c>
      <c r="F162" s="26">
        <f>SUM(F159:F161)</f>
        <v>6201.2000000000007</v>
      </c>
      <c r="G162" s="26">
        <f>SUM(G159:G161)</f>
        <v>5950.5</v>
      </c>
      <c r="H162" s="26">
        <f t="shared" ref="H162" si="159">SUM(H159:H161)</f>
        <v>6498.4154301867902</v>
      </c>
      <c r="I162" s="26">
        <f t="shared" ref="I162" si="160">SUM(I159:I161)</f>
        <v>6791.0335316792525</v>
      </c>
      <c r="J162" s="26">
        <f t="shared" ref="J162" si="161">SUM(J159:J161)</f>
        <v>7081.4068966371951</v>
      </c>
      <c r="K162" s="26">
        <f t="shared" ref="K162" si="162">SUM(K159:K161)</f>
        <v>7361.9307789589529</v>
      </c>
      <c r="L162" s="26">
        <f t="shared" ref="L162" si="163">SUM(L159:L161)</f>
        <v>7619.0467369498992</v>
      </c>
      <c r="M162" s="26">
        <f t="shared" ref="M162" si="164">SUM(M159:M161)</f>
        <v>7885.397235237866</v>
      </c>
      <c r="N162" s="26">
        <f t="shared" ref="N162" si="165">SUM(N159:N161)</f>
        <v>8158.5189272823955</v>
      </c>
      <c r="O162" s="26">
        <f t="shared" ref="O162" si="166">SUM(O159:O161)</f>
        <v>8435.463033412796</v>
      </c>
      <c r="P162" s="26">
        <f t="shared" ref="P162" si="167">SUM(P159:P161)</f>
        <v>8721.5446160379561</v>
      </c>
      <c r="Q162" s="26">
        <f t="shared" ref="Q162" si="168">SUM(Q159:Q161)</f>
        <v>9011.4209679136347</v>
      </c>
    </row>
    <row r="163" spans="3:17" outlineLevel="1" x14ac:dyDescent="0.3">
      <c r="D163" s="167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</row>
    <row r="164" spans="3:17" outlineLevel="1" x14ac:dyDescent="0.3">
      <c r="C164" s="5" t="s">
        <v>55</v>
      </c>
      <c r="D164" s="167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</row>
    <row r="165" spans="3:17" outlineLevel="1" x14ac:dyDescent="0.3">
      <c r="C165" s="9" t="s">
        <v>115</v>
      </c>
      <c r="D165" s="167" t="s">
        <v>454</v>
      </c>
      <c r="E165" s="150">
        <v>7700.9000000000005</v>
      </c>
      <c r="F165" s="150">
        <v>7388.9000000000005</v>
      </c>
      <c r="G165" s="150">
        <v>8393</v>
      </c>
      <c r="H165" s="157">
        <f>H105</f>
        <v>7392.1</v>
      </c>
      <c r="I165" s="157">
        <f t="shared" ref="I165:Q165" si="169">I105</f>
        <v>7375.2000000000007</v>
      </c>
      <c r="J165" s="157">
        <f t="shared" si="169"/>
        <v>7361.1</v>
      </c>
      <c r="K165" s="157">
        <f t="shared" si="169"/>
        <v>4601</v>
      </c>
      <c r="L165" s="157">
        <f t="shared" si="169"/>
        <v>2944.4</v>
      </c>
      <c r="M165" s="157">
        <f t="shared" si="169"/>
        <v>2649.96</v>
      </c>
      <c r="N165" s="157">
        <f t="shared" si="169"/>
        <v>2355.52</v>
      </c>
      <c r="O165" s="157">
        <f t="shared" si="169"/>
        <v>2061.08</v>
      </c>
      <c r="P165" s="157">
        <f t="shared" si="169"/>
        <v>1766.6399999999999</v>
      </c>
      <c r="Q165" s="157">
        <f t="shared" si="169"/>
        <v>1472.1999999999998</v>
      </c>
    </row>
    <row r="166" spans="3:17" outlineLevel="1" x14ac:dyDescent="0.3">
      <c r="C166" s="9" t="s">
        <v>56</v>
      </c>
      <c r="D166" s="167" t="s">
        <v>454</v>
      </c>
      <c r="E166" s="150">
        <v>6153.3</v>
      </c>
      <c r="F166" s="150">
        <v>6060.5</v>
      </c>
      <c r="G166" s="150">
        <v>6051</v>
      </c>
      <c r="H166" s="157">
        <f>H74</f>
        <v>6056.1994565298792</v>
      </c>
      <c r="I166" s="157">
        <f t="shared" ref="I166:Q166" si="170">I74</f>
        <v>6089.8355064159505</v>
      </c>
      <c r="J166" s="157">
        <f t="shared" si="170"/>
        <v>6148.5149382327581</v>
      </c>
      <c r="K166" s="157">
        <f t="shared" si="170"/>
        <v>6228.441403897652</v>
      </c>
      <c r="L166" s="157">
        <f t="shared" si="170"/>
        <v>6324.8584567138778</v>
      </c>
      <c r="M166" s="157">
        <f t="shared" si="170"/>
        <v>6436.8469612160588</v>
      </c>
      <c r="N166" s="157">
        <f t="shared" si="170"/>
        <v>6563.334941645152</v>
      </c>
      <c r="O166" s="157">
        <f t="shared" si="170"/>
        <v>6703.0663378742129</v>
      </c>
      <c r="P166" s="157">
        <f t="shared" si="170"/>
        <v>6855.4576115501677</v>
      </c>
      <c r="Q166" s="157">
        <f t="shared" si="170"/>
        <v>7019.4462735822481</v>
      </c>
    </row>
    <row r="167" spans="3:17" outlineLevel="1" x14ac:dyDescent="0.3">
      <c r="C167" s="9" t="s">
        <v>229</v>
      </c>
      <c r="D167" s="167" t="s">
        <v>454</v>
      </c>
      <c r="E167" s="150">
        <v>612.70000000000005</v>
      </c>
      <c r="F167" s="150">
        <v>576.20000000000005</v>
      </c>
      <c r="G167" s="150">
        <v>517.1</v>
      </c>
      <c r="H167" s="157">
        <f>H90</f>
        <v>467.11260000000004</v>
      </c>
      <c r="I167" s="157">
        <f t="shared" ref="I167:Q167" si="171">I90</f>
        <v>412.42653560000002</v>
      </c>
      <c r="J167" s="157">
        <f t="shared" si="171"/>
        <v>364.64374837360003</v>
      </c>
      <c r="K167" s="157">
        <f t="shared" si="171"/>
        <v>327.99598570120162</v>
      </c>
      <c r="L167" s="157">
        <f t="shared" si="171"/>
        <v>300.763560185529</v>
      </c>
      <c r="M167" s="157">
        <f t="shared" si="171"/>
        <v>269.89748311285649</v>
      </c>
      <c r="N167" s="157">
        <f t="shared" si="171"/>
        <v>242.19905943964656</v>
      </c>
      <c r="O167" s="157">
        <f t="shared" si="171"/>
        <v>217.34320645339571</v>
      </c>
      <c r="P167" s="157">
        <f t="shared" si="171"/>
        <v>0</v>
      </c>
      <c r="Q167" s="157">
        <f t="shared" si="171"/>
        <v>0</v>
      </c>
    </row>
    <row r="168" spans="3:17" outlineLevel="1" x14ac:dyDescent="0.3">
      <c r="C168" s="9" t="s">
        <v>57</v>
      </c>
      <c r="D168" s="167" t="s">
        <v>454</v>
      </c>
      <c r="E168" s="150">
        <v>872.80000000000007</v>
      </c>
      <c r="F168" s="150">
        <v>1144.4000000000001</v>
      </c>
      <c r="G168" s="150">
        <v>1236.3</v>
      </c>
      <c r="H168" s="24">
        <f>G168+H186</f>
        <v>1248.5534086619787</v>
      </c>
      <c r="I168" s="24">
        <f t="shared" ref="I168:Q168" si="172">H168+I186</f>
        <v>1262.2984231422661</v>
      </c>
      <c r="J168" s="24">
        <f t="shared" si="172"/>
        <v>1277.0520394181397</v>
      </c>
      <c r="K168" s="24">
        <f t="shared" si="172"/>
        <v>1292.7429657919381</v>
      </c>
      <c r="L168" s="24">
        <f t="shared" si="172"/>
        <v>1310.4938308865601</v>
      </c>
      <c r="M168" s="24">
        <f t="shared" si="172"/>
        <v>1329.8123425945601</v>
      </c>
      <c r="N168" s="24">
        <f t="shared" si="172"/>
        <v>1350.090605021396</v>
      </c>
      <c r="O168" s="24">
        <f t="shared" si="172"/>
        <v>1371.3214935306858</v>
      </c>
      <c r="P168" s="24">
        <f t="shared" si="172"/>
        <v>1393.6667210999851</v>
      </c>
      <c r="Q168" s="24">
        <f t="shared" si="172"/>
        <v>1416.9576404332784</v>
      </c>
    </row>
    <row r="169" spans="3:17" outlineLevel="1" x14ac:dyDescent="0.3">
      <c r="C169" s="22" t="s">
        <v>171</v>
      </c>
      <c r="D169" s="171" t="s">
        <v>454</v>
      </c>
      <c r="E169" s="151">
        <v>1176.8000000000002</v>
      </c>
      <c r="F169" s="151">
        <v>2448.6999999999998</v>
      </c>
      <c r="G169" s="151">
        <v>2363.8999999999996</v>
      </c>
      <c r="H169" s="25">
        <f>G169+H195+H187+H202</f>
        <v>2299.4666666666585</v>
      </c>
      <c r="I169" s="25">
        <f t="shared" ref="I169:Q169" si="173">H169+I195+I187+I202</f>
        <v>2235.0333333333174</v>
      </c>
      <c r="J169" s="25">
        <f t="shared" si="173"/>
        <v>2170.5999999999763</v>
      </c>
      <c r="K169" s="25">
        <f t="shared" si="173"/>
        <v>2106.1666666666351</v>
      </c>
      <c r="L169" s="25">
        <f t="shared" si="173"/>
        <v>2041.7333333332938</v>
      </c>
      <c r="M169" s="25">
        <f t="shared" si="173"/>
        <v>1977.2999999999527</v>
      </c>
      <c r="N169" s="25">
        <f t="shared" si="173"/>
        <v>1912.8666666666115</v>
      </c>
      <c r="O169" s="25">
        <f t="shared" si="173"/>
        <v>1848.4333333332704</v>
      </c>
      <c r="P169" s="25">
        <f t="shared" si="173"/>
        <v>1783.9999999999293</v>
      </c>
      <c r="Q169" s="25">
        <f t="shared" si="173"/>
        <v>1719.5666666665882</v>
      </c>
    </row>
    <row r="170" spans="3:17" s="5" customFormat="1" outlineLevel="1" x14ac:dyDescent="0.3">
      <c r="C170" s="5" t="s">
        <v>172</v>
      </c>
      <c r="D170" s="167" t="s">
        <v>454</v>
      </c>
      <c r="E170" s="26">
        <f>SUM(E165:E169)</f>
        <v>16516.5</v>
      </c>
      <c r="F170" s="26">
        <f>SUM(F165:F169)</f>
        <v>17618.7</v>
      </c>
      <c r="G170" s="26">
        <f>SUM(G165:G169)</f>
        <v>18561.3</v>
      </c>
      <c r="H170" s="26">
        <f t="shared" ref="H170" si="174">SUM(H165:H169)</f>
        <v>17463.432131858517</v>
      </c>
      <c r="I170" s="26">
        <f t="shared" ref="I170" si="175">SUM(I165:I169)</f>
        <v>17374.793798491537</v>
      </c>
      <c r="J170" s="26">
        <f t="shared" ref="J170" si="176">SUM(J165:J169)</f>
        <v>17321.910726024475</v>
      </c>
      <c r="K170" s="26">
        <f t="shared" ref="K170" si="177">SUM(K165:K169)</f>
        <v>14556.347022057427</v>
      </c>
      <c r="L170" s="26">
        <f t="shared" ref="L170" si="178">SUM(L165:L169)</f>
        <v>12922.249181119261</v>
      </c>
      <c r="M170" s="26">
        <f t="shared" ref="M170" si="179">SUM(M165:M169)</f>
        <v>12663.816786923426</v>
      </c>
      <c r="N170" s="26">
        <f t="shared" ref="N170" si="180">SUM(N165:N169)</f>
        <v>12424.011272772806</v>
      </c>
      <c r="O170" s="26">
        <f t="shared" ref="O170" si="181">SUM(O165:O169)</f>
        <v>12201.244371191564</v>
      </c>
      <c r="P170" s="26">
        <f t="shared" ref="P170" si="182">SUM(P165:P169)</f>
        <v>11799.764332650082</v>
      </c>
      <c r="Q170" s="26">
        <f t="shared" ref="Q170" si="183">SUM(Q165:Q169)</f>
        <v>11628.170580682114</v>
      </c>
    </row>
    <row r="171" spans="3:17" outlineLevel="1" x14ac:dyDescent="0.3">
      <c r="D171" s="167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</row>
    <row r="172" spans="3:17" outlineLevel="1" x14ac:dyDescent="0.3">
      <c r="C172" s="5" t="s">
        <v>40</v>
      </c>
      <c r="D172" s="167" t="s">
        <v>454</v>
      </c>
      <c r="E172" s="26">
        <v>4727.5</v>
      </c>
      <c r="F172" s="26">
        <v>4303.1000000000004</v>
      </c>
      <c r="G172" s="26">
        <v>1656.3999999999996</v>
      </c>
      <c r="H172" s="26">
        <f>G172+H181+H201</f>
        <v>3117.8070755516028</v>
      </c>
      <c r="I172" s="26">
        <f t="shared" ref="I172:Q172" si="184">H172+I181+I201</f>
        <v>4757.1110414251834</v>
      </c>
      <c r="J172" s="26">
        <f t="shared" si="184"/>
        <v>6516.7062536894209</v>
      </c>
      <c r="K172" s="26">
        <f t="shared" si="184"/>
        <v>8388.0900830544542</v>
      </c>
      <c r="L172" s="26">
        <f t="shared" si="184"/>
        <v>10505.153225405702</v>
      </c>
      <c r="M172" s="26">
        <f t="shared" si="184"/>
        <v>12809.18229013442</v>
      </c>
      <c r="N172" s="26">
        <f t="shared" si="184"/>
        <v>15227.676360476196</v>
      </c>
      <c r="O172" s="26">
        <f t="shared" si="184"/>
        <v>17759.785714177695</v>
      </c>
      <c r="P172" s="26">
        <f t="shared" si="184"/>
        <v>20424.797106143422</v>
      </c>
      <c r="Q172" s="26">
        <f t="shared" si="184"/>
        <v>23202.596757549152</v>
      </c>
    </row>
    <row r="173" spans="3:17" outlineLevel="1" x14ac:dyDescent="0.3">
      <c r="D173" s="167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</row>
    <row r="174" spans="3:17" s="5" customFormat="1" outlineLevel="1" x14ac:dyDescent="0.3">
      <c r="C174" s="5" t="s">
        <v>173</v>
      </c>
      <c r="D174" s="167" t="s">
        <v>454</v>
      </c>
      <c r="E174" s="28">
        <f>E172+E170+E162</f>
        <v>26598</v>
      </c>
      <c r="F174" s="28">
        <f>F172+F170+F162</f>
        <v>28123.000000000004</v>
      </c>
      <c r="G174" s="28">
        <f>G172+G170+G162</f>
        <v>26168.199999999997</v>
      </c>
      <c r="H174" s="28">
        <f t="shared" ref="H174" si="185">H172+H170+H162</f>
        <v>27079.654637596908</v>
      </c>
      <c r="I174" s="28">
        <f t="shared" ref="I174:Q174" si="186">I172+I170+I162</f>
        <v>28922.938371595974</v>
      </c>
      <c r="J174" s="28">
        <f t="shared" si="186"/>
        <v>30920.02387635109</v>
      </c>
      <c r="K174" s="28">
        <f t="shared" si="186"/>
        <v>30306.367884070831</v>
      </c>
      <c r="L174" s="28">
        <f t="shared" si="186"/>
        <v>31046.44914347486</v>
      </c>
      <c r="M174" s="28">
        <f t="shared" si="186"/>
        <v>33358.396312295707</v>
      </c>
      <c r="N174" s="28">
        <f t="shared" si="186"/>
        <v>35810.206560531398</v>
      </c>
      <c r="O174" s="28">
        <f t="shared" si="186"/>
        <v>38396.493118782055</v>
      </c>
      <c r="P174" s="28">
        <f t="shared" si="186"/>
        <v>40946.106054831464</v>
      </c>
      <c r="Q174" s="28">
        <f t="shared" si="186"/>
        <v>43842.188306144897</v>
      </c>
    </row>
    <row r="175" spans="3:17" outlineLevel="1" x14ac:dyDescent="0.3">
      <c r="D175" s="167"/>
    </row>
    <row r="176" spans="3:17" s="5" customFormat="1" outlineLevel="1" x14ac:dyDescent="0.3">
      <c r="C176" s="5" t="s">
        <v>61</v>
      </c>
      <c r="D176" s="167"/>
      <c r="E176" s="34">
        <f>E174-E155</f>
        <v>0</v>
      </c>
      <c r="F176" s="34">
        <f>F174-F155</f>
        <v>0</v>
      </c>
      <c r="G176" s="34">
        <f>G174-G155</f>
        <v>0</v>
      </c>
      <c r="H176" s="34">
        <f t="shared" ref="H176:Q176" si="187">H174-H155</f>
        <v>0</v>
      </c>
      <c r="I176" s="34">
        <f t="shared" si="187"/>
        <v>0</v>
      </c>
      <c r="J176" s="34">
        <f t="shared" si="187"/>
        <v>0</v>
      </c>
      <c r="K176" s="34">
        <f t="shared" si="187"/>
        <v>0</v>
      </c>
      <c r="L176" s="34">
        <f t="shared" si="187"/>
        <v>0</v>
      </c>
      <c r="M176" s="34">
        <f t="shared" si="187"/>
        <v>0</v>
      </c>
      <c r="N176" s="34">
        <f t="shared" si="187"/>
        <v>0</v>
      </c>
      <c r="O176" s="34">
        <f t="shared" si="187"/>
        <v>0</v>
      </c>
      <c r="P176" s="34">
        <f t="shared" si="187"/>
        <v>0</v>
      </c>
      <c r="Q176" s="34">
        <f t="shared" si="187"/>
        <v>0</v>
      </c>
    </row>
    <row r="177" spans="2:17" x14ac:dyDescent="0.3">
      <c r="I177" s="63"/>
      <c r="J177" s="63"/>
      <c r="K177" s="63"/>
      <c r="L177" s="63"/>
      <c r="M177" s="63"/>
      <c r="N177" s="63"/>
      <c r="O177" s="63"/>
      <c r="P177" s="63"/>
      <c r="Q177" s="63"/>
    </row>
    <row r="178" spans="2:17" x14ac:dyDescent="0.3">
      <c r="B178" s="1"/>
      <c r="C178" s="1"/>
      <c r="D178" s="1"/>
      <c r="E178" s="13" t="s">
        <v>160</v>
      </c>
      <c r="F178" s="13"/>
      <c r="G178" s="14"/>
      <c r="H178" s="18" t="s">
        <v>16</v>
      </c>
      <c r="I178" s="13"/>
      <c r="J178" s="13"/>
      <c r="K178" s="13"/>
      <c r="L178" s="13"/>
      <c r="M178" s="13"/>
      <c r="N178" s="13"/>
      <c r="O178" s="13"/>
      <c r="P178" s="13"/>
      <c r="Q178" s="13"/>
    </row>
    <row r="179" spans="2:17" x14ac:dyDescent="0.3">
      <c r="B179" s="15" t="s">
        <v>184</v>
      </c>
      <c r="C179" s="16"/>
      <c r="D179" s="19" t="s">
        <v>14</v>
      </c>
      <c r="E179" s="17">
        <f t="shared" ref="E179:Q179" si="188">E$15</f>
        <v>44196</v>
      </c>
      <c r="F179" s="17">
        <f t="shared" si="188"/>
        <v>44561</v>
      </c>
      <c r="G179" s="20">
        <f t="shared" si="188"/>
        <v>44926</v>
      </c>
      <c r="H179" s="17">
        <f t="shared" si="188"/>
        <v>45291</v>
      </c>
      <c r="I179" s="17">
        <f t="shared" si="188"/>
        <v>45657</v>
      </c>
      <c r="J179" s="17">
        <f t="shared" si="188"/>
        <v>46022</v>
      </c>
      <c r="K179" s="17">
        <f t="shared" si="188"/>
        <v>46387</v>
      </c>
      <c r="L179" s="17">
        <f t="shared" si="188"/>
        <v>46752</v>
      </c>
      <c r="M179" s="17">
        <f t="shared" si="188"/>
        <v>47118</v>
      </c>
      <c r="N179" s="17">
        <f t="shared" si="188"/>
        <v>47483</v>
      </c>
      <c r="O179" s="17">
        <f t="shared" si="188"/>
        <v>47848</v>
      </c>
      <c r="P179" s="17">
        <f t="shared" si="188"/>
        <v>48213</v>
      </c>
      <c r="Q179" s="17">
        <f t="shared" si="188"/>
        <v>48579</v>
      </c>
    </row>
    <row r="180" spans="2:17" outlineLevel="1" x14ac:dyDescent="0.3">
      <c r="B180" s="35" t="s">
        <v>72</v>
      </c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</row>
    <row r="181" spans="2:17" s="5" customFormat="1" outlineLevel="1" x14ac:dyDescent="0.3">
      <c r="C181" s="5" t="s">
        <v>33</v>
      </c>
      <c r="D181" s="167" t="s">
        <v>454</v>
      </c>
      <c r="E181" s="156">
        <f>E132</f>
        <v>850.20000000000505</v>
      </c>
      <c r="F181" s="156">
        <f t="shared" ref="F181:G181" si="189">F132</f>
        <v>1619.6000000000026</v>
      </c>
      <c r="G181" s="156">
        <f t="shared" si="189"/>
        <v>1513.5000000000159</v>
      </c>
      <c r="H181" s="156">
        <f>H132</f>
        <v>1461.4070755516034</v>
      </c>
      <c r="I181" s="156">
        <f t="shared" ref="I181:Q181" si="190">I132</f>
        <v>1639.3039658735802</v>
      </c>
      <c r="J181" s="156">
        <f t="shared" si="190"/>
        <v>1759.5952122642377</v>
      </c>
      <c r="K181" s="156">
        <f t="shared" si="190"/>
        <v>1871.3838293650329</v>
      </c>
      <c r="L181" s="156">
        <f t="shared" si="190"/>
        <v>2117.0631423512482</v>
      </c>
      <c r="M181" s="156">
        <f t="shared" si="190"/>
        <v>2304.0290647287175</v>
      </c>
      <c r="N181" s="156">
        <f t="shared" si="190"/>
        <v>2418.4940703417765</v>
      </c>
      <c r="O181" s="156">
        <f t="shared" si="190"/>
        <v>2532.1093537014981</v>
      </c>
      <c r="P181" s="156">
        <f t="shared" si="190"/>
        <v>2665.0113919657279</v>
      </c>
      <c r="Q181" s="156">
        <f t="shared" si="190"/>
        <v>2777.7996514057295</v>
      </c>
    </row>
    <row r="182" spans="2:17" outlineLevel="1" x14ac:dyDescent="0.3">
      <c r="C182" s="5" t="s">
        <v>174</v>
      </c>
      <c r="D182" s="167"/>
      <c r="E182" s="24"/>
      <c r="F182" s="24"/>
      <c r="G182" s="24"/>
    </row>
    <row r="183" spans="2:17" outlineLevel="1" x14ac:dyDescent="0.3">
      <c r="C183" s="9" t="s">
        <v>431</v>
      </c>
      <c r="D183" s="167" t="s">
        <v>454</v>
      </c>
      <c r="E183" s="150">
        <v>1536.9</v>
      </c>
      <c r="F183" s="150">
        <v>1681.3</v>
      </c>
      <c r="G183" s="150">
        <v>1807.1</v>
      </c>
      <c r="H183" s="24">
        <f>H65</f>
        <v>1824.297106899691</v>
      </c>
      <c r="I183" s="24">
        <f t="shared" ref="I183:Q183" si="191">I65</f>
        <v>1902.4510170314509</v>
      </c>
      <c r="J183" s="24">
        <f t="shared" si="191"/>
        <v>1979.7945772999547</v>
      </c>
      <c r="K183" s="24">
        <f t="shared" si="191"/>
        <v>2054.2470165246536</v>
      </c>
      <c r="L183" s="24">
        <f t="shared" si="191"/>
        <v>2122.1085348396978</v>
      </c>
      <c r="M183" s="24">
        <f t="shared" si="191"/>
        <v>2192.325898082247</v>
      </c>
      <c r="N183" s="24">
        <f t="shared" si="191"/>
        <v>2264.2178759061089</v>
      </c>
      <c r="O183" s="24">
        <f t="shared" si="191"/>
        <v>2336.9742511318454</v>
      </c>
      <c r="P183" s="24">
        <f t="shared" si="191"/>
        <v>2412.0392182370761</v>
      </c>
      <c r="Q183" s="24">
        <f t="shared" si="191"/>
        <v>2450.9622139316875</v>
      </c>
    </row>
    <row r="184" spans="2:17" outlineLevel="1" x14ac:dyDescent="0.3">
      <c r="C184" s="9" t="s">
        <v>176</v>
      </c>
      <c r="D184" s="167" t="s">
        <v>454</v>
      </c>
      <c r="E184" s="150">
        <v>-38.799999999999997</v>
      </c>
      <c r="F184" s="150">
        <v>-15</v>
      </c>
      <c r="G184" s="150">
        <v>-147.5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</row>
    <row r="185" spans="2:17" outlineLevel="1" x14ac:dyDescent="0.3">
      <c r="C185" s="9" t="s">
        <v>178</v>
      </c>
      <c r="D185" s="167" t="s">
        <v>454</v>
      </c>
      <c r="E185" s="150">
        <v>59</v>
      </c>
      <c r="F185" s="150">
        <v>101.2</v>
      </c>
      <c r="G185" s="150">
        <v>138.30000000000001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</row>
    <row r="186" spans="2:17" outlineLevel="1" x14ac:dyDescent="0.3">
      <c r="C186" s="9" t="s">
        <v>179</v>
      </c>
      <c r="D186" s="167" t="s">
        <v>454</v>
      </c>
      <c r="E186" s="150">
        <v>-112.3</v>
      </c>
      <c r="F186" s="150">
        <v>219</v>
      </c>
      <c r="G186" s="150">
        <v>12.9</v>
      </c>
      <c r="H186" s="24">
        <f t="shared" ref="H186:Q186" si="192">H131*H53</f>
        <v>12.25340866197873</v>
      </c>
      <c r="I186" s="24">
        <f t="shared" si="192"/>
        <v>13.745014480287509</v>
      </c>
      <c r="J186" s="24">
        <f t="shared" si="192"/>
        <v>14.753616275873554</v>
      </c>
      <c r="K186" s="24">
        <f t="shared" si="192"/>
        <v>15.690926373798519</v>
      </c>
      <c r="L186" s="24">
        <f t="shared" si="192"/>
        <v>17.750865094622082</v>
      </c>
      <c r="M186" s="24">
        <f t="shared" si="192"/>
        <v>19.318511707999949</v>
      </c>
      <c r="N186" s="24">
        <f t="shared" si="192"/>
        <v>20.278262426835838</v>
      </c>
      <c r="O186" s="24">
        <f t="shared" si="192"/>
        <v>21.230888509289766</v>
      </c>
      <c r="P186" s="24">
        <f t="shared" si="192"/>
        <v>22.345227569299357</v>
      </c>
      <c r="Q186" s="24">
        <f t="shared" si="192"/>
        <v>23.290919333293299</v>
      </c>
    </row>
    <row r="187" spans="2:17" outlineLevel="1" x14ac:dyDescent="0.3">
      <c r="C187" s="9" t="s">
        <v>177</v>
      </c>
      <c r="D187" s="167" t="s">
        <v>454</v>
      </c>
      <c r="E187" s="150">
        <v>54.299999999991769</v>
      </c>
      <c r="F187" s="150">
        <v>-339.70000000000118</v>
      </c>
      <c r="G187" s="150">
        <v>-1262.000000000013</v>
      </c>
      <c r="H187" s="65">
        <f>AVERAGE(E187:G187)</f>
        <v>-515.80000000000746</v>
      </c>
      <c r="I187" s="65">
        <f>H187</f>
        <v>-515.80000000000746</v>
      </c>
      <c r="J187" s="65">
        <f t="shared" ref="J187:Q187" si="193">I187</f>
        <v>-515.80000000000746</v>
      </c>
      <c r="K187" s="65">
        <f t="shared" si="193"/>
        <v>-515.80000000000746</v>
      </c>
      <c r="L187" s="65">
        <f t="shared" si="193"/>
        <v>-515.80000000000746</v>
      </c>
      <c r="M187" s="65">
        <f t="shared" si="193"/>
        <v>-515.80000000000746</v>
      </c>
      <c r="N187" s="65">
        <f t="shared" si="193"/>
        <v>-515.80000000000746</v>
      </c>
      <c r="O187" s="65">
        <f t="shared" si="193"/>
        <v>-515.80000000000746</v>
      </c>
      <c r="P187" s="65">
        <f t="shared" si="193"/>
        <v>-515.80000000000746</v>
      </c>
      <c r="Q187" s="65">
        <f t="shared" si="193"/>
        <v>-515.80000000000746</v>
      </c>
    </row>
    <row r="188" spans="2:17" outlineLevel="1" x14ac:dyDescent="0.3">
      <c r="C188" s="59" t="s">
        <v>67</v>
      </c>
      <c r="D188" s="171" t="s">
        <v>454</v>
      </c>
      <c r="E188" s="154">
        <v>1553.2</v>
      </c>
      <c r="F188" s="154">
        <v>247</v>
      </c>
      <c r="G188" s="154">
        <v>791.59999999999991</v>
      </c>
      <c r="H188" s="58">
        <f t="shared" ref="H188:Q188" si="194">H55+H54</f>
        <v>241.361578979765</v>
      </c>
      <c r="I188" s="58">
        <f t="shared" si="194"/>
        <v>24.957435486941904</v>
      </c>
      <c r="J188" s="58">
        <f t="shared" si="194"/>
        <v>25.48797639831173</v>
      </c>
      <c r="K188" s="58">
        <f t="shared" si="194"/>
        <v>25.539973838845981</v>
      </c>
      <c r="L188" s="58">
        <f t="shared" si="194"/>
        <v>24.704564143498828</v>
      </c>
      <c r="M188" s="58">
        <f t="shared" si="194"/>
        <v>25.870832216663985</v>
      </c>
      <c r="N188" s="58">
        <f t="shared" si="194"/>
        <v>26.906824069943468</v>
      </c>
      <c r="O188" s="58">
        <f t="shared" si="194"/>
        <v>27.768859284313294</v>
      </c>
      <c r="P188" s="58">
        <f t="shared" si="194"/>
        <v>28.999895282896432</v>
      </c>
      <c r="Q188" s="58">
        <f t="shared" si="194"/>
        <v>29.894150715189426</v>
      </c>
    </row>
    <row r="189" spans="2:17" s="5" customFormat="1" outlineLevel="1" x14ac:dyDescent="0.3">
      <c r="C189" s="5" t="s">
        <v>180</v>
      </c>
      <c r="D189" s="167" t="s">
        <v>454</v>
      </c>
      <c r="E189" s="26">
        <f>SUM(E181:E188)</f>
        <v>3902.4999999999964</v>
      </c>
      <c r="F189" s="26">
        <f t="shared" ref="F189:G189" si="195">SUM(F181:F188)</f>
        <v>3513.400000000001</v>
      </c>
      <c r="G189" s="26">
        <f t="shared" si="195"/>
        <v>2853.9000000000028</v>
      </c>
      <c r="H189" s="26">
        <f t="shared" ref="H189" si="196">SUM(H181:H188)</f>
        <v>3023.5191700930309</v>
      </c>
      <c r="I189" s="26">
        <f t="shared" ref="I189" si="197">SUM(I181:I188)</f>
        <v>3064.6574328722531</v>
      </c>
      <c r="J189" s="26">
        <f t="shared" ref="J189" si="198">SUM(J181:J188)</f>
        <v>3263.8313822383698</v>
      </c>
      <c r="K189" s="26">
        <f t="shared" ref="K189" si="199">SUM(K181:K188)</f>
        <v>3451.0617461023235</v>
      </c>
      <c r="L189" s="26">
        <f t="shared" ref="L189" si="200">SUM(L181:L188)</f>
        <v>3765.8271064290593</v>
      </c>
      <c r="M189" s="26">
        <f t="shared" ref="M189" si="201">SUM(M181:M188)</f>
        <v>4025.7443067356216</v>
      </c>
      <c r="N189" s="26">
        <f t="shared" ref="N189" si="202">SUM(N181:N188)</f>
        <v>4214.0970327446576</v>
      </c>
      <c r="O189" s="26">
        <f t="shared" ref="O189" si="203">SUM(O181:O188)</f>
        <v>4402.2833526269396</v>
      </c>
      <c r="P189" s="26">
        <f t="shared" ref="P189" si="204">SUM(P181:P188)</f>
        <v>4612.5957330549918</v>
      </c>
      <c r="Q189" s="26">
        <f t="shared" ref="Q189" si="205">SUM(Q181:Q188)</f>
        <v>4766.1469353858929</v>
      </c>
    </row>
    <row r="190" spans="2:17" outlineLevel="1" x14ac:dyDescent="0.3">
      <c r="E190" s="24"/>
      <c r="F190" s="24"/>
      <c r="G190" s="24"/>
    </row>
    <row r="191" spans="2:17" outlineLevel="1" x14ac:dyDescent="0.3">
      <c r="B191" s="35" t="s">
        <v>73</v>
      </c>
      <c r="C191" s="37"/>
      <c r="D191" s="37"/>
      <c r="E191" s="61"/>
      <c r="F191" s="61"/>
      <c r="G191" s="61"/>
      <c r="H191" s="37"/>
      <c r="I191" s="37"/>
      <c r="J191" s="37"/>
      <c r="K191" s="37"/>
      <c r="L191" s="37"/>
      <c r="M191" s="37"/>
      <c r="N191" s="37"/>
      <c r="O191" s="37"/>
      <c r="P191" s="37"/>
      <c r="Q191" s="37"/>
    </row>
    <row r="192" spans="2:17" outlineLevel="1" x14ac:dyDescent="0.3">
      <c r="C192" s="9" t="s">
        <v>181</v>
      </c>
      <c r="D192" s="167" t="s">
        <v>454</v>
      </c>
      <c r="E192" s="150">
        <v>-1630.2</v>
      </c>
      <c r="F192" s="150">
        <v>-1606.5</v>
      </c>
      <c r="G192" s="150">
        <v>-2153.9</v>
      </c>
      <c r="H192" s="24">
        <f t="shared" ref="H192:Q192" si="206">H121*H63</f>
        <v>-1985.4784997189031</v>
      </c>
      <c r="I192" s="24">
        <f t="shared" si="206"/>
        <v>-2072.2978332126381</v>
      </c>
      <c r="J192" s="24">
        <f t="shared" si="206"/>
        <v>-2158.2169681762412</v>
      </c>
      <c r="K192" s="24">
        <f t="shared" si="206"/>
        <v>-2240.9244250337883</v>
      </c>
      <c r="L192" s="24">
        <f t="shared" si="206"/>
        <v>-2316.3101834693184</v>
      </c>
      <c r="M192" s="24">
        <f t="shared" si="206"/>
        <v>-2394.3129944115726</v>
      </c>
      <c r="N192" s="24">
        <f t="shared" si="206"/>
        <v>-2474.1760951533179</v>
      </c>
      <c r="O192" s="24">
        <f t="shared" si="206"/>
        <v>-2554.9994345597438</v>
      </c>
      <c r="P192" s="24">
        <f t="shared" si="206"/>
        <v>-2638.3873341775375</v>
      </c>
      <c r="Q192" s="24">
        <f t="shared" si="206"/>
        <v>-2722.716054425593</v>
      </c>
    </row>
    <row r="193" spans="2:17" outlineLevel="1" x14ac:dyDescent="0.3">
      <c r="C193" s="9" t="s">
        <v>182</v>
      </c>
      <c r="D193" s="167" t="s">
        <v>454</v>
      </c>
      <c r="E193" s="150">
        <v>161.6</v>
      </c>
      <c r="F193" s="150">
        <v>51.9</v>
      </c>
      <c r="G193" s="150">
        <v>195.2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</row>
    <row r="194" spans="2:17" outlineLevel="1" x14ac:dyDescent="0.3">
      <c r="C194" s="9" t="s">
        <v>183</v>
      </c>
      <c r="D194" s="167" t="s">
        <v>454</v>
      </c>
      <c r="E194" s="150">
        <v>-97.9</v>
      </c>
      <c r="F194" s="150">
        <v>-25.4</v>
      </c>
      <c r="G194" s="150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</row>
    <row r="195" spans="2:17" outlineLevel="1" x14ac:dyDescent="0.3">
      <c r="C195" s="22" t="s">
        <v>177</v>
      </c>
      <c r="D195" s="171" t="s">
        <v>454</v>
      </c>
      <c r="E195" s="151">
        <v>-5.5</v>
      </c>
      <c r="F195" s="151">
        <v>41.1</v>
      </c>
      <c r="G195" s="151">
        <v>-18.600000000000001</v>
      </c>
      <c r="H195" s="67">
        <f>AVERAGE(E195:G195)</f>
        <v>5.666666666666667</v>
      </c>
      <c r="I195" s="67">
        <f>H195</f>
        <v>5.666666666666667</v>
      </c>
      <c r="J195" s="67">
        <f t="shared" ref="J195:Q195" si="207">I195</f>
        <v>5.666666666666667</v>
      </c>
      <c r="K195" s="67">
        <f t="shared" si="207"/>
        <v>5.666666666666667</v>
      </c>
      <c r="L195" s="67">
        <f t="shared" si="207"/>
        <v>5.666666666666667</v>
      </c>
      <c r="M195" s="67">
        <f t="shared" si="207"/>
        <v>5.666666666666667</v>
      </c>
      <c r="N195" s="67">
        <f t="shared" si="207"/>
        <v>5.666666666666667</v>
      </c>
      <c r="O195" s="67">
        <f t="shared" si="207"/>
        <v>5.666666666666667</v>
      </c>
      <c r="P195" s="67">
        <f t="shared" si="207"/>
        <v>5.666666666666667</v>
      </c>
      <c r="Q195" s="67">
        <f t="shared" si="207"/>
        <v>5.666666666666667</v>
      </c>
    </row>
    <row r="196" spans="2:17" s="5" customFormat="1" outlineLevel="1" x14ac:dyDescent="0.3">
      <c r="C196" s="5" t="s">
        <v>185</v>
      </c>
      <c r="D196" s="167" t="s">
        <v>454</v>
      </c>
      <c r="E196" s="26">
        <f>SUM(E192:E195)</f>
        <v>-1572.0000000000002</v>
      </c>
      <c r="F196" s="26">
        <f t="shared" ref="F196:G196" si="208">SUM(F192:F195)</f>
        <v>-1538.9</v>
      </c>
      <c r="G196" s="26">
        <f t="shared" si="208"/>
        <v>-1977.3</v>
      </c>
      <c r="H196" s="26">
        <f t="shared" ref="H196" si="209">SUM(H192:H195)</f>
        <v>-1979.8118330522364</v>
      </c>
      <c r="I196" s="26">
        <f t="shared" ref="I196" si="210">SUM(I192:I195)</f>
        <v>-2066.6311665459716</v>
      </c>
      <c r="J196" s="26">
        <f t="shared" ref="J196" si="211">SUM(J192:J195)</f>
        <v>-2152.5503015095746</v>
      </c>
      <c r="K196" s="26">
        <f t="shared" ref="K196" si="212">SUM(K192:K195)</f>
        <v>-2235.2577583671218</v>
      </c>
      <c r="L196" s="26">
        <f t="shared" ref="L196" si="213">SUM(L192:L195)</f>
        <v>-2310.6435168026519</v>
      </c>
      <c r="M196" s="26">
        <f t="shared" ref="M196" si="214">SUM(M192:M195)</f>
        <v>-2388.6463277449061</v>
      </c>
      <c r="N196" s="26">
        <f t="shared" ref="N196" si="215">SUM(N192:N195)</f>
        <v>-2468.5094284866514</v>
      </c>
      <c r="O196" s="26">
        <f t="shared" ref="O196" si="216">SUM(O192:O195)</f>
        <v>-2549.3327678930773</v>
      </c>
      <c r="P196" s="26">
        <f t="shared" ref="P196" si="217">SUM(P192:P195)</f>
        <v>-2632.720667510871</v>
      </c>
      <c r="Q196" s="26">
        <f t="shared" ref="Q196" si="218">SUM(Q192:Q195)</f>
        <v>-2717.0493877589265</v>
      </c>
    </row>
    <row r="197" spans="2:17" outlineLevel="1" x14ac:dyDescent="0.3">
      <c r="D197" s="167"/>
      <c r="E197" s="24"/>
      <c r="F197" s="24"/>
      <c r="G197" s="24"/>
    </row>
    <row r="198" spans="2:17" outlineLevel="1" x14ac:dyDescent="0.3">
      <c r="B198" s="35" t="s">
        <v>74</v>
      </c>
      <c r="C198" s="37"/>
      <c r="D198" s="176"/>
      <c r="E198" s="61"/>
      <c r="F198" s="61"/>
      <c r="G198" s="61"/>
      <c r="H198" s="37"/>
      <c r="I198" s="37"/>
      <c r="J198" s="37"/>
      <c r="K198" s="37"/>
      <c r="L198" s="37"/>
      <c r="M198" s="37"/>
      <c r="N198" s="37"/>
      <c r="O198" s="37"/>
      <c r="P198" s="37"/>
      <c r="Q198" s="37"/>
    </row>
    <row r="199" spans="2:17" outlineLevel="1" x14ac:dyDescent="0.3">
      <c r="C199" s="9" t="s">
        <v>186</v>
      </c>
      <c r="D199" s="167" t="s">
        <v>454</v>
      </c>
      <c r="E199" s="150">
        <v>4094</v>
      </c>
      <c r="F199" s="150">
        <v>0</v>
      </c>
      <c r="G199" s="150">
        <v>2150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</row>
    <row r="200" spans="2:17" outlineLevel="1" x14ac:dyDescent="0.3">
      <c r="C200" s="9" t="s">
        <v>78</v>
      </c>
      <c r="D200" s="167" t="s">
        <v>454</v>
      </c>
      <c r="E200" s="150">
        <v>-4526.5999999999995</v>
      </c>
      <c r="F200" s="150">
        <v>-408.9</v>
      </c>
      <c r="G200" s="150">
        <v>-1222.3999999999999</v>
      </c>
      <c r="H200" s="157">
        <f>H111</f>
        <v>-1050.8874000000001</v>
      </c>
      <c r="I200" s="157">
        <f t="shared" ref="I200:Q200" si="219">I111</f>
        <v>-71.586064399999998</v>
      </c>
      <c r="J200" s="157">
        <f t="shared" si="219"/>
        <v>-61.882787226399998</v>
      </c>
      <c r="K200" s="157">
        <f t="shared" si="219"/>
        <v>-2796.7477626723985</v>
      </c>
      <c r="L200" s="157">
        <f t="shared" si="219"/>
        <v>-1683.8324255156726</v>
      </c>
      <c r="M200" s="157">
        <f t="shared" si="219"/>
        <v>-325.30607707267251</v>
      </c>
      <c r="N200" s="157">
        <f t="shared" si="219"/>
        <v>-322.1384236732099</v>
      </c>
      <c r="O200" s="157">
        <f t="shared" si="219"/>
        <v>-319.29585298625085</v>
      </c>
      <c r="P200" s="157">
        <f t="shared" si="219"/>
        <v>-511.78320645339568</v>
      </c>
      <c r="Q200" s="157">
        <f t="shared" si="219"/>
        <v>-294.44</v>
      </c>
    </row>
    <row r="201" spans="2:17" outlineLevel="1" x14ac:dyDescent="0.3">
      <c r="C201" s="9" t="s">
        <v>187</v>
      </c>
      <c r="D201" s="167" t="s">
        <v>454</v>
      </c>
      <c r="E201" s="150">
        <v>-1881.2</v>
      </c>
      <c r="F201" s="150">
        <v>0</v>
      </c>
      <c r="G201" s="150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</row>
    <row r="202" spans="2:17" outlineLevel="1" x14ac:dyDescent="0.3">
      <c r="C202" s="22" t="s">
        <v>177</v>
      </c>
      <c r="D202" s="171" t="s">
        <v>454</v>
      </c>
      <c r="E202" s="151">
        <v>1271.9999999999993</v>
      </c>
      <c r="F202" s="151">
        <v>-380.6</v>
      </c>
      <c r="G202" s="151">
        <v>-4293</v>
      </c>
      <c r="H202" s="67">
        <f>AVERAGE(E202:F202)</f>
        <v>445.69999999999965</v>
      </c>
      <c r="I202" s="67">
        <f>H202</f>
        <v>445.69999999999965</v>
      </c>
      <c r="J202" s="67">
        <f t="shared" ref="J202:Q202" si="220">I202</f>
        <v>445.69999999999965</v>
      </c>
      <c r="K202" s="67">
        <f t="shared" si="220"/>
        <v>445.69999999999965</v>
      </c>
      <c r="L202" s="67">
        <f t="shared" si="220"/>
        <v>445.69999999999965</v>
      </c>
      <c r="M202" s="67">
        <f t="shared" si="220"/>
        <v>445.69999999999965</v>
      </c>
      <c r="N202" s="67">
        <f t="shared" si="220"/>
        <v>445.69999999999965</v>
      </c>
      <c r="O202" s="67">
        <f t="shared" si="220"/>
        <v>445.69999999999965</v>
      </c>
      <c r="P202" s="67">
        <f t="shared" si="220"/>
        <v>445.69999999999965</v>
      </c>
      <c r="Q202" s="67">
        <f t="shared" si="220"/>
        <v>445.69999999999965</v>
      </c>
    </row>
    <row r="203" spans="2:17" s="5" customFormat="1" outlineLevel="1" x14ac:dyDescent="0.3">
      <c r="C203" s="5" t="s">
        <v>188</v>
      </c>
      <c r="D203" s="167" t="s">
        <v>454</v>
      </c>
      <c r="E203" s="26">
        <f>SUM(E199:E202)</f>
        <v>-1041.8</v>
      </c>
      <c r="F203" s="26">
        <f t="shared" ref="F203:G203" si="221">SUM(F199:F202)</f>
        <v>-789.5</v>
      </c>
      <c r="G203" s="26">
        <f t="shared" si="221"/>
        <v>-3365.3999999999996</v>
      </c>
      <c r="H203" s="26">
        <f t="shared" ref="H203" si="222">SUM(H199:H202)</f>
        <v>-605.18740000000048</v>
      </c>
      <c r="I203" s="26">
        <f t="shared" ref="I203" si="223">SUM(I199:I202)</f>
        <v>374.11393559999965</v>
      </c>
      <c r="J203" s="26">
        <f t="shared" ref="J203" si="224">SUM(J199:J202)</f>
        <v>383.81721277359964</v>
      </c>
      <c r="K203" s="26">
        <f t="shared" ref="K203" si="225">SUM(K199:K202)</f>
        <v>-2351.0477626723987</v>
      </c>
      <c r="L203" s="26">
        <f t="shared" ref="L203" si="226">SUM(L199:L202)</f>
        <v>-1238.132425515673</v>
      </c>
      <c r="M203" s="26">
        <f t="shared" ref="M203" si="227">SUM(M199:M202)</f>
        <v>120.39392292732714</v>
      </c>
      <c r="N203" s="26">
        <f t="shared" ref="N203" si="228">SUM(N199:N202)</f>
        <v>123.56157632678975</v>
      </c>
      <c r="O203" s="26">
        <f t="shared" ref="O203" si="229">SUM(O199:O202)</f>
        <v>126.4041470137488</v>
      </c>
      <c r="P203" s="26">
        <f t="shared" ref="P203" si="230">SUM(P199:P202)</f>
        <v>-66.083206453396031</v>
      </c>
      <c r="Q203" s="26">
        <f t="shared" ref="Q203" si="231">SUM(Q199:Q202)</f>
        <v>151.25999999999965</v>
      </c>
    </row>
    <row r="204" spans="2:17" outlineLevel="1" x14ac:dyDescent="0.3">
      <c r="D204" s="167"/>
    </row>
    <row r="205" spans="2:17" s="5" customFormat="1" outlineLevel="1" x14ac:dyDescent="0.3">
      <c r="C205" s="5" t="s">
        <v>190</v>
      </c>
      <c r="D205" s="167" t="s">
        <v>454</v>
      </c>
      <c r="E205" s="28">
        <f>E203+E196+E189</f>
        <v>1288.6999999999962</v>
      </c>
      <c r="F205" s="28">
        <f t="shared" ref="F205:Q205" si="232">F203+F196+F189</f>
        <v>1185.0000000000009</v>
      </c>
      <c r="G205" s="28">
        <f t="shared" si="232"/>
        <v>-2488.799999999997</v>
      </c>
      <c r="H205" s="28">
        <f t="shared" si="232"/>
        <v>438.51993704079405</v>
      </c>
      <c r="I205" s="28">
        <f t="shared" si="232"/>
        <v>1372.1402019262812</v>
      </c>
      <c r="J205" s="28">
        <f t="shared" si="232"/>
        <v>1495.0982935023949</v>
      </c>
      <c r="K205" s="28">
        <f t="shared" si="232"/>
        <v>-1135.243774937197</v>
      </c>
      <c r="L205" s="28">
        <f t="shared" si="232"/>
        <v>217.05116411073413</v>
      </c>
      <c r="M205" s="28">
        <f t="shared" si="232"/>
        <v>1757.4919019180425</v>
      </c>
      <c r="N205" s="28">
        <f t="shared" si="232"/>
        <v>1869.1491805847959</v>
      </c>
      <c r="O205" s="28">
        <f t="shared" si="232"/>
        <v>1979.3547317476114</v>
      </c>
      <c r="P205" s="28">
        <f t="shared" si="232"/>
        <v>1913.7918590907248</v>
      </c>
      <c r="Q205" s="28">
        <f t="shared" si="232"/>
        <v>2200.3575476269662</v>
      </c>
    </row>
  </sheetData>
  <pageMargins left="0.7" right="0.7" top="0.75" bottom="0.75" header="0.3" footer="0.3"/>
  <ignoredErrors>
    <ignoredError sqref="H20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Cover_Page</vt:lpstr>
      <vt:lpstr>Merger_Model</vt:lpstr>
      <vt:lpstr>Combined_BS</vt:lpstr>
      <vt:lpstr>Synergies</vt:lpstr>
      <vt:lpstr>Kroger_Financial_Model</vt:lpstr>
      <vt:lpstr>Albertsons_Financial_Model</vt:lpstr>
      <vt:lpstr>Albertsons_Diluted_Share_Counts</vt:lpstr>
      <vt:lpstr>Albertsons_Finance_Lease_Discount_Rate</vt:lpstr>
      <vt:lpstr>Albertsons_Operating_Lease_Discount_Rate</vt:lpstr>
      <vt:lpstr>Albertsons_Price</vt:lpstr>
      <vt:lpstr>Albertsons_Tax_Rate</vt:lpstr>
      <vt:lpstr>Expense_Synergy_Factor</vt:lpstr>
      <vt:lpstr>Kroger_Conversion_Factor</vt:lpstr>
      <vt:lpstr>Kroger_Operating_Lease_Discount_Rate</vt:lpstr>
      <vt:lpstr>Kroger_Price</vt:lpstr>
      <vt:lpstr>Kroger_Shares</vt:lpstr>
      <vt:lpstr>Kroger_Tax_Rate</vt:lpstr>
      <vt:lpstr>Kroger_Ticker</vt:lpstr>
      <vt:lpstr>OpEx_Synergy?</vt:lpstr>
      <vt:lpstr>Rev_Synergy_Factor</vt:lpstr>
      <vt:lpstr>Revenue_Synergy?</vt:lpstr>
      <vt:lpstr>The_Kroger_Co.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cp:lastPrinted>2023-08-19T15:43:44Z</cp:lastPrinted>
  <dcterms:created xsi:type="dcterms:W3CDTF">2015-06-05T18:17:20Z</dcterms:created>
  <dcterms:modified xsi:type="dcterms:W3CDTF">2023-08-24T17:03:58Z</dcterms:modified>
</cp:coreProperties>
</file>