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Financial Modelling\LULU Aritzia Hypothetical M&amp;A\"/>
    </mc:Choice>
  </mc:AlternateContent>
  <xr:revisionPtr revIDLastSave="0" documentId="13_ncr:1_{4B7D7022-C956-45B8-9E7C-6D41F00F7A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rger_Model" sheetId="1" r:id="rId1"/>
    <sheet name="Synergy" sheetId="2" r:id="rId2"/>
    <sheet name="LULU_Financial" sheetId="5" r:id="rId3"/>
    <sheet name="Aritzia_Financial" sheetId="6" r:id="rId4"/>
    <sheet name="Aritzia_DCF" sheetId="7" r:id="rId5"/>
    <sheet name="LULU_DCF" sheetId="9" r:id="rId6"/>
  </sheets>
  <externalReferences>
    <externalReference r:id="rId7"/>
    <externalReference r:id="rId8"/>
  </externalReferences>
  <definedNames>
    <definedName name="Acquier_Ticker">LULU_Financial!$D$5</definedName>
    <definedName name="Acquirer_Name">LULU_Financial!$D$4</definedName>
    <definedName name="Acquirer_Price">LULU_Financial!$D$8</definedName>
    <definedName name="ARITZIA_PRICE_CAD">Aritzia_Financial!$D$8</definedName>
    <definedName name="ARITZIA_SHARE_NUMBER">Aritzia_Financial!$D$9</definedName>
    <definedName name="CAD_to_USD">Aritzia_Financial!$D$10</definedName>
    <definedName name="Capital_Struture?" localSheetId="5">[1]Financial_Model!#REF!</definedName>
    <definedName name="Capital_Struture?" localSheetId="2">LULU_Financial!#REF!</definedName>
    <definedName name="Capital_Struture?">#REF!</definedName>
    <definedName name="Cases" localSheetId="4">[2]Financial_Model!$D$12</definedName>
    <definedName name="Cases" localSheetId="3">Aritzia_Financial!$D$12</definedName>
    <definedName name="Cases" localSheetId="5">[1]Financial_Model!$D$12</definedName>
    <definedName name="Cases" localSheetId="2">LULU_Financial!$D$12</definedName>
    <definedName name="Cases">#REF!</definedName>
    <definedName name="Cash" localSheetId="4">[2]Financial_Model!$G$89</definedName>
    <definedName name="Cash">Aritzia_Financial!$G$89</definedName>
    <definedName name="Company_Name" localSheetId="4">[2]Financial_Model!$D$4</definedName>
    <definedName name="Company_Name" localSheetId="3">Aritzia_Financial!$D$4</definedName>
    <definedName name="Company_Name" localSheetId="5">[1]Financial_Model!$D$4</definedName>
    <definedName name="Company_Name" localSheetId="2">LULU_Financial!$D$4</definedName>
    <definedName name="Company_Name">#REF!</definedName>
    <definedName name="Company_Store_per_Total_Sale" localSheetId="5">[1]Financial_Model!$I$6</definedName>
    <definedName name="Company_Store_per_Total_Sale" localSheetId="2">LULU_Financial!$I$6</definedName>
    <definedName name="Company_Store_per_Total_Sale">#REF!</definedName>
    <definedName name="Conversion_Unit" localSheetId="4">[2]Financial_Model!$D$7</definedName>
    <definedName name="Conversion_Unit" localSheetId="3">Aritzia_Financial!$D$7</definedName>
    <definedName name="Conversion_Unit" localSheetId="5">[1]Financial_Model!$D$7</definedName>
    <definedName name="Conversion_Unit" localSheetId="2">LULU_Financial!$D$7</definedName>
    <definedName name="Conversion_Unit">#REF!</definedName>
    <definedName name="Current_Cash" localSheetId="5">[1]Financial_Model!$I$131</definedName>
    <definedName name="Current_Cash" localSheetId="2">LULU_Financial!$I$133</definedName>
    <definedName name="Current_Cash">#REF!</definedName>
    <definedName name="Debt_Increase?" localSheetId="5">[1]Financial_Model!#REF!</definedName>
    <definedName name="Debt_Increase?" localSheetId="2">LULU_Financial!#REF!</definedName>
    <definedName name="Debt_Increase?">#REF!</definedName>
    <definedName name="Diluted_Share_Counts" localSheetId="3">Aritzia_Financial!$D$9</definedName>
    <definedName name="Diluted_Share_Counts" localSheetId="5">[1]Financial_Model!$D$9</definedName>
    <definedName name="Diluted_Share_Counts" localSheetId="2">LULU_Financial!$D$9</definedName>
    <definedName name="Diluted_Share_Counts">#REF!</definedName>
    <definedName name="Direct_per_total_sale" localSheetId="5">[1]Financial_Model!$I$7</definedName>
    <definedName name="Direct_per_total_sale" localSheetId="2">LULU_Financial!$I$7</definedName>
    <definedName name="Direct_per_total_sale">#REF!</definedName>
    <definedName name="Equity_Purchase_Price">Merger_Model!$E$18</definedName>
    <definedName name="Excahnge_Rate" localSheetId="4">[2]Financial_Model!$D$10</definedName>
    <definedName name="Excahnge_Rate">Aritzia_Financial!$D$10</definedName>
    <definedName name="Exchange_Rate" localSheetId="4">[2]Financial_Model!$D$10</definedName>
    <definedName name="Exchange_Rate" localSheetId="3">Aritzia_Financial!$D$10</definedName>
    <definedName name="Exchange_Rate" localSheetId="5">[1]Financial_Model!$D$10</definedName>
    <definedName name="Exchange_Rate" localSheetId="2">LULU_Financial!$D$10</definedName>
    <definedName name="Exchange_Rate">#REF!</definedName>
    <definedName name="Lease_Discount_Rate" localSheetId="5">[1]Financial_Model!$I$4</definedName>
    <definedName name="Lease_Discount_Rate" localSheetId="2">LULU_Financial!$I$4</definedName>
    <definedName name="Lease_Discount_Rate">#REF!</definedName>
    <definedName name="LULU_PRICE">LULU_Financial!$D$8</definedName>
    <definedName name="LULU_SHARE_COUNT">LULU_Financial!$D$9</definedName>
    <definedName name="LULU_SHARES_NUMBER">LULU_Financial!$D$9</definedName>
    <definedName name="LULU_TAX_RATE">LULU_Financial!$D$6</definedName>
    <definedName name="Rest_world_Growth" localSheetId="5">[1]Financial_Model!$I$5</definedName>
    <definedName name="Rest_world_Growth" localSheetId="2">LULU_Financial!$I$5</definedName>
    <definedName name="Rest_world_Growth">#REF!</definedName>
    <definedName name="Share_Price" localSheetId="4">[2]Financial_Model!$D$8</definedName>
    <definedName name="Share_Price" localSheetId="3">Aritzia_Financial!$D$8</definedName>
    <definedName name="Share_Price" localSheetId="5">[1]Financial_Model!$D$8</definedName>
    <definedName name="Share_Price" localSheetId="2">LULU_Financial!$D$8</definedName>
    <definedName name="Share_Price">#REF!</definedName>
    <definedName name="Tax_Rate" localSheetId="4">[2]Financial_Model!$D$6</definedName>
    <definedName name="Tax_Rate" localSheetId="3">Aritzia_Financial!$D$6</definedName>
    <definedName name="Tax_Rate" localSheetId="5">[1]Financial_Model!$D$6</definedName>
    <definedName name="Tax_Rate" localSheetId="2">LULU_Financial!$D$6</definedName>
    <definedName name="Tax_Rate">#REF!</definedName>
    <definedName name="Ticker" localSheetId="4">[2]Financial_Model!$D$5</definedName>
    <definedName name="Ticker" localSheetId="3">Aritzia_Financial!$D$5</definedName>
    <definedName name="Ticker" localSheetId="5">[1]Financial_Model!$D$5</definedName>
    <definedName name="Ticker" localSheetId="2">LULU_Financial!$D$5</definedName>
    <definedName name="Ticker">#REF!</definedName>
    <definedName name="US_GDP_Growth_Rate" localSheetId="3">Aritzia_Financial!$D$13</definedName>
    <definedName name="US_GDP_Growth_Rate" localSheetId="5">[1]Financial_Model!$D$13</definedName>
    <definedName name="US_GDP_Growth_Rate" localSheetId="2">LULU_Financial!$D$13</definedName>
    <definedName name="US_GDP_Growth_Rate">#REF!</definedName>
    <definedName name="US_Inflation_Rate" localSheetId="3">Aritzia_Financial!$D$14</definedName>
    <definedName name="US_Inflation_Rate" localSheetId="5">[1]Financial_Model!$D$14</definedName>
    <definedName name="US_Inflation_Rate" localSheetId="2">LULU_Financial!$D$14</definedName>
    <definedName name="US_Inflation_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0" i="1" l="1"/>
  <c r="J194" i="1"/>
  <c r="J216" i="1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Q21" i="9"/>
  <c r="Q22" i="9" s="1"/>
  <c r="Q23" i="9" s="1"/>
  <c r="Q28" i="9" s="1"/>
  <c r="Q5" i="9" s="1"/>
  <c r="P21" i="9"/>
  <c r="P22" i="9" s="1"/>
  <c r="P23" i="9" s="1"/>
  <c r="P28" i="9" s="1"/>
  <c r="O21" i="9"/>
  <c r="O22" i="9" s="1"/>
  <c r="O23" i="9" s="1"/>
  <c r="O28" i="9" s="1"/>
  <c r="N21" i="9"/>
  <c r="N30" i="9" s="1"/>
  <c r="M21" i="9"/>
  <c r="M30" i="9" s="1"/>
  <c r="L21" i="9"/>
  <c r="L30" i="9" s="1"/>
  <c r="K21" i="9"/>
  <c r="K30" i="9" s="1"/>
  <c r="J21" i="9"/>
  <c r="J30" i="9" s="1"/>
  <c r="I21" i="9"/>
  <c r="I22" i="9" s="1"/>
  <c r="I23" i="9" s="1"/>
  <c r="I28" i="9" s="1"/>
  <c r="H21" i="9"/>
  <c r="H30" i="9" s="1"/>
  <c r="G21" i="9"/>
  <c r="G22" i="9" s="1"/>
  <c r="G23" i="9" s="1"/>
  <c r="G28" i="9" s="1"/>
  <c r="F21" i="9"/>
  <c r="F30" i="9" s="1"/>
  <c r="E21" i="9"/>
  <c r="E30" i="9" s="1"/>
  <c r="E20" i="9"/>
  <c r="F20" i="9" s="1"/>
  <c r="G20" i="9" s="1"/>
  <c r="H20" i="9" s="1"/>
  <c r="D14" i="9"/>
  <c r="Q11" i="9"/>
  <c r="L11" i="9"/>
  <c r="D9" i="9"/>
  <c r="D8" i="9"/>
  <c r="D7" i="9"/>
  <c r="D6" i="9"/>
  <c r="D12" i="9" s="1"/>
  <c r="D16" i="9" s="1"/>
  <c r="D5" i="9"/>
  <c r="D4" i="9"/>
  <c r="D3" i="9"/>
  <c r="J22" i="9" l="1"/>
  <c r="J23" i="9" s="1"/>
  <c r="J28" i="9" s="1"/>
  <c r="K22" i="9"/>
  <c r="K23" i="9" s="1"/>
  <c r="K28" i="9" s="1"/>
  <c r="L22" i="9"/>
  <c r="L23" i="9" s="1"/>
  <c r="L28" i="9" s="1"/>
  <c r="I20" i="9"/>
  <c r="J20" i="9" s="1"/>
  <c r="K20" i="9" s="1"/>
  <c r="L20" i="9" s="1"/>
  <c r="M20" i="9" s="1"/>
  <c r="N20" i="9" s="1"/>
  <c r="O20" i="9" s="1"/>
  <c r="P20" i="9" s="1"/>
  <c r="Q20" i="9" s="1"/>
  <c r="H32" i="9"/>
  <c r="I30" i="9"/>
  <c r="Q30" i="9"/>
  <c r="L5" i="9" s="1"/>
  <c r="G30" i="9"/>
  <c r="E22" i="9"/>
  <c r="E23" i="9" s="1"/>
  <c r="E28" i="9" s="1"/>
  <c r="M22" i="9"/>
  <c r="M23" i="9" s="1"/>
  <c r="M28" i="9" s="1"/>
  <c r="O30" i="9"/>
  <c r="F22" i="9"/>
  <c r="F23" i="9" s="1"/>
  <c r="F28" i="9" s="1"/>
  <c r="N22" i="9"/>
  <c r="N23" i="9" s="1"/>
  <c r="N28" i="9" s="1"/>
  <c r="P30" i="9"/>
  <c r="H22" i="9"/>
  <c r="H23" i="9" s="1"/>
  <c r="H28" i="9" s="1"/>
  <c r="H33" i="9" l="1"/>
  <c r="I32" i="9"/>
  <c r="I33" i="9" l="1"/>
  <c r="J32" i="9"/>
  <c r="J33" i="9" l="1"/>
  <c r="K32" i="9"/>
  <c r="L32" i="9" l="1"/>
  <c r="K33" i="9"/>
  <c r="L33" i="9" l="1"/>
  <c r="M32" i="9"/>
  <c r="N32" i="9" l="1"/>
  <c r="M33" i="9"/>
  <c r="N33" i="9" l="1"/>
  <c r="O32" i="9"/>
  <c r="O33" i="9" l="1"/>
  <c r="P32" i="9"/>
  <c r="P33" i="9" l="1"/>
  <c r="Q32" i="9"/>
  <c r="Q33" i="9" s="1"/>
  <c r="Q8" i="9" l="1"/>
  <c r="L8" i="9"/>
  <c r="G35" i="9"/>
  <c r="L7" i="9" s="1"/>
  <c r="Q7" i="9" s="1"/>
  <c r="L10" i="9" l="1"/>
  <c r="L13" i="9" s="1"/>
  <c r="L14" i="9" s="1"/>
  <c r="L15" i="9" s="1"/>
  <c r="Q10" i="9"/>
  <c r="Q13" i="9" s="1"/>
  <c r="Q14" i="9" s="1"/>
  <c r="Q15" i="9" s="1"/>
  <c r="D11" i="7" l="1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M21" i="7"/>
  <c r="M22" i="7" s="1"/>
  <c r="E21" i="7"/>
  <c r="E22" i="7" s="1"/>
  <c r="Q20" i="7"/>
  <c r="Q21" i="7" s="1"/>
  <c r="Q22" i="7" s="1"/>
  <c r="Q28" i="7" s="1"/>
  <c r="P20" i="7"/>
  <c r="P21" i="7" s="1"/>
  <c r="P22" i="7" s="1"/>
  <c r="P28" i="7" s="1"/>
  <c r="O20" i="7"/>
  <c r="O21" i="7" s="1"/>
  <c r="O22" i="7" s="1"/>
  <c r="N20" i="7"/>
  <c r="N30" i="7" s="1"/>
  <c r="M20" i="7"/>
  <c r="L20" i="7"/>
  <c r="L30" i="7" s="1"/>
  <c r="K20" i="7"/>
  <c r="J20" i="7"/>
  <c r="I20" i="7"/>
  <c r="I21" i="7" s="1"/>
  <c r="I22" i="7" s="1"/>
  <c r="I28" i="7" s="1"/>
  <c r="H20" i="7"/>
  <c r="H21" i="7" s="1"/>
  <c r="H22" i="7" s="1"/>
  <c r="H28" i="7" s="1"/>
  <c r="G20" i="7"/>
  <c r="G21" i="7" s="1"/>
  <c r="G22" i="7" s="1"/>
  <c r="F20" i="7"/>
  <c r="F30" i="7" s="1"/>
  <c r="E20" i="7"/>
  <c r="E19" i="7"/>
  <c r="F19" i="7" s="1"/>
  <c r="G19" i="7" s="1"/>
  <c r="H19" i="7" s="1"/>
  <c r="D14" i="7"/>
  <c r="D13" i="7"/>
  <c r="D16" i="7" s="1"/>
  <c r="Q11" i="7"/>
  <c r="L11" i="7"/>
  <c r="D9" i="7"/>
  <c r="D8" i="7"/>
  <c r="D6" i="7"/>
  <c r="D5" i="7"/>
  <c r="D4" i="7"/>
  <c r="D3" i="7"/>
  <c r="G225" i="1"/>
  <c r="F225" i="1"/>
  <c r="E225" i="1"/>
  <c r="D12" i="6"/>
  <c r="D12" i="5"/>
  <c r="I150" i="1"/>
  <c r="I149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E144" i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80" i="1" s="1"/>
  <c r="J120" i="1"/>
  <c r="K120" i="1"/>
  <c r="L120" i="1"/>
  <c r="M120" i="1"/>
  <c r="N120" i="1"/>
  <c r="O120" i="1"/>
  <c r="P120" i="1"/>
  <c r="Q120" i="1"/>
  <c r="I120" i="1"/>
  <c r="J52" i="1"/>
  <c r="K52" i="1"/>
  <c r="L52" i="1"/>
  <c r="M52" i="1"/>
  <c r="N52" i="1"/>
  <c r="O52" i="1"/>
  <c r="P52" i="1"/>
  <c r="Q52" i="1"/>
  <c r="I52" i="1"/>
  <c r="J51" i="1"/>
  <c r="K51" i="1"/>
  <c r="L51" i="1"/>
  <c r="M51" i="1"/>
  <c r="N51" i="1"/>
  <c r="O51" i="1"/>
  <c r="P51" i="1"/>
  <c r="Q51" i="1"/>
  <c r="I51" i="1"/>
  <c r="J42" i="1"/>
  <c r="K42" i="1"/>
  <c r="L42" i="1"/>
  <c r="M42" i="1"/>
  <c r="N42" i="1"/>
  <c r="O42" i="1"/>
  <c r="P42" i="1"/>
  <c r="Q42" i="1"/>
  <c r="I42" i="1"/>
  <c r="J30" i="7" l="1"/>
  <c r="K30" i="7"/>
  <c r="M28" i="7"/>
  <c r="E28" i="7"/>
  <c r="E30" i="7"/>
  <c r="M30" i="7"/>
  <c r="G28" i="7"/>
  <c r="O28" i="7"/>
  <c r="Q5" i="7"/>
  <c r="H32" i="7"/>
  <c r="H33" i="7" s="1"/>
  <c r="I19" i="7"/>
  <c r="J19" i="7" s="1"/>
  <c r="K19" i="7" s="1"/>
  <c r="L19" i="7" s="1"/>
  <c r="M19" i="7" s="1"/>
  <c r="N19" i="7" s="1"/>
  <c r="O19" i="7" s="1"/>
  <c r="P19" i="7" s="1"/>
  <c r="Q19" i="7" s="1"/>
  <c r="J21" i="7"/>
  <c r="J22" i="7" s="1"/>
  <c r="J28" i="7" s="1"/>
  <c r="G30" i="7"/>
  <c r="O30" i="7"/>
  <c r="K21" i="7"/>
  <c r="K22" i="7" s="1"/>
  <c r="K28" i="7" s="1"/>
  <c r="H30" i="7"/>
  <c r="P30" i="7"/>
  <c r="L21" i="7"/>
  <c r="L22" i="7" s="1"/>
  <c r="L28" i="7" s="1"/>
  <c r="I30" i="7"/>
  <c r="Q30" i="7"/>
  <c r="L5" i="7" s="1"/>
  <c r="F21" i="7"/>
  <c r="F22" i="7" s="1"/>
  <c r="F28" i="7" s="1"/>
  <c r="N21" i="7"/>
  <c r="N22" i="7" s="1"/>
  <c r="N28" i="7" s="1"/>
  <c r="Q180" i="1"/>
  <c r="J180" i="1"/>
  <c r="P180" i="1"/>
  <c r="K180" i="1"/>
  <c r="O180" i="1"/>
  <c r="N180" i="1"/>
  <c r="M180" i="1"/>
  <c r="L180" i="1"/>
  <c r="E180" i="1"/>
  <c r="F180" i="1"/>
  <c r="I180" i="1"/>
  <c r="I32" i="7" l="1"/>
  <c r="J33" i="1"/>
  <c r="K33" i="1"/>
  <c r="L33" i="1"/>
  <c r="M33" i="1"/>
  <c r="N33" i="1"/>
  <c r="O33" i="1"/>
  <c r="P33" i="1"/>
  <c r="Q33" i="1"/>
  <c r="I33" i="1"/>
  <c r="D30" i="1"/>
  <c r="C16" i="2"/>
  <c r="D16" i="2"/>
  <c r="E16" i="2"/>
  <c r="F16" i="2"/>
  <c r="G16" i="2"/>
  <c r="H16" i="2"/>
  <c r="I16" i="2"/>
  <c r="J16" i="2"/>
  <c r="B16" i="2"/>
  <c r="P28" i="1"/>
  <c r="J32" i="7" l="1"/>
  <c r="I33" i="7"/>
  <c r="J6" i="2"/>
  <c r="I6" i="2"/>
  <c r="E6" i="2"/>
  <c r="F6" i="2"/>
  <c r="G6" i="2" s="1"/>
  <c r="H6" i="2" s="1"/>
  <c r="D6" i="2"/>
  <c r="E101" i="1"/>
  <c r="E30" i="1" s="1"/>
  <c r="K32" i="7" l="1"/>
  <c r="J33" i="7"/>
  <c r="F101" i="1"/>
  <c r="F30" i="1" s="1"/>
  <c r="L32" i="7" l="1"/>
  <c r="K33" i="7"/>
  <c r="G101" i="1"/>
  <c r="G30" i="1" s="1"/>
  <c r="M32" i="7" l="1"/>
  <c r="L33" i="7"/>
  <c r="H101" i="1"/>
  <c r="H30" i="1" s="1"/>
  <c r="D11" i="1"/>
  <c r="D10" i="1"/>
  <c r="D9" i="1"/>
  <c r="D18" i="1" s="1"/>
  <c r="N32" i="7" l="1"/>
  <c r="M33" i="7"/>
  <c r="I101" i="1"/>
  <c r="I30" i="1" s="1"/>
  <c r="D19" i="1"/>
  <c r="D20" i="1" s="1"/>
  <c r="N78" i="1" s="1"/>
  <c r="D13" i="1"/>
  <c r="G231" i="6"/>
  <c r="F231" i="6"/>
  <c r="E231" i="6"/>
  <c r="Q230" i="6"/>
  <c r="P230" i="6"/>
  <c r="O230" i="6"/>
  <c r="N230" i="6"/>
  <c r="M230" i="6"/>
  <c r="L230" i="6"/>
  <c r="K230" i="6"/>
  <c r="J230" i="6"/>
  <c r="I230" i="6"/>
  <c r="H230" i="6"/>
  <c r="G230" i="6"/>
  <c r="F230" i="6"/>
  <c r="E230" i="6"/>
  <c r="Q229" i="6"/>
  <c r="P229" i="6"/>
  <c r="O229" i="6"/>
  <c r="N229" i="6"/>
  <c r="M229" i="6"/>
  <c r="L229" i="6"/>
  <c r="K229" i="6"/>
  <c r="J229" i="6"/>
  <c r="I229" i="6"/>
  <c r="H229" i="6"/>
  <c r="G229" i="6"/>
  <c r="F229" i="6"/>
  <c r="E229" i="6"/>
  <c r="Q225" i="6"/>
  <c r="Q165" i="1" s="1"/>
  <c r="P225" i="6"/>
  <c r="P165" i="1" s="1"/>
  <c r="O225" i="6"/>
  <c r="O165" i="1" s="1"/>
  <c r="N225" i="6"/>
  <c r="N165" i="1" s="1"/>
  <c r="M225" i="6"/>
  <c r="M165" i="1" s="1"/>
  <c r="L225" i="6"/>
  <c r="L165" i="1" s="1"/>
  <c r="K225" i="6"/>
  <c r="K165" i="1" s="1"/>
  <c r="J225" i="6"/>
  <c r="J165" i="1" s="1"/>
  <c r="I225" i="6"/>
  <c r="I165" i="1" s="1"/>
  <c r="H225" i="6"/>
  <c r="G225" i="6"/>
  <c r="F225" i="6"/>
  <c r="E225" i="6"/>
  <c r="G224" i="6"/>
  <c r="F224" i="6"/>
  <c r="E224" i="6"/>
  <c r="G223" i="6"/>
  <c r="F223" i="6"/>
  <c r="E223" i="6"/>
  <c r="G219" i="6"/>
  <c r="F219" i="6"/>
  <c r="E219" i="6"/>
  <c r="G218" i="6"/>
  <c r="F218" i="6"/>
  <c r="E218" i="6"/>
  <c r="G217" i="6"/>
  <c r="F217" i="6"/>
  <c r="E217" i="6"/>
  <c r="G216" i="6"/>
  <c r="F216" i="6"/>
  <c r="E216" i="6"/>
  <c r="G215" i="6"/>
  <c r="F215" i="6"/>
  <c r="E215" i="6"/>
  <c r="G213" i="6"/>
  <c r="F213" i="6"/>
  <c r="E213" i="6"/>
  <c r="E211" i="6"/>
  <c r="F211" i="6" s="1"/>
  <c r="G211" i="6" s="1"/>
  <c r="H211" i="6" s="1"/>
  <c r="I211" i="6" s="1"/>
  <c r="J211" i="6" s="1"/>
  <c r="K211" i="6" s="1"/>
  <c r="L211" i="6" s="1"/>
  <c r="M211" i="6" s="1"/>
  <c r="N211" i="6" s="1"/>
  <c r="O211" i="6" s="1"/>
  <c r="P211" i="6" s="1"/>
  <c r="Q211" i="6" s="1"/>
  <c r="G204" i="6"/>
  <c r="F204" i="6"/>
  <c r="E204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4" i="6"/>
  <c r="F194" i="6"/>
  <c r="E194" i="6"/>
  <c r="G193" i="6"/>
  <c r="F193" i="6"/>
  <c r="E193" i="6"/>
  <c r="G192" i="6"/>
  <c r="F192" i="6"/>
  <c r="E192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E171" i="6"/>
  <c r="F171" i="6" s="1"/>
  <c r="G171" i="6" s="1"/>
  <c r="H171" i="6" s="1"/>
  <c r="I171" i="6" s="1"/>
  <c r="J171" i="6" s="1"/>
  <c r="K171" i="6" s="1"/>
  <c r="L171" i="6" s="1"/>
  <c r="M171" i="6" s="1"/>
  <c r="N171" i="6" s="1"/>
  <c r="O171" i="6" s="1"/>
  <c r="P171" i="6" s="1"/>
  <c r="Q171" i="6" s="1"/>
  <c r="G165" i="6"/>
  <c r="F165" i="6"/>
  <c r="E165" i="6"/>
  <c r="G163" i="6"/>
  <c r="F163" i="6"/>
  <c r="E163" i="6"/>
  <c r="G160" i="6"/>
  <c r="F160" i="6"/>
  <c r="E160" i="6"/>
  <c r="G159" i="6"/>
  <c r="F159" i="6"/>
  <c r="E159" i="6"/>
  <c r="G158" i="6"/>
  <c r="F158" i="6"/>
  <c r="E158" i="6"/>
  <c r="G155" i="6"/>
  <c r="F155" i="6"/>
  <c r="E155" i="6"/>
  <c r="G154" i="6"/>
  <c r="F154" i="6"/>
  <c r="E154" i="6"/>
  <c r="E153" i="6"/>
  <c r="F153" i="6" s="1"/>
  <c r="G153" i="6" s="1"/>
  <c r="H153" i="6" s="1"/>
  <c r="I153" i="6" s="1"/>
  <c r="J153" i="6" s="1"/>
  <c r="K153" i="6" s="1"/>
  <c r="L153" i="6" s="1"/>
  <c r="M153" i="6" s="1"/>
  <c r="N153" i="6" s="1"/>
  <c r="O153" i="6" s="1"/>
  <c r="P153" i="6" s="1"/>
  <c r="Q153" i="6" s="1"/>
  <c r="G147" i="6"/>
  <c r="F147" i="6"/>
  <c r="E147" i="6"/>
  <c r="H146" i="6"/>
  <c r="I146" i="6" s="1"/>
  <c r="G141" i="6"/>
  <c r="G226" i="6" s="1"/>
  <c r="F141" i="6"/>
  <c r="F226" i="6" s="1"/>
  <c r="E141" i="6"/>
  <c r="E226" i="6" s="1"/>
  <c r="H139" i="6"/>
  <c r="H224" i="6" s="1"/>
  <c r="G135" i="6"/>
  <c r="G220" i="6" s="1"/>
  <c r="F135" i="6"/>
  <c r="F220" i="6" s="1"/>
  <c r="E135" i="6"/>
  <c r="E220" i="6" s="1"/>
  <c r="H133" i="6"/>
  <c r="H116" i="6" s="1"/>
  <c r="H201" i="6" s="1"/>
  <c r="F213" i="1" s="1"/>
  <c r="F126" i="6"/>
  <c r="G126" i="6" s="1"/>
  <c r="H126" i="6" s="1"/>
  <c r="I126" i="6" s="1"/>
  <c r="J126" i="6" s="1"/>
  <c r="K126" i="6" s="1"/>
  <c r="L126" i="6" s="1"/>
  <c r="M126" i="6" s="1"/>
  <c r="N126" i="6" s="1"/>
  <c r="O126" i="6" s="1"/>
  <c r="P126" i="6" s="1"/>
  <c r="Q126" i="6" s="1"/>
  <c r="E126" i="6"/>
  <c r="G117" i="6"/>
  <c r="F117" i="6"/>
  <c r="F202" i="6" s="1"/>
  <c r="E117" i="6"/>
  <c r="E202" i="6" s="1"/>
  <c r="Q115" i="6"/>
  <c r="Q200" i="6" s="1"/>
  <c r="P115" i="6"/>
  <c r="P200" i="6" s="1"/>
  <c r="O115" i="6"/>
  <c r="O200" i="6" s="1"/>
  <c r="N115" i="6"/>
  <c r="N200" i="6" s="1"/>
  <c r="M115" i="6"/>
  <c r="M200" i="6" s="1"/>
  <c r="L115" i="6"/>
  <c r="L200" i="6" s="1"/>
  <c r="K115" i="6"/>
  <c r="K200" i="6" s="1"/>
  <c r="J115" i="6"/>
  <c r="J200" i="6" s="1"/>
  <c r="I115" i="6"/>
  <c r="I200" i="6" s="1"/>
  <c r="H115" i="6"/>
  <c r="H200" i="6" s="1"/>
  <c r="G110" i="6"/>
  <c r="G195" i="6" s="1"/>
  <c r="F110" i="6"/>
  <c r="F195" i="6" s="1"/>
  <c r="E110" i="6"/>
  <c r="E195" i="6" s="1"/>
  <c r="G101" i="6"/>
  <c r="G186" i="6" s="1"/>
  <c r="F101" i="6"/>
  <c r="F186" i="6" s="1"/>
  <c r="E101" i="6"/>
  <c r="E186" i="6" s="1"/>
  <c r="H100" i="6"/>
  <c r="H185" i="6" s="1"/>
  <c r="F195" i="1" s="1"/>
  <c r="H98" i="6"/>
  <c r="I98" i="6" s="1"/>
  <c r="I183" i="6" s="1"/>
  <c r="G93" i="6"/>
  <c r="F93" i="6"/>
  <c r="F178" i="6" s="1"/>
  <c r="E93" i="6"/>
  <c r="E178" i="6" s="1"/>
  <c r="E86" i="6"/>
  <c r="F86" i="6" s="1"/>
  <c r="G86" i="6" s="1"/>
  <c r="H86" i="6" s="1"/>
  <c r="I86" i="6" s="1"/>
  <c r="J86" i="6" s="1"/>
  <c r="K86" i="6" s="1"/>
  <c r="L86" i="6" s="1"/>
  <c r="M86" i="6" s="1"/>
  <c r="N86" i="6" s="1"/>
  <c r="O86" i="6" s="1"/>
  <c r="P86" i="6" s="1"/>
  <c r="Q86" i="6" s="1"/>
  <c r="H80" i="6"/>
  <c r="H163" i="6" s="1"/>
  <c r="G73" i="6"/>
  <c r="G156" i="6" s="1"/>
  <c r="F73" i="6"/>
  <c r="E73" i="6"/>
  <c r="E156" i="6" s="1"/>
  <c r="E70" i="6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G67" i="6"/>
  <c r="F67" i="6"/>
  <c r="G58" i="6" s="1"/>
  <c r="G64" i="6" s="1"/>
  <c r="G65" i="6" s="1"/>
  <c r="G66" i="6" s="1"/>
  <c r="E67" i="6"/>
  <c r="F58" i="6" s="1"/>
  <c r="F64" i="6" s="1"/>
  <c r="E62" i="6"/>
  <c r="G59" i="6"/>
  <c r="F59" i="6"/>
  <c r="F62" i="6" s="1"/>
  <c r="E59" i="6"/>
  <c r="H58" i="6"/>
  <c r="E58" i="6"/>
  <c r="E64" i="6" s="1"/>
  <c r="G55" i="6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F55" i="6"/>
  <c r="E55" i="6"/>
  <c r="G53" i="6"/>
  <c r="F53" i="6"/>
  <c r="F54" i="6" s="1"/>
  <c r="G52" i="6"/>
  <c r="F52" i="6"/>
  <c r="G51" i="6"/>
  <c r="F51" i="6"/>
  <c r="E51" i="6"/>
  <c r="G48" i="6"/>
  <c r="F48" i="6"/>
  <c r="E48" i="6"/>
  <c r="G47" i="6"/>
  <c r="F47" i="6"/>
  <c r="E47" i="6"/>
  <c r="G46" i="6"/>
  <c r="H46" i="6" s="1"/>
  <c r="I46" i="6" s="1"/>
  <c r="F46" i="6"/>
  <c r="E46" i="6"/>
  <c r="G45" i="6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38" i="6"/>
  <c r="F38" i="6"/>
  <c r="E38" i="6"/>
  <c r="G37" i="6"/>
  <c r="F37" i="6"/>
  <c r="E37" i="6"/>
  <c r="G36" i="6"/>
  <c r="F36" i="6"/>
  <c r="E36" i="6"/>
  <c r="I34" i="6"/>
  <c r="J34" i="6" s="1"/>
  <c r="K34" i="6" s="1"/>
  <c r="L34" i="6" s="1"/>
  <c r="M34" i="6" s="1"/>
  <c r="N34" i="6" s="1"/>
  <c r="O34" i="6" s="1"/>
  <c r="P34" i="6" s="1"/>
  <c r="Q34" i="6" s="1"/>
  <c r="Q31" i="6"/>
  <c r="P31" i="6"/>
  <c r="O31" i="6"/>
  <c r="N31" i="6"/>
  <c r="M31" i="6"/>
  <c r="L31" i="6"/>
  <c r="K31" i="6"/>
  <c r="J31" i="6"/>
  <c r="I31" i="6"/>
  <c r="H31" i="6"/>
  <c r="H30" i="6" s="1"/>
  <c r="G31" i="6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F31" i="6"/>
  <c r="J27" i="6"/>
  <c r="I26" i="6"/>
  <c r="J26" i="6" s="1"/>
  <c r="K26" i="6" s="1"/>
  <c r="L26" i="6" s="1"/>
  <c r="Q25" i="6"/>
  <c r="P25" i="6"/>
  <c r="O25" i="6"/>
  <c r="N25" i="6"/>
  <c r="M25" i="6"/>
  <c r="L25" i="6"/>
  <c r="I25" i="6"/>
  <c r="H25" i="6"/>
  <c r="G24" i="6"/>
  <c r="F24" i="6"/>
  <c r="E24" i="6"/>
  <c r="G22" i="6"/>
  <c r="H22" i="6" s="1"/>
  <c r="I22" i="6" s="1"/>
  <c r="F22" i="6"/>
  <c r="E22" i="6"/>
  <c r="E17" i="6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N33" i="7" l="1"/>
  <c r="O32" i="7"/>
  <c r="J101" i="1"/>
  <c r="J30" i="1" s="1"/>
  <c r="N76" i="1"/>
  <c r="G85" i="1"/>
  <c r="I30" i="6"/>
  <c r="J30" i="6" s="1"/>
  <c r="K30" i="6" s="1"/>
  <c r="L30" i="6" s="1"/>
  <c r="M30" i="6" s="1"/>
  <c r="N30" i="6" s="1"/>
  <c r="O30" i="6" s="1"/>
  <c r="P30" i="6" s="1"/>
  <c r="Q30" i="6" s="1"/>
  <c r="H37" i="6"/>
  <c r="I37" i="6" s="1"/>
  <c r="H42" i="6"/>
  <c r="I42" i="6" s="1"/>
  <c r="H97" i="6"/>
  <c r="H182" i="6" s="1"/>
  <c r="F192" i="1" s="1"/>
  <c r="F25" i="6"/>
  <c r="I38" i="6"/>
  <c r="G25" i="6"/>
  <c r="E60" i="6"/>
  <c r="G103" i="6"/>
  <c r="G188" i="6" s="1"/>
  <c r="G178" i="6"/>
  <c r="E63" i="6"/>
  <c r="H44" i="6"/>
  <c r="I44" i="6" s="1"/>
  <c r="J44" i="6" s="1"/>
  <c r="K44" i="6" s="1"/>
  <c r="L44" i="6" s="1"/>
  <c r="M44" i="6" s="1"/>
  <c r="N44" i="6" s="1"/>
  <c r="O44" i="6" s="1"/>
  <c r="P44" i="6" s="1"/>
  <c r="Q44" i="6" s="1"/>
  <c r="F65" i="6"/>
  <c r="F66" i="6" s="1"/>
  <c r="H47" i="6"/>
  <c r="I47" i="6" s="1"/>
  <c r="J47" i="6" s="1"/>
  <c r="K47" i="6" s="1"/>
  <c r="L47" i="6" s="1"/>
  <c r="M47" i="6" s="1"/>
  <c r="N47" i="6" s="1"/>
  <c r="O47" i="6" s="1"/>
  <c r="P47" i="6" s="1"/>
  <c r="Q47" i="6" s="1"/>
  <c r="J146" i="6"/>
  <c r="J231" i="6" s="1"/>
  <c r="I139" i="6"/>
  <c r="G149" i="6"/>
  <c r="G234" i="6" s="1"/>
  <c r="G232" i="6"/>
  <c r="I100" i="6"/>
  <c r="J100" i="6" s="1"/>
  <c r="E121" i="6"/>
  <c r="E206" i="6" s="1"/>
  <c r="G54" i="6"/>
  <c r="F121" i="6"/>
  <c r="F63" i="6"/>
  <c r="E103" i="6"/>
  <c r="E188" i="6" s="1"/>
  <c r="E65" i="6"/>
  <c r="E66" i="6" s="1"/>
  <c r="F103" i="6"/>
  <c r="F188" i="6" s="1"/>
  <c r="H36" i="6"/>
  <c r="I36" i="6" s="1"/>
  <c r="H41" i="6"/>
  <c r="I41" i="6" s="1"/>
  <c r="I80" i="6"/>
  <c r="I163" i="6" s="1"/>
  <c r="H43" i="6"/>
  <c r="I43" i="6" s="1"/>
  <c r="J43" i="6" s="1"/>
  <c r="K43" i="6" s="1"/>
  <c r="L43" i="6" s="1"/>
  <c r="M43" i="6" s="1"/>
  <c r="N43" i="6" s="1"/>
  <c r="O43" i="6" s="1"/>
  <c r="P43" i="6" s="1"/>
  <c r="Q43" i="6" s="1"/>
  <c r="H24" i="6"/>
  <c r="I24" i="6" s="1"/>
  <c r="J46" i="6"/>
  <c r="I108" i="6"/>
  <c r="I193" i="6" s="1"/>
  <c r="K27" i="6"/>
  <c r="K25" i="6" s="1"/>
  <c r="J25" i="6"/>
  <c r="F156" i="6"/>
  <c r="F78" i="6"/>
  <c r="H108" i="6"/>
  <c r="H193" i="6" s="1"/>
  <c r="F204" i="1" s="1"/>
  <c r="G202" i="6"/>
  <c r="G121" i="6"/>
  <c r="F206" i="6"/>
  <c r="G60" i="6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G62" i="6"/>
  <c r="G63" i="6" s="1"/>
  <c r="H63" i="6" s="1"/>
  <c r="F60" i="6"/>
  <c r="F232" i="6"/>
  <c r="F149" i="6"/>
  <c r="F234" i="6" s="1"/>
  <c r="J98" i="6"/>
  <c r="J80" i="6"/>
  <c r="K80" i="6" s="1"/>
  <c r="I231" i="6"/>
  <c r="I147" i="6"/>
  <c r="H183" i="6"/>
  <c r="E78" i="6"/>
  <c r="H218" i="6"/>
  <c r="I133" i="6"/>
  <c r="J133" i="6" s="1"/>
  <c r="K133" i="6" s="1"/>
  <c r="G78" i="6"/>
  <c r="E232" i="6"/>
  <c r="E149" i="6"/>
  <c r="E234" i="6" s="1"/>
  <c r="H147" i="6"/>
  <c r="H231" i="6"/>
  <c r="J24" i="6" l="1"/>
  <c r="K24" i="6" s="1"/>
  <c r="F193" i="1"/>
  <c r="G87" i="1"/>
  <c r="H193" i="1" s="1"/>
  <c r="P32" i="7"/>
  <c r="O33" i="7"/>
  <c r="H66" i="6"/>
  <c r="I20" i="6"/>
  <c r="I21" i="6" s="1"/>
  <c r="K101" i="1"/>
  <c r="K30" i="1" s="1"/>
  <c r="J147" i="6"/>
  <c r="H20" i="6"/>
  <c r="H21" i="6" s="1"/>
  <c r="H19" i="6" s="1"/>
  <c r="H71" i="6" s="1"/>
  <c r="K146" i="6"/>
  <c r="I224" i="6"/>
  <c r="I164" i="1" s="1"/>
  <c r="J139" i="6"/>
  <c r="I97" i="6"/>
  <c r="I185" i="6"/>
  <c r="F123" i="6"/>
  <c r="F208" i="6" s="1"/>
  <c r="E123" i="6"/>
  <c r="E208" i="6" s="1"/>
  <c r="K218" i="6"/>
  <c r="K163" i="6"/>
  <c r="L80" i="6"/>
  <c r="E161" i="6"/>
  <c r="E168" i="6" s="1"/>
  <c r="E81" i="6"/>
  <c r="J37" i="6"/>
  <c r="J42" i="6"/>
  <c r="J232" i="6"/>
  <c r="J41" i="6"/>
  <c r="H62" i="6"/>
  <c r="I63" i="6"/>
  <c r="H59" i="6"/>
  <c r="J183" i="6"/>
  <c r="K98" i="6"/>
  <c r="I232" i="6"/>
  <c r="F161" i="6"/>
  <c r="F168" i="6" s="1"/>
  <c r="F81" i="6"/>
  <c r="G161" i="6"/>
  <c r="G168" i="6" s="1"/>
  <c r="G81" i="6"/>
  <c r="J36" i="6"/>
  <c r="J218" i="6"/>
  <c r="H232" i="6"/>
  <c r="G206" i="6"/>
  <c r="G123" i="6"/>
  <c r="G208" i="6" s="1"/>
  <c r="I218" i="6"/>
  <c r="I116" i="6"/>
  <c r="L133" i="6"/>
  <c r="M133" i="6" s="1"/>
  <c r="J163" i="6"/>
  <c r="I66" i="6"/>
  <c r="J108" i="6"/>
  <c r="J193" i="6" s="1"/>
  <c r="K46" i="6"/>
  <c r="J185" i="6"/>
  <c r="K100" i="6"/>
  <c r="J38" i="6"/>
  <c r="J20" i="6" l="1"/>
  <c r="J21" i="6" s="1"/>
  <c r="J19" i="6" s="1"/>
  <c r="J71" i="6" s="1"/>
  <c r="I19" i="6"/>
  <c r="I71" i="6" s="1"/>
  <c r="I92" i="6" s="1"/>
  <c r="I177" i="6" s="1"/>
  <c r="Q32" i="7"/>
  <c r="Q33" i="7" s="1"/>
  <c r="P33" i="7"/>
  <c r="H65" i="6"/>
  <c r="H77" i="6"/>
  <c r="L101" i="1"/>
  <c r="L30" i="1" s="1"/>
  <c r="K231" i="6"/>
  <c r="K147" i="6"/>
  <c r="K232" i="6" s="1"/>
  <c r="L146" i="6"/>
  <c r="L147" i="6" s="1"/>
  <c r="L232" i="6" s="1"/>
  <c r="I182" i="6"/>
  <c r="J97" i="6"/>
  <c r="J224" i="6"/>
  <c r="J164" i="1" s="1"/>
  <c r="K139" i="6"/>
  <c r="M218" i="6"/>
  <c r="F83" i="6"/>
  <c r="F166" i="6" s="1"/>
  <c r="F164" i="6"/>
  <c r="J63" i="6"/>
  <c r="M80" i="6"/>
  <c r="G83" i="6"/>
  <c r="G166" i="6" s="1"/>
  <c r="G164" i="6"/>
  <c r="D6" i="6"/>
  <c r="E164" i="6"/>
  <c r="E83" i="6"/>
  <c r="E166" i="6" s="1"/>
  <c r="K38" i="6"/>
  <c r="K185" i="6"/>
  <c r="L100" i="6"/>
  <c r="K41" i="6"/>
  <c r="I201" i="6"/>
  <c r="J116" i="6"/>
  <c r="N133" i="6"/>
  <c r="K42" i="6"/>
  <c r="L218" i="6"/>
  <c r="L163" i="6"/>
  <c r="K108" i="6"/>
  <c r="K193" i="6" s="1"/>
  <c r="L46" i="6"/>
  <c r="K183" i="6"/>
  <c r="L98" i="6"/>
  <c r="J66" i="6"/>
  <c r="H61" i="6"/>
  <c r="H64" i="6" s="1"/>
  <c r="H76" i="6"/>
  <c r="H159" i="6" s="1"/>
  <c r="K20" i="6"/>
  <c r="L24" i="6"/>
  <c r="K36" i="6"/>
  <c r="K37" i="6"/>
  <c r="H138" i="6"/>
  <c r="H154" i="6"/>
  <c r="H109" i="6"/>
  <c r="H194" i="6" s="1"/>
  <c r="F205" i="1" s="1"/>
  <c r="I205" i="1" s="1"/>
  <c r="H92" i="6"/>
  <c r="H177" i="6" s="1"/>
  <c r="F186" i="1" s="1"/>
  <c r="H130" i="6"/>
  <c r="H72" i="6"/>
  <c r="H73" i="6" s="1"/>
  <c r="H90" i="6"/>
  <c r="H75" i="6"/>
  <c r="H158" i="6" s="1"/>
  <c r="I65" i="6" l="1"/>
  <c r="I77" i="6"/>
  <c r="I160" i="6" s="1"/>
  <c r="I72" i="6"/>
  <c r="I91" i="6" s="1"/>
  <c r="I176" i="6" s="1"/>
  <c r="H67" i="6"/>
  <c r="I58" i="6" s="1"/>
  <c r="I109" i="6"/>
  <c r="I194" i="6" s="1"/>
  <c r="J205" i="1" s="1"/>
  <c r="I75" i="6"/>
  <c r="I158" i="6" s="1"/>
  <c r="B11" i="2" s="1"/>
  <c r="I117" i="1" s="1"/>
  <c r="I154" i="6"/>
  <c r="I103" i="1" s="1"/>
  <c r="I104" i="1" s="1"/>
  <c r="I138" i="6"/>
  <c r="I223" i="6" s="1"/>
  <c r="I90" i="6"/>
  <c r="I175" i="6" s="1"/>
  <c r="I130" i="6"/>
  <c r="I215" i="6" s="1"/>
  <c r="Q8" i="7"/>
  <c r="L8" i="7"/>
  <c r="H34" i="7"/>
  <c r="I131" i="6"/>
  <c r="I216" i="6" s="1"/>
  <c r="M101" i="1"/>
  <c r="M30" i="1" s="1"/>
  <c r="M146" i="6"/>
  <c r="N146" i="6" s="1"/>
  <c r="L231" i="6"/>
  <c r="J182" i="6"/>
  <c r="K97" i="6"/>
  <c r="K224" i="6"/>
  <c r="K164" i="1" s="1"/>
  <c r="L139" i="6"/>
  <c r="J90" i="6"/>
  <c r="J175" i="6" s="1"/>
  <c r="J75" i="6"/>
  <c r="J158" i="6" s="1"/>
  <c r="H156" i="6"/>
  <c r="H78" i="6"/>
  <c r="M163" i="6"/>
  <c r="H160" i="6"/>
  <c r="H131" i="6"/>
  <c r="H216" i="6" s="1"/>
  <c r="L38" i="6"/>
  <c r="H215" i="6"/>
  <c r="H96" i="6"/>
  <c r="L36" i="6"/>
  <c r="L108" i="6"/>
  <c r="L193" i="6" s="1"/>
  <c r="M46" i="6"/>
  <c r="J77" i="6"/>
  <c r="J72" i="6"/>
  <c r="J73" i="6" s="1"/>
  <c r="L42" i="6"/>
  <c r="J138" i="6"/>
  <c r="J154" i="6"/>
  <c r="J103" i="1" s="1"/>
  <c r="J92" i="6"/>
  <c r="J177" i="6" s="1"/>
  <c r="J109" i="6"/>
  <c r="J194" i="6" s="1"/>
  <c r="K205" i="1" s="1"/>
  <c r="J130" i="6"/>
  <c r="J215" i="6" s="1"/>
  <c r="L41" i="6"/>
  <c r="L37" i="6"/>
  <c r="K21" i="6"/>
  <c r="K19" i="6" s="1"/>
  <c r="K71" i="6" s="1"/>
  <c r="N218" i="6"/>
  <c r="H99" i="6"/>
  <c r="K63" i="6"/>
  <c r="N80" i="6"/>
  <c r="O80" i="6" s="1"/>
  <c r="J65" i="6"/>
  <c r="K66" i="6"/>
  <c r="J201" i="6"/>
  <c r="K116" i="6"/>
  <c r="H155" i="6"/>
  <c r="H107" i="6"/>
  <c r="H91" i="6"/>
  <c r="H176" i="6" s="1"/>
  <c r="F185" i="1" s="1"/>
  <c r="L183" i="6"/>
  <c r="M98" i="6"/>
  <c r="L20" i="6"/>
  <c r="M24" i="6"/>
  <c r="H175" i="6"/>
  <c r="F184" i="1" s="1"/>
  <c r="H223" i="6"/>
  <c r="H141" i="6"/>
  <c r="O133" i="6"/>
  <c r="O218" i="6" s="1"/>
  <c r="L185" i="6"/>
  <c r="M100" i="6"/>
  <c r="H113" i="6" l="1"/>
  <c r="I141" i="6"/>
  <c r="I226" i="6" s="1"/>
  <c r="I107" i="6"/>
  <c r="I192" i="6" s="1"/>
  <c r="I73" i="6"/>
  <c r="I156" i="6" s="1"/>
  <c r="I155" i="6"/>
  <c r="I108" i="1" s="1"/>
  <c r="Q7" i="7"/>
  <c r="L7" i="7"/>
  <c r="L10" i="7"/>
  <c r="L13" i="7" s="1"/>
  <c r="L14" i="7" s="1"/>
  <c r="L15" i="7" s="1"/>
  <c r="Q10" i="7"/>
  <c r="Q13" i="7" s="1"/>
  <c r="Q14" i="7" s="1"/>
  <c r="Q15" i="7" s="1"/>
  <c r="C11" i="2"/>
  <c r="J117" i="1" s="1"/>
  <c r="J104" i="1"/>
  <c r="N101" i="1"/>
  <c r="N30" i="1" s="1"/>
  <c r="N231" i="6"/>
  <c r="N147" i="6"/>
  <c r="N232" i="6" s="1"/>
  <c r="M147" i="6"/>
  <c r="M232" i="6" s="1"/>
  <c r="M231" i="6"/>
  <c r="O146" i="6"/>
  <c r="P146" i="6" s="1"/>
  <c r="L224" i="6"/>
  <c r="L164" i="1" s="1"/>
  <c r="M139" i="6"/>
  <c r="K182" i="6"/>
  <c r="L97" i="6"/>
  <c r="O163" i="6"/>
  <c r="K154" i="6"/>
  <c r="K103" i="1" s="1"/>
  <c r="K92" i="6"/>
  <c r="K177" i="6" s="1"/>
  <c r="K109" i="6"/>
  <c r="K194" i="6" s="1"/>
  <c r="L205" i="1" s="1"/>
  <c r="K130" i="6"/>
  <c r="K215" i="6" s="1"/>
  <c r="K138" i="6"/>
  <c r="K77" i="6"/>
  <c r="K75" i="6"/>
  <c r="K158" i="6" s="1"/>
  <c r="K90" i="6"/>
  <c r="K72" i="6"/>
  <c r="K73" i="6" s="1"/>
  <c r="K201" i="6"/>
  <c r="L116" i="6"/>
  <c r="L63" i="6"/>
  <c r="M41" i="6"/>
  <c r="H181" i="6"/>
  <c r="H101" i="6"/>
  <c r="I96" i="6"/>
  <c r="M183" i="6"/>
  <c r="N98" i="6"/>
  <c r="J160" i="6"/>
  <c r="J131" i="6"/>
  <c r="J216" i="6" s="1"/>
  <c r="M185" i="6"/>
  <c r="N100" i="6"/>
  <c r="J141" i="6"/>
  <c r="J223" i="6"/>
  <c r="L21" i="6"/>
  <c r="L19" i="6" s="1"/>
  <c r="L71" i="6" s="1"/>
  <c r="H184" i="6"/>
  <c r="F191" i="1" s="1"/>
  <c r="H226" i="6"/>
  <c r="M37" i="6"/>
  <c r="M42" i="6"/>
  <c r="M38" i="6"/>
  <c r="N163" i="6"/>
  <c r="J156" i="6"/>
  <c r="I59" i="6"/>
  <c r="I62" i="6"/>
  <c r="L66" i="6"/>
  <c r="K65" i="6"/>
  <c r="H52" i="6"/>
  <c r="H192" i="6"/>
  <c r="F202" i="1" s="1"/>
  <c r="H110" i="6"/>
  <c r="H195" i="6" s="1"/>
  <c r="H53" i="6"/>
  <c r="M108" i="6"/>
  <c r="M193" i="6" s="1"/>
  <c r="N46" i="6"/>
  <c r="H198" i="6"/>
  <c r="F210" i="1" s="1"/>
  <c r="I52" i="6"/>
  <c r="P133" i="6"/>
  <c r="J155" i="6"/>
  <c r="J107" i="6"/>
  <c r="J91" i="6"/>
  <c r="M36" i="6"/>
  <c r="P80" i="6"/>
  <c r="H161" i="6"/>
  <c r="H168" i="6" s="1"/>
  <c r="H81" i="6"/>
  <c r="M20" i="6"/>
  <c r="N24" i="6"/>
  <c r="I53" i="6" l="1"/>
  <c r="I54" i="6" s="1"/>
  <c r="I134" i="6" s="1"/>
  <c r="I219" i="6" s="1"/>
  <c r="I110" i="6"/>
  <c r="I195" i="6" s="1"/>
  <c r="F207" i="1"/>
  <c r="N86" i="1"/>
  <c r="G190" i="1" s="1"/>
  <c r="F190" i="1"/>
  <c r="J108" i="1"/>
  <c r="D11" i="2"/>
  <c r="K117" i="1" s="1"/>
  <c r="K104" i="1"/>
  <c r="O101" i="1"/>
  <c r="O30" i="1" s="1"/>
  <c r="P231" i="6"/>
  <c r="P147" i="6"/>
  <c r="P232" i="6" s="1"/>
  <c r="O231" i="6"/>
  <c r="O147" i="6"/>
  <c r="O232" i="6" s="1"/>
  <c r="Q146" i="6"/>
  <c r="M224" i="6"/>
  <c r="M164" i="1" s="1"/>
  <c r="N139" i="6"/>
  <c r="M97" i="6"/>
  <c r="L182" i="6"/>
  <c r="H54" i="6"/>
  <c r="H134" i="6" s="1"/>
  <c r="H219" i="6" s="1"/>
  <c r="K156" i="6"/>
  <c r="L154" i="6"/>
  <c r="L103" i="1" s="1"/>
  <c r="L92" i="6"/>
  <c r="L177" i="6" s="1"/>
  <c r="L109" i="6"/>
  <c r="L194" i="6" s="1"/>
  <c r="M205" i="1" s="1"/>
  <c r="L130" i="6"/>
  <c r="L215" i="6" s="1"/>
  <c r="L138" i="6"/>
  <c r="L90" i="6"/>
  <c r="L75" i="6"/>
  <c r="L158" i="6" s="1"/>
  <c r="L72" i="6"/>
  <c r="L73" i="6" s="1"/>
  <c r="L77" i="6"/>
  <c r="P218" i="6"/>
  <c r="Q133" i="6"/>
  <c r="Q218" i="6" s="1"/>
  <c r="N108" i="6"/>
  <c r="N193" i="6" s="1"/>
  <c r="O46" i="6"/>
  <c r="N37" i="6"/>
  <c r="J176" i="6"/>
  <c r="J52" i="6"/>
  <c r="M66" i="6"/>
  <c r="L65" i="6"/>
  <c r="N185" i="6"/>
  <c r="O100" i="6"/>
  <c r="K141" i="6"/>
  <c r="K223" i="6"/>
  <c r="O24" i="6"/>
  <c r="N20" i="6"/>
  <c r="J192" i="6"/>
  <c r="J110" i="6"/>
  <c r="J195" i="6" s="1"/>
  <c r="J53" i="6"/>
  <c r="H186" i="6"/>
  <c r="M116" i="6"/>
  <c r="L201" i="6"/>
  <c r="J226" i="6"/>
  <c r="J96" i="6"/>
  <c r="I181" i="6"/>
  <c r="M63" i="6"/>
  <c r="M21" i="6"/>
  <c r="M19" i="6" s="1"/>
  <c r="M71" i="6" s="1"/>
  <c r="M77" i="6" s="1"/>
  <c r="I76" i="6"/>
  <c r="I61" i="6"/>
  <c r="N38" i="6"/>
  <c r="K175" i="6"/>
  <c r="H164" i="6"/>
  <c r="H82" i="6"/>
  <c r="K155" i="6"/>
  <c r="K107" i="6"/>
  <c r="K91" i="6"/>
  <c r="K176" i="6" s="1"/>
  <c r="N42" i="6"/>
  <c r="P163" i="6"/>
  <c r="N41" i="6"/>
  <c r="N36" i="6"/>
  <c r="Q80" i="6"/>
  <c r="N183" i="6"/>
  <c r="O98" i="6"/>
  <c r="K160" i="6"/>
  <c r="K131" i="6"/>
  <c r="K216" i="6" s="1"/>
  <c r="I118" i="1" l="1"/>
  <c r="I154" i="1" s="1"/>
  <c r="G90" i="1"/>
  <c r="F196" i="1"/>
  <c r="K108" i="1"/>
  <c r="L104" i="1"/>
  <c r="E11" i="2"/>
  <c r="L117" i="1" s="1"/>
  <c r="P101" i="1"/>
  <c r="P30" i="1" s="1"/>
  <c r="Q231" i="6"/>
  <c r="Q147" i="6"/>
  <c r="Q232" i="6" s="1"/>
  <c r="N97" i="6"/>
  <c r="M182" i="6"/>
  <c r="O139" i="6"/>
  <c r="N224" i="6"/>
  <c r="N164" i="1" s="1"/>
  <c r="M75" i="6"/>
  <c r="M158" i="6" s="1"/>
  <c r="K52" i="6"/>
  <c r="M160" i="6"/>
  <c r="M131" i="6"/>
  <c r="M216" i="6" s="1"/>
  <c r="P98" i="6"/>
  <c r="O183" i="6"/>
  <c r="H165" i="6"/>
  <c r="H83" i="6"/>
  <c r="H114" i="6"/>
  <c r="I99" i="6"/>
  <c r="I64" i="6"/>
  <c r="I67" i="6" s="1"/>
  <c r="K96" i="6"/>
  <c r="J181" i="6"/>
  <c r="J54" i="6"/>
  <c r="J134" i="6" s="1"/>
  <c r="J219" i="6" s="1"/>
  <c r="O108" i="6"/>
  <c r="O193" i="6" s="1"/>
  <c r="P46" i="6"/>
  <c r="L156" i="6"/>
  <c r="I159" i="6"/>
  <c r="I78" i="6"/>
  <c r="L223" i="6"/>
  <c r="L141" i="6"/>
  <c r="L175" i="6"/>
  <c r="Q163" i="6"/>
  <c r="M65" i="6"/>
  <c r="N66" i="6"/>
  <c r="O36" i="6"/>
  <c r="N21" i="6"/>
  <c r="N19" i="6" s="1"/>
  <c r="N71" i="6" s="1"/>
  <c r="L160" i="6"/>
  <c r="L131" i="6"/>
  <c r="L216" i="6" s="1"/>
  <c r="O41" i="6"/>
  <c r="M201" i="6"/>
  <c r="N116" i="6"/>
  <c r="L155" i="6"/>
  <c r="L107" i="6"/>
  <c r="L91" i="6"/>
  <c r="L176" i="6" s="1"/>
  <c r="O185" i="6"/>
  <c r="P100" i="6"/>
  <c r="O42" i="6"/>
  <c r="M154" i="6"/>
  <c r="M103" i="1" s="1"/>
  <c r="M138" i="6"/>
  <c r="M109" i="6"/>
  <c r="M194" i="6" s="1"/>
  <c r="N205" i="1" s="1"/>
  <c r="M130" i="6"/>
  <c r="M215" i="6" s="1"/>
  <c r="M92" i="6"/>
  <c r="M177" i="6" s="1"/>
  <c r="M72" i="6"/>
  <c r="M73" i="6" s="1"/>
  <c r="N63" i="6"/>
  <c r="P24" i="6"/>
  <c r="O20" i="6"/>
  <c r="M90" i="6"/>
  <c r="K192" i="6"/>
  <c r="K110" i="6"/>
  <c r="K195" i="6" s="1"/>
  <c r="K53" i="6"/>
  <c r="O38" i="6"/>
  <c r="K226" i="6"/>
  <c r="O37" i="6"/>
  <c r="J118" i="1" l="1"/>
  <c r="J154" i="1" s="1"/>
  <c r="I115" i="1"/>
  <c r="I116" i="1" s="1"/>
  <c r="L108" i="1"/>
  <c r="F11" i="2"/>
  <c r="M117" i="1" s="1"/>
  <c r="M104" i="1"/>
  <c r="Q101" i="1"/>
  <c r="Q30" i="1" s="1"/>
  <c r="O97" i="6"/>
  <c r="N182" i="6"/>
  <c r="O224" i="6"/>
  <c r="O164" i="1" s="1"/>
  <c r="P139" i="6"/>
  <c r="K54" i="6"/>
  <c r="K134" i="6" s="1"/>
  <c r="K219" i="6" s="1"/>
  <c r="L52" i="6"/>
  <c r="N138" i="6"/>
  <c r="N130" i="6"/>
  <c r="N215" i="6" s="1"/>
  <c r="N154" i="6"/>
  <c r="N103" i="1" s="1"/>
  <c r="N92" i="6"/>
  <c r="N177" i="6" s="1"/>
  <c r="N109" i="6"/>
  <c r="N194" i="6" s="1"/>
  <c r="O205" i="1" s="1"/>
  <c r="N77" i="6"/>
  <c r="N75" i="6"/>
  <c r="N158" i="6" s="1"/>
  <c r="N90" i="6"/>
  <c r="N72" i="6"/>
  <c r="N73" i="6" s="1"/>
  <c r="M156" i="6"/>
  <c r="J58" i="6"/>
  <c r="I113" i="6"/>
  <c r="I184" i="6"/>
  <c r="I101" i="6"/>
  <c r="P37" i="6"/>
  <c r="P108" i="6"/>
  <c r="P193" i="6" s="1"/>
  <c r="Q46" i="6"/>
  <c r="Q108" i="6" s="1"/>
  <c r="Q193" i="6" s="1"/>
  <c r="H199" i="6"/>
  <c r="H132" i="6"/>
  <c r="H217" i="6" s="1"/>
  <c r="H117" i="6"/>
  <c r="H202" i="6" s="1"/>
  <c r="M155" i="6"/>
  <c r="M107" i="6"/>
  <c r="M91" i="6"/>
  <c r="M176" i="6" s="1"/>
  <c r="P41" i="6"/>
  <c r="P185" i="6"/>
  <c r="Q100" i="6"/>
  <c r="Q185" i="6" s="1"/>
  <c r="L226" i="6"/>
  <c r="M175" i="6"/>
  <c r="N65" i="6"/>
  <c r="O66" i="6"/>
  <c r="H166" i="6"/>
  <c r="H128" i="6"/>
  <c r="L192" i="6"/>
  <c r="L53" i="6"/>
  <c r="L110" i="6"/>
  <c r="L195" i="6" s="1"/>
  <c r="I161" i="6"/>
  <c r="I168" i="6" s="1"/>
  <c r="I81" i="6"/>
  <c r="Q24" i="6"/>
  <c r="Q20" i="6" s="1"/>
  <c r="P20" i="6"/>
  <c r="O63" i="6"/>
  <c r="N201" i="6"/>
  <c r="O116" i="6"/>
  <c r="Q98" i="6"/>
  <c r="Q183" i="6" s="1"/>
  <c r="P183" i="6"/>
  <c r="O21" i="6"/>
  <c r="O19" i="6" s="1"/>
  <c r="O71" i="6" s="1"/>
  <c r="O72" i="6" s="1"/>
  <c r="M223" i="6"/>
  <c r="M141" i="6"/>
  <c r="P38" i="6"/>
  <c r="P42" i="6"/>
  <c r="K181" i="6"/>
  <c r="L96" i="6"/>
  <c r="K118" i="1" l="1"/>
  <c r="K154" i="1" s="1"/>
  <c r="G92" i="1"/>
  <c r="F211" i="1"/>
  <c r="N104" i="1"/>
  <c r="M108" i="1"/>
  <c r="G11" i="2"/>
  <c r="N117" i="1" s="1"/>
  <c r="Q139" i="6"/>
  <c r="Q224" i="6" s="1"/>
  <c r="Q164" i="1" s="1"/>
  <c r="P224" i="6"/>
  <c r="P164" i="1" s="1"/>
  <c r="P97" i="6"/>
  <c r="O182" i="6"/>
  <c r="M52" i="6"/>
  <c r="L54" i="6"/>
  <c r="L134" i="6" s="1"/>
  <c r="L219" i="6" s="1"/>
  <c r="O155" i="6"/>
  <c r="O107" i="6"/>
  <c r="O91" i="6"/>
  <c r="O176" i="6" s="1"/>
  <c r="N175" i="6"/>
  <c r="Q42" i="6"/>
  <c r="P21" i="6"/>
  <c r="P19" i="6" s="1"/>
  <c r="P71" i="6" s="1"/>
  <c r="Q21" i="6"/>
  <c r="Q19" i="6" s="1"/>
  <c r="Q71" i="6" s="1"/>
  <c r="N131" i="6"/>
  <c r="N216" i="6" s="1"/>
  <c r="N160" i="6"/>
  <c r="O138" i="6"/>
  <c r="O154" i="6"/>
  <c r="O103" i="1" s="1"/>
  <c r="O73" i="6"/>
  <c r="O92" i="6"/>
  <c r="O177" i="6" s="1"/>
  <c r="O109" i="6"/>
  <c r="O194" i="6" s="1"/>
  <c r="P205" i="1" s="1"/>
  <c r="O130" i="6"/>
  <c r="O215" i="6" s="1"/>
  <c r="N223" i="6"/>
  <c r="N141" i="6"/>
  <c r="H213" i="6"/>
  <c r="H135" i="6"/>
  <c r="H119" i="6"/>
  <c r="Q38" i="6"/>
  <c r="I164" i="6"/>
  <c r="I82" i="6"/>
  <c r="O65" i="6"/>
  <c r="P66" i="6"/>
  <c r="Q41" i="6"/>
  <c r="I198" i="6"/>
  <c r="J59" i="6"/>
  <c r="J62" i="6"/>
  <c r="M226" i="6"/>
  <c r="Q37" i="6"/>
  <c r="N156" i="6"/>
  <c r="L181" i="6"/>
  <c r="M96" i="6"/>
  <c r="M192" i="6"/>
  <c r="M110" i="6"/>
  <c r="M195" i="6" s="1"/>
  <c r="M53" i="6"/>
  <c r="O75" i="6"/>
  <c r="O158" i="6" s="1"/>
  <c r="O77" i="6"/>
  <c r="O90" i="6"/>
  <c r="O201" i="6"/>
  <c r="P116" i="6"/>
  <c r="P63" i="6"/>
  <c r="I186" i="6"/>
  <c r="N155" i="6"/>
  <c r="N107" i="6"/>
  <c r="N91" i="6"/>
  <c r="N176" i="6" s="1"/>
  <c r="L118" i="1" l="1"/>
  <c r="L154" i="1" s="1"/>
  <c r="G211" i="1"/>
  <c r="F214" i="1"/>
  <c r="H11" i="2"/>
  <c r="O117" i="1" s="1"/>
  <c r="O104" i="1"/>
  <c r="N108" i="1"/>
  <c r="M54" i="6"/>
  <c r="M134" i="6" s="1"/>
  <c r="M219" i="6" s="1"/>
  <c r="P182" i="6"/>
  <c r="Q97" i="6"/>
  <c r="Q182" i="6" s="1"/>
  <c r="Q138" i="6"/>
  <c r="Q154" i="6"/>
  <c r="Q103" i="1" s="1"/>
  <c r="Q92" i="6"/>
  <c r="Q177" i="6" s="1"/>
  <c r="Q130" i="6"/>
  <c r="Q215" i="6" s="1"/>
  <c r="Q72" i="6"/>
  <c r="Q91" i="6" s="1"/>
  <c r="Q176" i="6" s="1"/>
  <c r="Q109" i="6"/>
  <c r="Q194" i="6" s="1"/>
  <c r="R205" i="1" s="1"/>
  <c r="P138" i="6"/>
  <c r="P154" i="6"/>
  <c r="P103" i="1" s="1"/>
  <c r="P109" i="6"/>
  <c r="P194" i="6" s="1"/>
  <c r="Q205" i="1" s="1"/>
  <c r="P72" i="6"/>
  <c r="P92" i="6"/>
  <c r="P177" i="6" s="1"/>
  <c r="P130" i="6"/>
  <c r="P215" i="6" s="1"/>
  <c r="P77" i="6"/>
  <c r="P75" i="6"/>
  <c r="P158" i="6" s="1"/>
  <c r="P90" i="6"/>
  <c r="N110" i="6"/>
  <c r="N195" i="6" s="1"/>
  <c r="N192" i="6"/>
  <c r="N53" i="6"/>
  <c r="O175" i="6"/>
  <c r="P65" i="6"/>
  <c r="Q66" i="6"/>
  <c r="Q65" i="6" s="1"/>
  <c r="O223" i="6"/>
  <c r="O141" i="6"/>
  <c r="M181" i="6"/>
  <c r="N96" i="6"/>
  <c r="O160" i="6"/>
  <c r="O131" i="6"/>
  <c r="O216" i="6" s="1"/>
  <c r="N226" i="6"/>
  <c r="O52" i="6"/>
  <c r="H204" i="6"/>
  <c r="H121" i="6"/>
  <c r="J61" i="6"/>
  <c r="J76" i="6"/>
  <c r="I83" i="6"/>
  <c r="I114" i="6"/>
  <c r="I165" i="6"/>
  <c r="Q90" i="6"/>
  <c r="Q175" i="6" s="1"/>
  <c r="Q75" i="6"/>
  <c r="Q158" i="6" s="1"/>
  <c r="O156" i="6"/>
  <c r="Q63" i="6"/>
  <c r="O110" i="6"/>
  <c r="O195" i="6" s="1"/>
  <c r="O53" i="6"/>
  <c r="O192" i="6"/>
  <c r="P201" i="6"/>
  <c r="Q116" i="6"/>
  <c r="Q201" i="6" s="1"/>
  <c r="H220" i="6"/>
  <c r="H149" i="6"/>
  <c r="N52" i="6"/>
  <c r="Q77" i="6"/>
  <c r="M118" i="1" l="1"/>
  <c r="N118" i="1" s="1"/>
  <c r="O118" i="1" s="1"/>
  <c r="O154" i="1" s="1"/>
  <c r="G86" i="1"/>
  <c r="F216" i="1"/>
  <c r="F218" i="1" s="1"/>
  <c r="P104" i="1"/>
  <c r="I11" i="2"/>
  <c r="P117" i="1" s="1"/>
  <c r="O108" i="1"/>
  <c r="Q104" i="1"/>
  <c r="J11" i="2"/>
  <c r="Q117" i="1" s="1"/>
  <c r="N54" i="6"/>
  <c r="N134" i="6" s="1"/>
  <c r="N219" i="6" s="1"/>
  <c r="O54" i="6"/>
  <c r="O134" i="6" s="1"/>
  <c r="O219" i="6" s="1"/>
  <c r="H234" i="6"/>
  <c r="H89" i="6"/>
  <c r="P175" i="6"/>
  <c r="P223" i="6"/>
  <c r="P141" i="6"/>
  <c r="H206" i="6"/>
  <c r="P160" i="6"/>
  <c r="P131" i="6"/>
  <c r="P216" i="6" s="1"/>
  <c r="Q223" i="6"/>
  <c r="Q141" i="6"/>
  <c r="J99" i="6"/>
  <c r="J64" i="6"/>
  <c r="J67" i="6" s="1"/>
  <c r="N181" i="6"/>
  <c r="O96" i="6"/>
  <c r="Q107" i="6"/>
  <c r="Q155" i="6"/>
  <c r="Q160" i="6"/>
  <c r="Q131" i="6"/>
  <c r="Q216" i="6" s="1"/>
  <c r="I199" i="6"/>
  <c r="I132" i="6"/>
  <c r="I217" i="6" s="1"/>
  <c r="I117" i="6"/>
  <c r="I202" i="6" s="1"/>
  <c r="Q73" i="6"/>
  <c r="P155" i="6"/>
  <c r="P107" i="6"/>
  <c r="P91" i="6"/>
  <c r="P176" i="6" s="1"/>
  <c r="I166" i="6"/>
  <c r="I128" i="6"/>
  <c r="O226" i="6"/>
  <c r="P73" i="6"/>
  <c r="J159" i="6"/>
  <c r="J115" i="1" s="1"/>
  <c r="J78" i="6"/>
  <c r="M154" i="1" l="1"/>
  <c r="G88" i="1"/>
  <c r="N90" i="1" s="1"/>
  <c r="N95" i="1" s="1"/>
  <c r="G216" i="1"/>
  <c r="N154" i="1"/>
  <c r="P118" i="1"/>
  <c r="J116" i="1"/>
  <c r="Q108" i="1"/>
  <c r="P108" i="1"/>
  <c r="J161" i="6"/>
  <c r="J168" i="6" s="1"/>
  <c r="J81" i="6"/>
  <c r="J184" i="6"/>
  <c r="J101" i="6"/>
  <c r="P226" i="6"/>
  <c r="K58" i="6"/>
  <c r="J113" i="6"/>
  <c r="P192" i="6"/>
  <c r="P110" i="6"/>
  <c r="P195" i="6" s="1"/>
  <c r="P53" i="6"/>
  <c r="Q226" i="6"/>
  <c r="Q192" i="6"/>
  <c r="Q110" i="6"/>
  <c r="Q195" i="6" s="1"/>
  <c r="Q53" i="6"/>
  <c r="Q156" i="6"/>
  <c r="O181" i="6"/>
  <c r="P96" i="6"/>
  <c r="P156" i="6"/>
  <c r="P52" i="6"/>
  <c r="Q52" i="6"/>
  <c r="I213" i="6"/>
  <c r="I135" i="6"/>
  <c r="I119" i="6"/>
  <c r="H174" i="6"/>
  <c r="F183" i="1" s="1"/>
  <c r="F187" i="1" s="1"/>
  <c r="F198" i="1" s="1"/>
  <c r="F220" i="1" s="1"/>
  <c r="H93" i="6"/>
  <c r="N92" i="1" l="1"/>
  <c r="G91" i="1" s="1"/>
  <c r="Q118" i="1"/>
  <c r="Q154" i="1" s="1"/>
  <c r="P154" i="1"/>
  <c r="I119" i="1"/>
  <c r="I155" i="1" s="1"/>
  <c r="P54" i="6"/>
  <c r="P134" i="6" s="1"/>
  <c r="P219" i="6" s="1"/>
  <c r="K59" i="6"/>
  <c r="K62" i="6"/>
  <c r="P181" i="6"/>
  <c r="Q96" i="6"/>
  <c r="J186" i="6"/>
  <c r="H178" i="6"/>
  <c r="H103" i="6"/>
  <c r="I121" i="6"/>
  <c r="I204" i="6"/>
  <c r="J164" i="6"/>
  <c r="J82" i="6"/>
  <c r="I220" i="6"/>
  <c r="I149" i="6"/>
  <c r="Q54" i="6"/>
  <c r="Q134" i="6" s="1"/>
  <c r="Q219" i="6" s="1"/>
  <c r="J198" i="6"/>
  <c r="G194" i="1" l="1"/>
  <c r="I194" i="1" s="1"/>
  <c r="J119" i="1"/>
  <c r="J155" i="1" s="1"/>
  <c r="J114" i="6"/>
  <c r="J165" i="6"/>
  <c r="J83" i="6"/>
  <c r="Q181" i="6"/>
  <c r="I206" i="6"/>
  <c r="H188" i="6"/>
  <c r="H123" i="6"/>
  <c r="H208" i="6" s="1"/>
  <c r="K76" i="6"/>
  <c r="K61" i="6"/>
  <c r="I234" i="6"/>
  <c r="I89" i="6"/>
  <c r="K194" i="1" l="1"/>
  <c r="K119" i="1"/>
  <c r="K155" i="1" s="1"/>
  <c r="J199" i="6"/>
  <c r="J132" i="6"/>
  <c r="J217" i="6" s="1"/>
  <c r="J117" i="6"/>
  <c r="J202" i="6" s="1"/>
  <c r="K99" i="6"/>
  <c r="K64" i="6"/>
  <c r="K67" i="6" s="1"/>
  <c r="J166" i="6"/>
  <c r="J128" i="6"/>
  <c r="I174" i="6"/>
  <c r="I93" i="6"/>
  <c r="K159" i="6"/>
  <c r="K78" i="6"/>
  <c r="L194" i="1" l="1"/>
  <c r="L119" i="1"/>
  <c r="L155" i="1" s="1"/>
  <c r="K115" i="1"/>
  <c r="K116" i="1" s="1"/>
  <c r="K113" i="6"/>
  <c r="L58" i="6"/>
  <c r="K184" i="6"/>
  <c r="K101" i="6"/>
  <c r="J213" i="6"/>
  <c r="J135" i="6"/>
  <c r="J119" i="6"/>
  <c r="K161" i="6"/>
  <c r="K168" i="6" s="1"/>
  <c r="K81" i="6"/>
  <c r="I178" i="6"/>
  <c r="I103" i="6"/>
  <c r="M119" i="1" l="1"/>
  <c r="N119" i="1" s="1"/>
  <c r="N155" i="1" s="1"/>
  <c r="M194" i="1"/>
  <c r="J220" i="6"/>
  <c r="J149" i="6"/>
  <c r="I188" i="6"/>
  <c r="I123" i="6"/>
  <c r="I208" i="6" s="1"/>
  <c r="K164" i="6"/>
  <c r="K82" i="6"/>
  <c r="L59" i="6"/>
  <c r="L62" i="6"/>
  <c r="J121" i="6"/>
  <c r="J204" i="6"/>
  <c r="K186" i="6"/>
  <c r="K198" i="6"/>
  <c r="O119" i="1" l="1"/>
  <c r="P119" i="1" s="1"/>
  <c r="P155" i="1" s="1"/>
  <c r="M155" i="1"/>
  <c r="N194" i="1" s="1"/>
  <c r="O194" i="1" s="1"/>
  <c r="K165" i="6"/>
  <c r="K114" i="6"/>
  <c r="K83" i="6"/>
  <c r="J206" i="6"/>
  <c r="J89" i="6"/>
  <c r="J234" i="6"/>
  <c r="L76" i="6"/>
  <c r="L61" i="6"/>
  <c r="Q119" i="1" l="1"/>
  <c r="Q155" i="1" s="1"/>
  <c r="O155" i="1"/>
  <c r="P194" i="1" s="1"/>
  <c r="Q194" i="1" s="1"/>
  <c r="K166" i="6"/>
  <c r="K128" i="6"/>
  <c r="L159" i="6"/>
  <c r="L115" i="1" s="1"/>
  <c r="L78" i="6"/>
  <c r="J174" i="6"/>
  <c r="J93" i="6"/>
  <c r="K199" i="6"/>
  <c r="K132" i="6"/>
  <c r="K217" i="6" s="1"/>
  <c r="K117" i="6"/>
  <c r="K202" i="6" s="1"/>
  <c r="L99" i="6"/>
  <c r="L64" i="6"/>
  <c r="L67" i="6" s="1"/>
  <c r="R194" i="1" l="1"/>
  <c r="L116" i="1"/>
  <c r="L113" i="6"/>
  <c r="M58" i="6"/>
  <c r="L184" i="6"/>
  <c r="L101" i="6"/>
  <c r="K213" i="6"/>
  <c r="K135" i="6"/>
  <c r="K119" i="6"/>
  <c r="J178" i="6"/>
  <c r="J103" i="6"/>
  <c r="L161" i="6"/>
  <c r="L168" i="6" s="1"/>
  <c r="L81" i="6"/>
  <c r="J188" i="6" l="1"/>
  <c r="J123" i="6"/>
  <c r="J208" i="6" s="1"/>
  <c r="L198" i="6"/>
  <c r="K220" i="6"/>
  <c r="K149" i="6"/>
  <c r="M59" i="6"/>
  <c r="M62" i="6"/>
  <c r="K204" i="6"/>
  <c r="K121" i="6"/>
  <c r="L186" i="6"/>
  <c r="L164" i="6"/>
  <c r="L82" i="6"/>
  <c r="L165" i="6" l="1"/>
  <c r="L114" i="6"/>
  <c r="L83" i="6"/>
  <c r="M76" i="6"/>
  <c r="M61" i="6"/>
  <c r="K234" i="6"/>
  <c r="K89" i="6"/>
  <c r="K206" i="6"/>
  <c r="L199" i="6" l="1"/>
  <c r="L132" i="6"/>
  <c r="L217" i="6" s="1"/>
  <c r="L117" i="6"/>
  <c r="L202" i="6" s="1"/>
  <c r="K174" i="6"/>
  <c r="K93" i="6"/>
  <c r="M99" i="6"/>
  <c r="M64" i="6"/>
  <c r="M67" i="6" s="1"/>
  <c r="M159" i="6"/>
  <c r="M115" i="1" s="1"/>
  <c r="M78" i="6"/>
  <c r="L166" i="6"/>
  <c r="L128" i="6"/>
  <c r="M116" i="1" l="1"/>
  <c r="M113" i="6"/>
  <c r="N58" i="6"/>
  <c r="M161" i="6"/>
  <c r="M168" i="6" s="1"/>
  <c r="M81" i="6"/>
  <c r="M184" i="6"/>
  <c r="M101" i="6"/>
  <c r="K178" i="6"/>
  <c r="K103" i="6"/>
  <c r="L213" i="6"/>
  <c r="L135" i="6"/>
  <c r="L119" i="6"/>
  <c r="K188" i="6" l="1"/>
  <c r="K123" i="6"/>
  <c r="K208" i="6" s="1"/>
  <c r="M198" i="6"/>
  <c r="M186" i="6"/>
  <c r="L204" i="6"/>
  <c r="L121" i="6"/>
  <c r="M164" i="6"/>
  <c r="M82" i="6"/>
  <c r="L220" i="6"/>
  <c r="L149" i="6"/>
  <c r="N59" i="6"/>
  <c r="N62" i="6"/>
  <c r="N76" i="6" l="1"/>
  <c r="N61" i="6"/>
  <c r="L206" i="6"/>
  <c r="L234" i="6"/>
  <c r="L89" i="6"/>
  <c r="M165" i="6"/>
  <c r="M83" i="6"/>
  <c r="M114" i="6"/>
  <c r="M166" i="6" l="1"/>
  <c r="M128" i="6"/>
  <c r="L174" i="6"/>
  <c r="L93" i="6"/>
  <c r="N99" i="6"/>
  <c r="N64" i="6"/>
  <c r="N67" i="6" s="1"/>
  <c r="M132" i="6"/>
  <c r="M217" i="6" s="1"/>
  <c r="M199" i="6"/>
  <c r="M117" i="6"/>
  <c r="M202" i="6" s="1"/>
  <c r="N159" i="6"/>
  <c r="N115" i="1" s="1"/>
  <c r="N78" i="6"/>
  <c r="N116" i="1" l="1"/>
  <c r="N113" i="6"/>
  <c r="O58" i="6"/>
  <c r="N184" i="6"/>
  <c r="N101" i="6"/>
  <c r="L178" i="6"/>
  <c r="L103" i="6"/>
  <c r="N161" i="6"/>
  <c r="N168" i="6" s="1"/>
  <c r="N81" i="6"/>
  <c r="M135" i="6"/>
  <c r="M213" i="6"/>
  <c r="M119" i="6"/>
  <c r="M204" i="6" l="1"/>
  <c r="M121" i="6"/>
  <c r="L188" i="6"/>
  <c r="L123" i="6"/>
  <c r="L208" i="6" s="1"/>
  <c r="N186" i="6"/>
  <c r="M220" i="6"/>
  <c r="M149" i="6"/>
  <c r="O59" i="6"/>
  <c r="O62" i="6"/>
  <c r="N82" i="6"/>
  <c r="N164" i="6"/>
  <c r="N198" i="6"/>
  <c r="N165" i="6" l="1"/>
  <c r="N83" i="6"/>
  <c r="N114" i="6"/>
  <c r="M206" i="6"/>
  <c r="O61" i="6"/>
  <c r="O76" i="6"/>
  <c r="M234" i="6"/>
  <c r="M89" i="6"/>
  <c r="N199" i="6" l="1"/>
  <c r="N132" i="6"/>
  <c r="N217" i="6" s="1"/>
  <c r="N117" i="6"/>
  <c r="N202" i="6" s="1"/>
  <c r="O159" i="6"/>
  <c r="O115" i="1" s="1"/>
  <c r="O78" i="6"/>
  <c r="N166" i="6"/>
  <c r="N128" i="6"/>
  <c r="O99" i="6"/>
  <c r="O64" i="6"/>
  <c r="O67" i="6" s="1"/>
  <c r="M174" i="6"/>
  <c r="M93" i="6"/>
  <c r="O116" i="1" l="1"/>
  <c r="O184" i="6"/>
  <c r="O101" i="6"/>
  <c r="M178" i="6"/>
  <c r="M103" i="6"/>
  <c r="N213" i="6"/>
  <c r="N135" i="6"/>
  <c r="N119" i="6"/>
  <c r="O161" i="6"/>
  <c r="O168" i="6" s="1"/>
  <c r="O81" i="6"/>
  <c r="O113" i="6"/>
  <c r="P58" i="6"/>
  <c r="O198" i="6" l="1"/>
  <c r="O186" i="6"/>
  <c r="N220" i="6"/>
  <c r="N149" i="6"/>
  <c r="N204" i="6"/>
  <c r="N121" i="6"/>
  <c r="M188" i="6"/>
  <c r="M123" i="6"/>
  <c r="M208" i="6" s="1"/>
  <c r="P59" i="6"/>
  <c r="P62" i="6"/>
  <c r="O164" i="6"/>
  <c r="O82" i="6"/>
  <c r="N206" i="6" l="1"/>
  <c r="N234" i="6"/>
  <c r="N89" i="6"/>
  <c r="O165" i="6"/>
  <c r="O83" i="6"/>
  <c r="O114" i="6"/>
  <c r="P76" i="6"/>
  <c r="P61" i="6"/>
  <c r="O166" i="6" l="1"/>
  <c r="O128" i="6"/>
  <c r="P159" i="6"/>
  <c r="P115" i="1" s="1"/>
  <c r="P78" i="6"/>
  <c r="O199" i="6"/>
  <c r="O132" i="6"/>
  <c r="O217" i="6" s="1"/>
  <c r="O117" i="6"/>
  <c r="O202" i="6" s="1"/>
  <c r="N174" i="6"/>
  <c r="N93" i="6"/>
  <c r="P99" i="6"/>
  <c r="P64" i="6"/>
  <c r="P67" i="6" s="1"/>
  <c r="P116" i="1" l="1"/>
  <c r="O213" i="6"/>
  <c r="O135" i="6"/>
  <c r="O119" i="6"/>
  <c r="P161" i="6"/>
  <c r="P168" i="6" s="1"/>
  <c r="P81" i="6"/>
  <c r="N178" i="6"/>
  <c r="N103" i="6"/>
  <c r="Q58" i="6"/>
  <c r="P113" i="6"/>
  <c r="P184" i="6"/>
  <c r="P101" i="6"/>
  <c r="Q59" i="6" l="1"/>
  <c r="Q62" i="6"/>
  <c r="O204" i="6"/>
  <c r="O121" i="6"/>
  <c r="N188" i="6"/>
  <c r="N123" i="6"/>
  <c r="N208" i="6" s="1"/>
  <c r="O220" i="6"/>
  <c r="O149" i="6"/>
  <c r="P164" i="6"/>
  <c r="P82" i="6"/>
  <c r="P186" i="6"/>
  <c r="P198" i="6"/>
  <c r="O206" i="6" l="1"/>
  <c r="P165" i="6"/>
  <c r="P83" i="6"/>
  <c r="P114" i="6"/>
  <c r="O234" i="6"/>
  <c r="O89" i="6"/>
  <c r="Q76" i="6"/>
  <c r="Q61" i="6"/>
  <c r="O174" i="6" l="1"/>
  <c r="O93" i="6"/>
  <c r="Q159" i="6"/>
  <c r="Q115" i="1" s="1"/>
  <c r="Q78" i="6"/>
  <c r="P166" i="6"/>
  <c r="P128" i="6"/>
  <c r="P199" i="6"/>
  <c r="P132" i="6"/>
  <c r="P217" i="6" s="1"/>
  <c r="P117" i="6"/>
  <c r="P202" i="6" s="1"/>
  <c r="Q99" i="6"/>
  <c r="Q64" i="6"/>
  <c r="Q67" i="6" s="1"/>
  <c r="Q113" i="6" s="1"/>
  <c r="Q116" i="1" l="1"/>
  <c r="P213" i="6"/>
  <c r="P135" i="6"/>
  <c r="P119" i="6"/>
  <c r="Q198" i="6"/>
  <c r="Q184" i="6"/>
  <c r="Q101" i="6"/>
  <c r="O178" i="6"/>
  <c r="O103" i="6"/>
  <c r="Q161" i="6"/>
  <c r="Q168" i="6" s="1"/>
  <c r="Q81" i="6"/>
  <c r="P204" i="6" l="1"/>
  <c r="P121" i="6"/>
  <c r="P220" i="6"/>
  <c r="P149" i="6"/>
  <c r="Q186" i="6"/>
  <c r="Q164" i="6"/>
  <c r="Q82" i="6"/>
  <c r="O188" i="6"/>
  <c r="O123" i="6"/>
  <c r="O208" i="6" s="1"/>
  <c r="P206" i="6" l="1"/>
  <c r="P234" i="6"/>
  <c r="P89" i="6"/>
  <c r="Q83" i="6"/>
  <c r="Q114" i="6"/>
  <c r="Q165" i="6"/>
  <c r="Q199" i="6" l="1"/>
  <c r="Q132" i="6"/>
  <c r="Q217" i="6" s="1"/>
  <c r="Q117" i="6"/>
  <c r="Q202" i="6" s="1"/>
  <c r="Q166" i="6"/>
  <c r="Q128" i="6"/>
  <c r="P174" i="6"/>
  <c r="P93" i="6"/>
  <c r="Q213" i="6" l="1"/>
  <c r="Q135" i="6"/>
  <c r="Q119" i="6"/>
  <c r="P178" i="6"/>
  <c r="P103" i="6"/>
  <c r="P188" i="6" l="1"/>
  <c r="P123" i="6"/>
  <c r="P208" i="6" s="1"/>
  <c r="Q121" i="6"/>
  <c r="Q204" i="6"/>
  <c r="Q220" i="6"/>
  <c r="Q149" i="6"/>
  <c r="D7" i="5"/>
  <c r="D9" i="5" s="1"/>
  <c r="D12" i="1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E19" i="5"/>
  <c r="E28" i="5" s="1"/>
  <c r="F19" i="5"/>
  <c r="F20" i="5" s="1"/>
  <c r="H20" i="5"/>
  <c r="I20" i="5"/>
  <c r="G28" i="5"/>
  <c r="H28" i="5"/>
  <c r="I28" i="5"/>
  <c r="E30" i="5"/>
  <c r="G30" i="5"/>
  <c r="H30" i="5"/>
  <c r="I30" i="5"/>
  <c r="E32" i="5"/>
  <c r="G32" i="5"/>
  <c r="H32" i="5"/>
  <c r="I32" i="5"/>
  <c r="E42" i="5"/>
  <c r="F42" i="5"/>
  <c r="G42" i="5"/>
  <c r="H42" i="5"/>
  <c r="I42" i="5"/>
  <c r="J42" i="5"/>
  <c r="J41" i="5" s="1"/>
  <c r="K42" i="5"/>
  <c r="L42" i="5"/>
  <c r="M42" i="5"/>
  <c r="N42" i="5"/>
  <c r="O42" i="5"/>
  <c r="P42" i="5"/>
  <c r="Q42" i="5"/>
  <c r="R42" i="5"/>
  <c r="S42" i="5"/>
  <c r="J43" i="5"/>
  <c r="K43" i="5" s="1"/>
  <c r="L43" i="5" s="1"/>
  <c r="M43" i="5" s="1"/>
  <c r="N43" i="5" s="1"/>
  <c r="O43" i="5" s="1"/>
  <c r="P43" i="5" s="1"/>
  <c r="S43" i="5"/>
  <c r="E48" i="5"/>
  <c r="F48" i="5"/>
  <c r="G48" i="5"/>
  <c r="H48" i="5"/>
  <c r="I48" i="5"/>
  <c r="J48" i="5"/>
  <c r="J47" i="5" s="1"/>
  <c r="K48" i="5"/>
  <c r="L48" i="5"/>
  <c r="M48" i="5"/>
  <c r="N48" i="5"/>
  <c r="O48" i="5"/>
  <c r="P48" i="5"/>
  <c r="Q48" i="5"/>
  <c r="R48" i="5"/>
  <c r="S48" i="5"/>
  <c r="E54" i="5"/>
  <c r="F54" i="5"/>
  <c r="G54" i="5"/>
  <c r="H54" i="5"/>
  <c r="I54" i="5"/>
  <c r="J54" i="5"/>
  <c r="J53" i="5" s="1"/>
  <c r="K54" i="5"/>
  <c r="L54" i="5"/>
  <c r="M54" i="5"/>
  <c r="N54" i="5"/>
  <c r="O54" i="5"/>
  <c r="P54" i="5"/>
  <c r="Q54" i="5"/>
  <c r="R54" i="5"/>
  <c r="S54" i="5"/>
  <c r="K55" i="5"/>
  <c r="L55" i="5" s="1"/>
  <c r="M55" i="5" s="1"/>
  <c r="N55" i="5" s="1"/>
  <c r="O55" i="5" s="1"/>
  <c r="P55" i="5" s="1"/>
  <c r="Q55" i="5" s="1"/>
  <c r="E60" i="5"/>
  <c r="F60" i="5"/>
  <c r="G60" i="5"/>
  <c r="H60" i="5"/>
  <c r="I60" i="5"/>
  <c r="J66" i="5"/>
  <c r="O66" i="5"/>
  <c r="P66" i="5"/>
  <c r="Q66" i="5"/>
  <c r="R66" i="5"/>
  <c r="S66" i="5"/>
  <c r="E68" i="5"/>
  <c r="G68" i="5"/>
  <c r="H68" i="5"/>
  <c r="I68" i="5"/>
  <c r="G75" i="5"/>
  <c r="H75" i="5"/>
  <c r="I75" i="5"/>
  <c r="G78" i="5"/>
  <c r="H78" i="5"/>
  <c r="I78" i="5"/>
  <c r="G79" i="5"/>
  <c r="H79" i="5"/>
  <c r="I79" i="5"/>
  <c r="H80" i="5"/>
  <c r="H81" i="5" s="1"/>
  <c r="I80" i="5"/>
  <c r="I81" i="5" s="1"/>
  <c r="J81" i="5" s="1"/>
  <c r="H83" i="5"/>
  <c r="H84" i="5" s="1"/>
  <c r="I83" i="5"/>
  <c r="I84" i="5" s="1"/>
  <c r="P87" i="5"/>
  <c r="Q87" i="5" s="1"/>
  <c r="H88" i="5"/>
  <c r="I88" i="5"/>
  <c r="H89" i="5"/>
  <c r="I89" i="5"/>
  <c r="G95" i="5"/>
  <c r="G98" i="5" s="1"/>
  <c r="G96" i="5"/>
  <c r="H96" i="5"/>
  <c r="H71" i="5" s="1"/>
  <c r="I96" i="5"/>
  <c r="I71" i="5" s="1"/>
  <c r="G104" i="5"/>
  <c r="H95" i="5" s="1"/>
  <c r="H104" i="5"/>
  <c r="I104" i="5"/>
  <c r="J95" i="5" s="1"/>
  <c r="E109" i="5"/>
  <c r="F109" i="5" s="1"/>
  <c r="G109" i="5" s="1"/>
  <c r="H109" i="5" s="1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E110" i="5"/>
  <c r="E69" i="5" s="1"/>
  <c r="G110" i="5"/>
  <c r="G112" i="5" s="1"/>
  <c r="G117" i="5" s="1"/>
  <c r="H110" i="5"/>
  <c r="H112" i="5" s="1"/>
  <c r="H117" i="5" s="1"/>
  <c r="H123" i="5" s="1"/>
  <c r="H125" i="5" s="1"/>
  <c r="I110" i="5"/>
  <c r="I112" i="5"/>
  <c r="I117" i="5" s="1"/>
  <c r="J122" i="5"/>
  <c r="E130" i="5"/>
  <c r="F130" i="5"/>
  <c r="G130" i="5" s="1"/>
  <c r="H130" i="5" s="1"/>
  <c r="I130" i="5" s="1"/>
  <c r="J130" i="5" s="1"/>
  <c r="K130" i="5" s="1"/>
  <c r="L130" i="5" s="1"/>
  <c r="M130" i="5" s="1"/>
  <c r="N130" i="5" s="1"/>
  <c r="O130" i="5" s="1"/>
  <c r="P130" i="5" s="1"/>
  <c r="Q130" i="5" s="1"/>
  <c r="R130" i="5" s="1"/>
  <c r="S130" i="5" s="1"/>
  <c r="G137" i="5"/>
  <c r="H137" i="5"/>
  <c r="I137" i="5"/>
  <c r="J142" i="5"/>
  <c r="J143" i="5"/>
  <c r="J144" i="5"/>
  <c r="E195" i="1" s="1"/>
  <c r="I195" i="1" s="1"/>
  <c r="G145" i="5"/>
  <c r="G146" i="5" s="1"/>
  <c r="H145" i="5"/>
  <c r="I145" i="5"/>
  <c r="G154" i="5"/>
  <c r="H154" i="5"/>
  <c r="I154" i="5"/>
  <c r="G160" i="5"/>
  <c r="H160" i="5"/>
  <c r="I160" i="5"/>
  <c r="G164" i="5"/>
  <c r="H164" i="5"/>
  <c r="I164" i="5"/>
  <c r="E170" i="5"/>
  <c r="F170" i="5"/>
  <c r="G170" i="5" s="1"/>
  <c r="H170" i="5" s="1"/>
  <c r="I170" i="5" s="1"/>
  <c r="J170" i="5" s="1"/>
  <c r="K170" i="5" s="1"/>
  <c r="L170" i="5" s="1"/>
  <c r="M170" i="5" s="1"/>
  <c r="N170" i="5" s="1"/>
  <c r="O170" i="5" s="1"/>
  <c r="P170" i="5" s="1"/>
  <c r="Q170" i="5" s="1"/>
  <c r="R170" i="5" s="1"/>
  <c r="S170" i="5" s="1"/>
  <c r="K177" i="5"/>
  <c r="J178" i="5"/>
  <c r="K178" i="5" s="1"/>
  <c r="I152" i="1" s="1"/>
  <c r="G181" i="5"/>
  <c r="H181" i="5"/>
  <c r="I181" i="5"/>
  <c r="J185" i="5"/>
  <c r="K185" i="5" s="1"/>
  <c r="G186" i="5"/>
  <c r="H186" i="5"/>
  <c r="I186" i="5"/>
  <c r="J190" i="5"/>
  <c r="K190" i="5" s="1"/>
  <c r="G191" i="5"/>
  <c r="H191" i="5"/>
  <c r="I191" i="5"/>
  <c r="K193" i="5"/>
  <c r="F68" i="5" l="1"/>
  <c r="F110" i="5"/>
  <c r="F69" i="5" s="1"/>
  <c r="L185" i="5"/>
  <c r="I166" i="1"/>
  <c r="K143" i="5"/>
  <c r="L143" i="5" s="1"/>
  <c r="M143" i="5" s="1"/>
  <c r="N143" i="5" s="1"/>
  <c r="O143" i="5" s="1"/>
  <c r="P143" i="5" s="1"/>
  <c r="Q143" i="5" s="1"/>
  <c r="R143" i="5" s="1"/>
  <c r="S143" i="5" s="1"/>
  <c r="E192" i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J75" i="5"/>
  <c r="K75" i="5" s="1"/>
  <c r="L75" i="5" s="1"/>
  <c r="M75" i="5" s="1"/>
  <c r="N75" i="5" s="1"/>
  <c r="O75" i="5" s="1"/>
  <c r="P75" i="5" s="1"/>
  <c r="Q75" i="5" s="1"/>
  <c r="R75" i="5" s="1"/>
  <c r="S75" i="5" s="1"/>
  <c r="I194" i="5"/>
  <c r="K142" i="5"/>
  <c r="L142" i="5" s="1"/>
  <c r="M142" i="5" s="1"/>
  <c r="N142" i="5" s="1"/>
  <c r="O142" i="5" s="1"/>
  <c r="P142" i="5" s="1"/>
  <c r="Q142" i="5" s="1"/>
  <c r="R142" i="5" s="1"/>
  <c r="S142" i="5" s="1"/>
  <c r="E193" i="1"/>
  <c r="L193" i="5"/>
  <c r="I175" i="1"/>
  <c r="L190" i="5"/>
  <c r="I172" i="1"/>
  <c r="G97" i="5"/>
  <c r="K144" i="5"/>
  <c r="L177" i="5"/>
  <c r="I151" i="1"/>
  <c r="D14" i="1"/>
  <c r="P132" i="1"/>
  <c r="J132" i="1"/>
  <c r="I132" i="1"/>
  <c r="O132" i="1"/>
  <c r="Q132" i="1"/>
  <c r="K132" i="1"/>
  <c r="L132" i="1"/>
  <c r="M132" i="1"/>
  <c r="N132" i="1"/>
  <c r="H119" i="5"/>
  <c r="H127" i="5" s="1"/>
  <c r="I90" i="5"/>
  <c r="G165" i="5"/>
  <c r="G167" i="5" s="1"/>
  <c r="H90" i="5"/>
  <c r="I6" i="5"/>
  <c r="J28" i="5" s="1"/>
  <c r="I165" i="5"/>
  <c r="J191" i="5"/>
  <c r="E112" i="5"/>
  <c r="E117" i="5" s="1"/>
  <c r="E119" i="5" s="1"/>
  <c r="J84" i="5"/>
  <c r="J78" i="5"/>
  <c r="K78" i="5" s="1"/>
  <c r="L78" i="5" s="1"/>
  <c r="M78" i="5" s="1"/>
  <c r="N78" i="5" s="1"/>
  <c r="O78" i="5" s="1"/>
  <c r="P78" i="5" s="1"/>
  <c r="Q78" i="5" s="1"/>
  <c r="R78" i="5" s="1"/>
  <c r="S78" i="5" s="1"/>
  <c r="H146" i="5"/>
  <c r="G194" i="5"/>
  <c r="J159" i="5"/>
  <c r="H194" i="5"/>
  <c r="I146" i="5"/>
  <c r="J79" i="5"/>
  <c r="K79" i="5" s="1"/>
  <c r="L79" i="5" s="1"/>
  <c r="M79" i="5" s="1"/>
  <c r="N79" i="5" s="1"/>
  <c r="O79" i="5" s="1"/>
  <c r="G71" i="5"/>
  <c r="H40" i="5"/>
  <c r="H62" i="5" s="1"/>
  <c r="H37" i="5" s="1"/>
  <c r="I5" i="5"/>
  <c r="P60" i="5" s="1"/>
  <c r="E40" i="5"/>
  <c r="E62" i="5" s="1"/>
  <c r="E38" i="5" s="1"/>
  <c r="G40" i="5"/>
  <c r="G62" i="5" s="1"/>
  <c r="F40" i="5"/>
  <c r="F62" i="5" s="1"/>
  <c r="F37" i="5" s="1"/>
  <c r="F30" i="5"/>
  <c r="E20" i="5"/>
  <c r="J68" i="5"/>
  <c r="K68" i="5" s="1"/>
  <c r="L68" i="5" s="1"/>
  <c r="M68" i="5" s="1"/>
  <c r="N68" i="5" s="1"/>
  <c r="O68" i="5" s="1"/>
  <c r="P68" i="5" s="1"/>
  <c r="Q68" i="5" s="1"/>
  <c r="R68" i="5" s="1"/>
  <c r="S68" i="5" s="1"/>
  <c r="I40" i="5"/>
  <c r="I62" i="5" s="1"/>
  <c r="I63" i="5" s="1"/>
  <c r="F112" i="5"/>
  <c r="F117" i="5" s="1"/>
  <c r="F119" i="5" s="1"/>
  <c r="F32" i="5"/>
  <c r="Q234" i="6"/>
  <c r="Q89" i="6"/>
  <c r="Q206" i="6"/>
  <c r="G119" i="5"/>
  <c r="G127" i="5" s="1"/>
  <c r="G123" i="5"/>
  <c r="G125" i="5" s="1"/>
  <c r="K189" i="5"/>
  <c r="I170" i="1" s="1"/>
  <c r="H98" i="5"/>
  <c r="H99" i="5" s="1"/>
  <c r="H100" i="5" s="1"/>
  <c r="H97" i="5"/>
  <c r="I119" i="5"/>
  <c r="I127" i="5" s="1"/>
  <c r="I123" i="5"/>
  <c r="L178" i="5"/>
  <c r="H165" i="5"/>
  <c r="J98" i="5"/>
  <c r="P79" i="5"/>
  <c r="K84" i="5"/>
  <c r="I76" i="5"/>
  <c r="J76" i="5" s="1"/>
  <c r="I87" i="5"/>
  <c r="I91" i="5"/>
  <c r="J91" i="5" s="1"/>
  <c r="K91" i="5" s="1"/>
  <c r="L91" i="5" s="1"/>
  <c r="M91" i="5" s="1"/>
  <c r="N91" i="5" s="1"/>
  <c r="O91" i="5" s="1"/>
  <c r="I69" i="5"/>
  <c r="I74" i="5"/>
  <c r="J74" i="5" s="1"/>
  <c r="I82" i="5"/>
  <c r="R87" i="5"/>
  <c r="Q91" i="5"/>
  <c r="I7" i="5"/>
  <c r="K28" i="5"/>
  <c r="L28" i="5"/>
  <c r="O28" i="5"/>
  <c r="Q28" i="5"/>
  <c r="K122" i="5"/>
  <c r="I127" i="1" s="1"/>
  <c r="H87" i="5"/>
  <c r="H91" i="5"/>
  <c r="H69" i="5"/>
  <c r="H74" i="5"/>
  <c r="H82" i="5"/>
  <c r="K53" i="5"/>
  <c r="G87" i="5"/>
  <c r="G69" i="5"/>
  <c r="G74" i="5"/>
  <c r="G82" i="5"/>
  <c r="G76" i="5"/>
  <c r="H76" i="5"/>
  <c r="G91" i="5"/>
  <c r="I95" i="5"/>
  <c r="I97" i="5" s="1"/>
  <c r="K41" i="5"/>
  <c r="G35" i="5"/>
  <c r="F28" i="5"/>
  <c r="G20" i="5"/>
  <c r="G99" i="5"/>
  <c r="P91" i="5"/>
  <c r="K47" i="5"/>
  <c r="H63" i="5" l="1"/>
  <c r="K159" i="5"/>
  <c r="J213" i="1" s="1"/>
  <c r="E213" i="1"/>
  <c r="I213" i="1" s="1"/>
  <c r="M177" i="5"/>
  <c r="J151" i="1"/>
  <c r="L144" i="5"/>
  <c r="J195" i="1"/>
  <c r="M190" i="5"/>
  <c r="J172" i="1"/>
  <c r="L159" i="5"/>
  <c r="K213" i="1" s="1"/>
  <c r="J152" i="1"/>
  <c r="S28" i="5"/>
  <c r="H36" i="5"/>
  <c r="I167" i="5"/>
  <c r="M193" i="5"/>
  <c r="J175" i="1"/>
  <c r="M185" i="5"/>
  <c r="J166" i="1"/>
  <c r="F38" i="5"/>
  <c r="F35" i="5"/>
  <c r="F36" i="5"/>
  <c r="I35" i="5"/>
  <c r="H38" i="5"/>
  <c r="I36" i="5"/>
  <c r="H35" i="5"/>
  <c r="E123" i="5"/>
  <c r="E125" i="5" s="1"/>
  <c r="R28" i="5"/>
  <c r="P28" i="5"/>
  <c r="I38" i="5"/>
  <c r="N28" i="5"/>
  <c r="I37" i="5"/>
  <c r="M28" i="5"/>
  <c r="E35" i="5"/>
  <c r="F63" i="5"/>
  <c r="E36" i="5"/>
  <c r="E37" i="5"/>
  <c r="E63" i="5"/>
  <c r="H167" i="5"/>
  <c r="N60" i="5"/>
  <c r="L60" i="5"/>
  <c r="K60" i="5"/>
  <c r="G36" i="5"/>
  <c r="S60" i="5"/>
  <c r="R60" i="5"/>
  <c r="G37" i="5"/>
  <c r="J60" i="5"/>
  <c r="J59" i="5" s="1"/>
  <c r="J40" i="5" s="1"/>
  <c r="G63" i="5"/>
  <c r="J65" i="5" s="1"/>
  <c r="O60" i="5"/>
  <c r="Q60" i="5"/>
  <c r="J69" i="5"/>
  <c r="K69" i="5" s="1"/>
  <c r="L69" i="5" s="1"/>
  <c r="M69" i="5" s="1"/>
  <c r="N69" i="5" s="1"/>
  <c r="O69" i="5" s="1"/>
  <c r="P69" i="5" s="1"/>
  <c r="Q69" i="5" s="1"/>
  <c r="R69" i="5" s="1"/>
  <c r="S69" i="5" s="1"/>
  <c r="G38" i="5"/>
  <c r="M60" i="5"/>
  <c r="F123" i="5"/>
  <c r="F125" i="5" s="1"/>
  <c r="Q174" i="6"/>
  <c r="Q93" i="6"/>
  <c r="H101" i="5"/>
  <c r="H102" i="5" s="1"/>
  <c r="H103" i="5" s="1"/>
  <c r="M178" i="5"/>
  <c r="I98" i="5"/>
  <c r="I99" i="5" s="1"/>
  <c r="I100" i="5" s="1"/>
  <c r="K76" i="5"/>
  <c r="Q79" i="5"/>
  <c r="J97" i="5"/>
  <c r="J82" i="5"/>
  <c r="J87" i="5"/>
  <c r="K87" i="5" s="1"/>
  <c r="L87" i="5" s="1"/>
  <c r="M87" i="5" s="1"/>
  <c r="N87" i="5" s="1"/>
  <c r="L84" i="5"/>
  <c r="L41" i="5"/>
  <c r="G100" i="5"/>
  <c r="G101" i="5"/>
  <c r="G102" i="5" s="1"/>
  <c r="G103" i="5" s="1"/>
  <c r="S87" i="5"/>
  <c r="S91" i="5" s="1"/>
  <c r="R91" i="5"/>
  <c r="L53" i="5"/>
  <c r="J30" i="5"/>
  <c r="J32" i="5" s="1"/>
  <c r="R30" i="5"/>
  <c r="R32" i="5" s="1"/>
  <c r="K30" i="5"/>
  <c r="K32" i="5" s="1"/>
  <c r="S30" i="5"/>
  <c r="L30" i="5"/>
  <c r="L32" i="5" s="1"/>
  <c r="M30" i="5"/>
  <c r="N30" i="5"/>
  <c r="O30" i="5"/>
  <c r="O32" i="5" s="1"/>
  <c r="P30" i="5"/>
  <c r="P32" i="5" s="1"/>
  <c r="Q30" i="5"/>
  <c r="Q32" i="5" s="1"/>
  <c r="K191" i="5"/>
  <c r="L189" i="5"/>
  <c r="J170" i="1" s="1"/>
  <c r="L47" i="5"/>
  <c r="K74" i="5"/>
  <c r="L122" i="5"/>
  <c r="J127" i="1" s="1"/>
  <c r="D6" i="5"/>
  <c r="M15" i="1" s="1"/>
  <c r="N98" i="1" s="1"/>
  <c r="I125" i="5"/>
  <c r="S32" i="5" l="1"/>
  <c r="M159" i="5"/>
  <c r="L213" i="1" s="1"/>
  <c r="K152" i="1"/>
  <c r="N185" i="5"/>
  <c r="K166" i="1"/>
  <c r="N193" i="5"/>
  <c r="K175" i="1"/>
  <c r="M144" i="5"/>
  <c r="K195" i="1"/>
  <c r="N177" i="5"/>
  <c r="K151" i="1"/>
  <c r="N190" i="5"/>
  <c r="K172" i="1"/>
  <c r="N32" i="5"/>
  <c r="H211" i="1"/>
  <c r="G93" i="1"/>
  <c r="G94" i="1" s="1"/>
  <c r="G193" i="1" s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M32" i="5"/>
  <c r="K59" i="5"/>
  <c r="L59" i="5" s="1"/>
  <c r="L40" i="5" s="1"/>
  <c r="J100" i="5"/>
  <c r="J99" i="5" s="1"/>
  <c r="Q178" i="6"/>
  <c r="Q103" i="6"/>
  <c r="M53" i="5"/>
  <c r="M41" i="5"/>
  <c r="R79" i="5"/>
  <c r="M47" i="5"/>
  <c r="M84" i="5"/>
  <c r="L76" i="5"/>
  <c r="M122" i="5"/>
  <c r="K127" i="1" s="1"/>
  <c r="L191" i="5"/>
  <c r="M189" i="5"/>
  <c r="K170" i="1" s="1"/>
  <c r="K65" i="5"/>
  <c r="J63" i="5"/>
  <c r="J62" i="5" s="1"/>
  <c r="I101" i="5"/>
  <c r="I102" i="5" s="1"/>
  <c r="I103" i="5" s="1"/>
  <c r="J103" i="5" s="1"/>
  <c r="L74" i="5"/>
  <c r="K100" i="5"/>
  <c r="K82" i="5"/>
  <c r="N178" i="5"/>
  <c r="K97" i="5"/>
  <c r="J96" i="5"/>
  <c r="N144" i="5" l="1"/>
  <c r="L195" i="1"/>
  <c r="O193" i="5"/>
  <c r="L175" i="1"/>
  <c r="N159" i="5"/>
  <c r="M213" i="1" s="1"/>
  <c r="L152" i="1"/>
  <c r="O190" i="5"/>
  <c r="L172" i="1"/>
  <c r="O185" i="5"/>
  <c r="L166" i="1"/>
  <c r="O177" i="5"/>
  <c r="L151" i="1"/>
  <c r="K40" i="5"/>
  <c r="Q188" i="6"/>
  <c r="Q123" i="6"/>
  <c r="Q208" i="6" s="1"/>
  <c r="K103" i="5"/>
  <c r="N122" i="5"/>
  <c r="L127" i="1" s="1"/>
  <c r="M74" i="5"/>
  <c r="M59" i="5"/>
  <c r="M40" i="5" s="1"/>
  <c r="L97" i="5"/>
  <c r="N53" i="5"/>
  <c r="L82" i="5"/>
  <c r="K63" i="5"/>
  <c r="K62" i="5" s="1"/>
  <c r="L65" i="5"/>
  <c r="S79" i="5"/>
  <c r="O178" i="5"/>
  <c r="L100" i="5"/>
  <c r="N84" i="5"/>
  <c r="J35" i="5"/>
  <c r="J37" i="5"/>
  <c r="J24" i="5" s="1"/>
  <c r="J36" i="5"/>
  <c r="J23" i="5" s="1"/>
  <c r="J38" i="5"/>
  <c r="J25" i="5" s="1"/>
  <c r="M76" i="5"/>
  <c r="J71" i="5"/>
  <c r="J115" i="5"/>
  <c r="J106" i="5"/>
  <c r="J101" i="5"/>
  <c r="N189" i="5"/>
  <c r="L170" i="1" s="1"/>
  <c r="M191" i="5"/>
  <c r="N47" i="5"/>
  <c r="N41" i="5"/>
  <c r="P177" i="5" l="1"/>
  <c r="M151" i="1"/>
  <c r="P193" i="5"/>
  <c r="M175" i="1"/>
  <c r="P190" i="5"/>
  <c r="M172" i="1"/>
  <c r="O159" i="5"/>
  <c r="N213" i="1" s="1"/>
  <c r="M152" i="1"/>
  <c r="P185" i="5"/>
  <c r="M166" i="1"/>
  <c r="O144" i="5"/>
  <c r="M195" i="1"/>
  <c r="P178" i="5"/>
  <c r="K36" i="5"/>
  <c r="K23" i="5" s="1"/>
  <c r="K37" i="5"/>
  <c r="K24" i="5" s="1"/>
  <c r="K35" i="5"/>
  <c r="K38" i="5"/>
  <c r="K25" i="5" s="1"/>
  <c r="N76" i="5"/>
  <c r="M100" i="5"/>
  <c r="M82" i="5"/>
  <c r="L103" i="5"/>
  <c r="O53" i="5"/>
  <c r="O84" i="5"/>
  <c r="N59" i="5"/>
  <c r="O189" i="5"/>
  <c r="M170" i="1" s="1"/>
  <c r="N191" i="5"/>
  <c r="J22" i="5"/>
  <c r="J19" i="5" s="1"/>
  <c r="J34" i="5"/>
  <c r="J27" i="5" s="1"/>
  <c r="O122" i="5"/>
  <c r="M127" i="1" s="1"/>
  <c r="O47" i="5"/>
  <c r="N74" i="5"/>
  <c r="Q178" i="5"/>
  <c r="O152" i="1" s="1"/>
  <c r="O41" i="5"/>
  <c r="L63" i="5"/>
  <c r="L62" i="5" s="1"/>
  <c r="M65" i="5"/>
  <c r="M97" i="5"/>
  <c r="P159" i="5" l="1"/>
  <c r="O213" i="1" s="1"/>
  <c r="N152" i="1"/>
  <c r="Q190" i="5"/>
  <c r="N172" i="1"/>
  <c r="P144" i="5"/>
  <c r="N195" i="1"/>
  <c r="Q193" i="5"/>
  <c r="N175" i="1"/>
  <c r="Q185" i="5"/>
  <c r="N166" i="1"/>
  <c r="Q177" i="5"/>
  <c r="N151" i="1"/>
  <c r="R178" i="5"/>
  <c r="Q159" i="5"/>
  <c r="P213" i="1" s="1"/>
  <c r="L35" i="5"/>
  <c r="L36" i="5"/>
  <c r="L23" i="5" s="1"/>
  <c r="L37" i="5"/>
  <c r="L24" i="5" s="1"/>
  <c r="L38" i="5"/>
  <c r="L25" i="5" s="1"/>
  <c r="P84" i="5"/>
  <c r="N82" i="5"/>
  <c r="P47" i="5"/>
  <c r="O74" i="5"/>
  <c r="M63" i="5"/>
  <c r="M62" i="5" s="1"/>
  <c r="N65" i="5"/>
  <c r="N100" i="5"/>
  <c r="P189" i="5"/>
  <c r="N170" i="1" s="1"/>
  <c r="O191" i="5"/>
  <c r="O76" i="5"/>
  <c r="O59" i="5"/>
  <c r="O40" i="5" s="1"/>
  <c r="M103" i="5"/>
  <c r="N40" i="5"/>
  <c r="P122" i="5"/>
  <c r="N127" i="1" s="1"/>
  <c r="N97" i="5"/>
  <c r="J29" i="5"/>
  <c r="J31" i="5"/>
  <c r="J20" i="5"/>
  <c r="J110" i="5"/>
  <c r="J102" i="5"/>
  <c r="P53" i="5"/>
  <c r="P41" i="5"/>
  <c r="K22" i="5"/>
  <c r="K19" i="5" s="1"/>
  <c r="K34" i="5"/>
  <c r="K27" i="5" s="1"/>
  <c r="R193" i="5" l="1"/>
  <c r="O175" i="1"/>
  <c r="S178" i="5"/>
  <c r="Q152" i="1" s="1"/>
  <c r="P152" i="1"/>
  <c r="Q144" i="5"/>
  <c r="O195" i="1"/>
  <c r="R177" i="5"/>
  <c r="O151" i="1"/>
  <c r="R190" i="5"/>
  <c r="O172" i="1"/>
  <c r="R185" i="5"/>
  <c r="R159" i="5" s="1"/>
  <c r="Q213" i="1" s="1"/>
  <c r="O166" i="1"/>
  <c r="M35" i="5"/>
  <c r="M37" i="5"/>
  <c r="M24" i="5" s="1"/>
  <c r="M36" i="5"/>
  <c r="M23" i="5" s="1"/>
  <c r="M38" i="5"/>
  <c r="M25" i="5" s="1"/>
  <c r="Q41" i="5"/>
  <c r="P59" i="5"/>
  <c r="P40" i="5" s="1"/>
  <c r="N63" i="5"/>
  <c r="N62" i="5" s="1"/>
  <c r="O65" i="5"/>
  <c r="O82" i="5"/>
  <c r="Q84" i="5"/>
  <c r="O97" i="5"/>
  <c r="Q53" i="5"/>
  <c r="P76" i="5"/>
  <c r="P74" i="5"/>
  <c r="J105" i="5"/>
  <c r="J141" i="5" s="1"/>
  <c r="E191" i="1" s="1"/>
  <c r="I191" i="1" s="1"/>
  <c r="J104" i="5"/>
  <c r="Q122" i="5"/>
  <c r="O127" i="1" s="1"/>
  <c r="K29" i="5"/>
  <c r="K31" i="5"/>
  <c r="K20" i="5"/>
  <c r="K110" i="5"/>
  <c r="I102" i="1" s="1"/>
  <c r="I105" i="1" s="1"/>
  <c r="K102" i="5"/>
  <c r="K105" i="5" s="1"/>
  <c r="J111" i="5"/>
  <c r="J114" i="5"/>
  <c r="J174" i="5"/>
  <c r="J184" i="5"/>
  <c r="J134" i="5"/>
  <c r="E184" i="1" s="1"/>
  <c r="I184" i="1" s="1"/>
  <c r="J136" i="5"/>
  <c r="E186" i="1" s="1"/>
  <c r="I186" i="1" s="1"/>
  <c r="J153" i="5"/>
  <c r="E206" i="1" s="1"/>
  <c r="I206" i="1" s="1"/>
  <c r="P191" i="5"/>
  <c r="Q189" i="5"/>
  <c r="O170" i="1" s="1"/>
  <c r="Q47" i="5"/>
  <c r="N103" i="5"/>
  <c r="O100" i="5"/>
  <c r="L22" i="5"/>
  <c r="L19" i="5" s="1"/>
  <c r="L34" i="5"/>
  <c r="L27" i="5" s="1"/>
  <c r="S177" i="5" l="1"/>
  <c r="Q151" i="1" s="1"/>
  <c r="P151" i="1"/>
  <c r="R144" i="5"/>
  <c r="P195" i="1"/>
  <c r="S185" i="5"/>
  <c r="P166" i="1"/>
  <c r="S190" i="5"/>
  <c r="Q172" i="1" s="1"/>
  <c r="P172" i="1"/>
  <c r="S193" i="5"/>
  <c r="Q175" i="1" s="1"/>
  <c r="P175" i="1"/>
  <c r="N36" i="5"/>
  <c r="N23" i="5" s="1"/>
  <c r="N35" i="5"/>
  <c r="N37" i="5"/>
  <c r="N24" i="5" s="1"/>
  <c r="N38" i="5"/>
  <c r="N25" i="5" s="1"/>
  <c r="R53" i="5"/>
  <c r="P100" i="5"/>
  <c r="R84" i="5"/>
  <c r="R41" i="5"/>
  <c r="Q191" i="5"/>
  <c r="R189" i="5"/>
  <c r="P170" i="1" s="1"/>
  <c r="Q74" i="5"/>
  <c r="J140" i="5"/>
  <c r="E190" i="1" s="1"/>
  <c r="J186" i="5"/>
  <c r="J88" i="5"/>
  <c r="Q76" i="5"/>
  <c r="P82" i="5"/>
  <c r="J135" i="5"/>
  <c r="E185" i="1" s="1"/>
  <c r="I185" i="1" s="1"/>
  <c r="J150" i="5"/>
  <c r="E202" i="1" s="1"/>
  <c r="J112" i="5"/>
  <c r="J117" i="5" s="1"/>
  <c r="J119" i="5" s="1"/>
  <c r="O103" i="5"/>
  <c r="R47" i="5"/>
  <c r="J151" i="5"/>
  <c r="E203" i="1" s="1"/>
  <c r="I203" i="1" s="1"/>
  <c r="R122" i="5"/>
  <c r="P127" i="1" s="1"/>
  <c r="O63" i="5"/>
  <c r="O62" i="5" s="1"/>
  <c r="P65" i="5"/>
  <c r="L20" i="5"/>
  <c r="L29" i="5"/>
  <c r="L31" i="5"/>
  <c r="L110" i="5"/>
  <c r="J102" i="1" s="1"/>
  <c r="J105" i="1" s="1"/>
  <c r="L102" i="5"/>
  <c r="L105" i="5" s="1"/>
  <c r="K95" i="5"/>
  <c r="J157" i="5"/>
  <c r="E210" i="1" s="1"/>
  <c r="M22" i="5"/>
  <c r="M19" i="5" s="1"/>
  <c r="M34" i="5"/>
  <c r="M27" i="5" s="1"/>
  <c r="K174" i="5"/>
  <c r="I148" i="1" s="1"/>
  <c r="K111" i="5"/>
  <c r="I107" i="1" s="1"/>
  <c r="I109" i="1" s="1"/>
  <c r="I111" i="1" s="1"/>
  <c r="I112" i="1" s="1"/>
  <c r="K114" i="5"/>
  <c r="K184" i="5"/>
  <c r="K136" i="5"/>
  <c r="J186" i="1" s="1"/>
  <c r="K134" i="5"/>
  <c r="J184" i="1" s="1"/>
  <c r="K153" i="5"/>
  <c r="J206" i="1" s="1"/>
  <c r="P97" i="5"/>
  <c r="Q59" i="5"/>
  <c r="Q40" i="5" s="1"/>
  <c r="Q166" i="1" l="1"/>
  <c r="S159" i="5"/>
  <c r="R213" i="1" s="1"/>
  <c r="S144" i="5"/>
  <c r="R195" i="1" s="1"/>
  <c r="Q195" i="1"/>
  <c r="K186" i="5"/>
  <c r="I163" i="1"/>
  <c r="I167" i="1" s="1"/>
  <c r="I210" i="1"/>
  <c r="E196" i="1"/>
  <c r="I190" i="1"/>
  <c r="J123" i="5"/>
  <c r="J124" i="5" s="1"/>
  <c r="J80" i="5" s="1"/>
  <c r="J152" i="5" s="1"/>
  <c r="J127" i="5"/>
  <c r="D27" i="1" s="1"/>
  <c r="I202" i="1"/>
  <c r="O35" i="5"/>
  <c r="O36" i="5"/>
  <c r="O23" i="5" s="1"/>
  <c r="O37" i="5"/>
  <c r="O24" i="5" s="1"/>
  <c r="O38" i="5"/>
  <c r="O25" i="5" s="1"/>
  <c r="M20" i="5"/>
  <c r="M29" i="5"/>
  <c r="M31" i="5"/>
  <c r="M110" i="5"/>
  <c r="K102" i="1" s="1"/>
  <c r="K105" i="1" s="1"/>
  <c r="M102" i="5"/>
  <c r="M105" i="5" s="1"/>
  <c r="R191" i="5"/>
  <c r="S189" i="5"/>
  <c r="Q100" i="5"/>
  <c r="S53" i="5"/>
  <c r="S122" i="5"/>
  <c r="Q127" i="1" s="1"/>
  <c r="P103" i="5"/>
  <c r="R59" i="5"/>
  <c r="R40" i="5" s="1"/>
  <c r="S41" i="5"/>
  <c r="Q65" i="5"/>
  <c r="P63" i="5"/>
  <c r="P62" i="5" s="1"/>
  <c r="K98" i="5"/>
  <c r="K96" i="5"/>
  <c r="K99" i="5"/>
  <c r="K106" i="5" s="1"/>
  <c r="K141" i="5" s="1"/>
  <c r="J191" i="1" s="1"/>
  <c r="K112" i="5"/>
  <c r="K135" i="5"/>
  <c r="K150" i="5"/>
  <c r="J202" i="1" s="1"/>
  <c r="L174" i="5"/>
  <c r="J148" i="1" s="1"/>
  <c r="L111" i="5"/>
  <c r="J107" i="1" s="1"/>
  <c r="J109" i="1" s="1"/>
  <c r="J111" i="1" s="1"/>
  <c r="J112" i="1" s="1"/>
  <c r="L114" i="5"/>
  <c r="L184" i="5"/>
  <c r="L134" i="5"/>
  <c r="K184" i="1" s="1"/>
  <c r="L136" i="5"/>
  <c r="K186" i="1" s="1"/>
  <c r="L153" i="5"/>
  <c r="K206" i="1" s="1"/>
  <c r="K140" i="5"/>
  <c r="J145" i="5"/>
  <c r="S84" i="5"/>
  <c r="N22" i="5"/>
  <c r="N19" i="5" s="1"/>
  <c r="N34" i="5"/>
  <c r="N27" i="5" s="1"/>
  <c r="R76" i="5"/>
  <c r="K151" i="5"/>
  <c r="J203" i="1" s="1"/>
  <c r="Q97" i="5"/>
  <c r="S47" i="5"/>
  <c r="Q82" i="5"/>
  <c r="R74" i="5"/>
  <c r="S191" i="5" l="1"/>
  <c r="Q170" i="1"/>
  <c r="J89" i="5"/>
  <c r="J90" i="5" s="1"/>
  <c r="J180" i="5" s="1"/>
  <c r="E204" i="1"/>
  <c r="J196" i="1"/>
  <c r="J125" i="5"/>
  <c r="J172" i="5" s="1"/>
  <c r="J163" i="5" s="1"/>
  <c r="K88" i="5"/>
  <c r="J185" i="1"/>
  <c r="L186" i="5"/>
  <c r="J163" i="1"/>
  <c r="J167" i="1" s="1"/>
  <c r="J83" i="5"/>
  <c r="J158" i="5" s="1"/>
  <c r="J179" i="5" s="1"/>
  <c r="P37" i="5"/>
  <c r="P24" i="5" s="1"/>
  <c r="P36" i="5"/>
  <c r="P23" i="5" s="1"/>
  <c r="P35" i="5"/>
  <c r="P38" i="5"/>
  <c r="P25" i="5" s="1"/>
  <c r="R97" i="5"/>
  <c r="J154" i="5"/>
  <c r="S74" i="5"/>
  <c r="N20" i="5"/>
  <c r="N29" i="5"/>
  <c r="N31" i="5"/>
  <c r="N110" i="5"/>
  <c r="L102" i="1" s="1"/>
  <c r="L105" i="1" s="1"/>
  <c r="N102" i="5"/>
  <c r="N105" i="5" s="1"/>
  <c r="K71" i="5"/>
  <c r="K115" i="5"/>
  <c r="M174" i="5"/>
  <c r="K148" i="1" s="1"/>
  <c r="M111" i="5"/>
  <c r="K107" i="1" s="1"/>
  <c r="K109" i="1" s="1"/>
  <c r="K111" i="1" s="1"/>
  <c r="K112" i="1" s="1"/>
  <c r="M114" i="5"/>
  <c r="M184" i="5"/>
  <c r="M136" i="5"/>
  <c r="L186" i="1" s="1"/>
  <c r="M134" i="5"/>
  <c r="L184" i="1" s="1"/>
  <c r="M153" i="5"/>
  <c r="L206" i="1" s="1"/>
  <c r="L151" i="5"/>
  <c r="K203" i="1" s="1"/>
  <c r="L112" i="5"/>
  <c r="L135" i="5"/>
  <c r="K185" i="1" s="1"/>
  <c r="L150" i="5"/>
  <c r="K202" i="1" s="1"/>
  <c r="K101" i="5"/>
  <c r="K104" i="5" s="1"/>
  <c r="O34" i="5"/>
  <c r="O27" i="5" s="1"/>
  <c r="O22" i="5"/>
  <c r="O19" i="5" s="1"/>
  <c r="S59" i="5"/>
  <c r="S40" i="5" s="1"/>
  <c r="R82" i="5"/>
  <c r="S76" i="5"/>
  <c r="L140" i="5"/>
  <c r="K145" i="5"/>
  <c r="R65" i="5"/>
  <c r="Q63" i="5"/>
  <c r="Q62" i="5" s="1"/>
  <c r="Q103" i="5"/>
  <c r="R100" i="5"/>
  <c r="J181" i="5" l="1"/>
  <c r="J194" i="5" s="1"/>
  <c r="J133" i="5" s="1"/>
  <c r="D23" i="1" s="1"/>
  <c r="K190" i="1"/>
  <c r="K117" i="5"/>
  <c r="K119" i="5" s="1"/>
  <c r="I114" i="1"/>
  <c r="I121" i="1" s="1"/>
  <c r="I123" i="1" s="1"/>
  <c r="J160" i="5"/>
  <c r="E211" i="1"/>
  <c r="D24" i="1"/>
  <c r="E183" i="1"/>
  <c r="E187" i="1" s="1"/>
  <c r="E198" i="1" s="1"/>
  <c r="L88" i="5"/>
  <c r="I204" i="1"/>
  <c r="I207" i="1" s="1"/>
  <c r="E207" i="1"/>
  <c r="M186" i="5"/>
  <c r="K163" i="1"/>
  <c r="K167" i="1" s="1"/>
  <c r="Q35" i="5"/>
  <c r="Q37" i="5"/>
  <c r="Q24" i="5" s="1"/>
  <c r="Q36" i="5"/>
  <c r="Q23" i="5" s="1"/>
  <c r="Q38" i="5"/>
  <c r="Q25" i="5" s="1"/>
  <c r="J137" i="5"/>
  <c r="J146" i="5" s="1"/>
  <c r="S97" i="5"/>
  <c r="S100" i="5"/>
  <c r="R103" i="5"/>
  <c r="P34" i="5"/>
  <c r="P27" i="5" s="1"/>
  <c r="P22" i="5"/>
  <c r="P19" i="5" s="1"/>
  <c r="M140" i="5"/>
  <c r="M151" i="5"/>
  <c r="L203" i="1" s="1"/>
  <c r="S65" i="5"/>
  <c r="S63" i="5" s="1"/>
  <c r="R63" i="5"/>
  <c r="R62" i="5" s="1"/>
  <c r="S82" i="5"/>
  <c r="O20" i="5"/>
  <c r="O29" i="5"/>
  <c r="O31" i="5"/>
  <c r="O110" i="5"/>
  <c r="M102" i="1" s="1"/>
  <c r="M105" i="1" s="1"/>
  <c r="O102" i="5"/>
  <c r="O105" i="5" s="1"/>
  <c r="M112" i="5"/>
  <c r="M135" i="5"/>
  <c r="M150" i="5"/>
  <c r="L202" i="1" s="1"/>
  <c r="N111" i="5"/>
  <c r="L107" i="1" s="1"/>
  <c r="L109" i="1" s="1"/>
  <c r="L111" i="1" s="1"/>
  <c r="L112" i="1" s="1"/>
  <c r="N114" i="5"/>
  <c r="N174" i="5"/>
  <c r="L148" i="1" s="1"/>
  <c r="N184" i="5"/>
  <c r="N134" i="5"/>
  <c r="M184" i="1" s="1"/>
  <c r="N136" i="5"/>
  <c r="M186" i="1" s="1"/>
  <c r="N153" i="5"/>
  <c r="M206" i="1" s="1"/>
  <c r="J164" i="5"/>
  <c r="L95" i="5"/>
  <c r="K157" i="5"/>
  <c r="J210" i="1" s="1"/>
  <c r="D29" i="1" l="1"/>
  <c r="K19" i="1" s="1"/>
  <c r="H212" i="1" s="1"/>
  <c r="K18" i="1"/>
  <c r="L190" i="1"/>
  <c r="G76" i="1"/>
  <c r="N186" i="5"/>
  <c r="L163" i="1"/>
  <c r="L167" i="1" s="1"/>
  <c r="I211" i="1"/>
  <c r="E214" i="1"/>
  <c r="E218" i="1" s="1"/>
  <c r="E220" i="1" s="1"/>
  <c r="M88" i="5"/>
  <c r="L185" i="1"/>
  <c r="J165" i="5"/>
  <c r="J167" i="5" s="1"/>
  <c r="E216" i="1"/>
  <c r="K123" i="5"/>
  <c r="K124" i="5" s="1"/>
  <c r="K127" i="5"/>
  <c r="S62" i="5"/>
  <c r="R36" i="5"/>
  <c r="R23" i="5" s="1"/>
  <c r="R37" i="5"/>
  <c r="R24" i="5" s="1"/>
  <c r="R35" i="5"/>
  <c r="R38" i="5"/>
  <c r="R25" i="5" s="1"/>
  <c r="P31" i="5"/>
  <c r="P20" i="5"/>
  <c r="P29" i="5"/>
  <c r="P110" i="5"/>
  <c r="N102" i="1" s="1"/>
  <c r="N105" i="1" s="1"/>
  <c r="P102" i="5"/>
  <c r="P105" i="5" s="1"/>
  <c r="L98" i="5"/>
  <c r="L99" i="5"/>
  <c r="L106" i="5" s="1"/>
  <c r="L141" i="5" s="1"/>
  <c r="K191" i="1" s="1"/>
  <c r="K196" i="1" s="1"/>
  <c r="L96" i="5"/>
  <c r="N140" i="5"/>
  <c r="S103" i="5"/>
  <c r="Q34" i="5"/>
  <c r="Q27" i="5" s="1"/>
  <c r="Q22" i="5"/>
  <c r="Q19" i="5" s="1"/>
  <c r="O111" i="5"/>
  <c r="M107" i="1" s="1"/>
  <c r="M109" i="1" s="1"/>
  <c r="M111" i="1" s="1"/>
  <c r="M112" i="1" s="1"/>
  <c r="O114" i="5"/>
  <c r="O174" i="5"/>
  <c r="M148" i="1" s="1"/>
  <c r="O184" i="5"/>
  <c r="O136" i="5"/>
  <c r="N186" i="1" s="1"/>
  <c r="O134" i="5"/>
  <c r="N184" i="1" s="1"/>
  <c r="O153" i="5"/>
  <c r="N206" i="1" s="1"/>
  <c r="N151" i="5"/>
  <c r="M203" i="1" s="1"/>
  <c r="N112" i="5"/>
  <c r="N135" i="5"/>
  <c r="N150" i="5"/>
  <c r="M202" i="1" s="1"/>
  <c r="N79" i="1" l="1"/>
  <c r="G212" i="1" s="1"/>
  <c r="I212" i="1" s="1"/>
  <c r="M190" i="1"/>
  <c r="K125" i="5"/>
  <c r="K83" i="5"/>
  <c r="K158" i="5" s="1"/>
  <c r="K80" i="5"/>
  <c r="K152" i="5" s="1"/>
  <c r="N88" i="5"/>
  <c r="M185" i="1"/>
  <c r="O186" i="5"/>
  <c r="M163" i="1"/>
  <c r="M167" i="1" s="1"/>
  <c r="Q26" i="1"/>
  <c r="H37" i="1" s="1"/>
  <c r="Q27" i="1"/>
  <c r="H46" i="1" s="1"/>
  <c r="Q28" i="1"/>
  <c r="H57" i="1" s="1"/>
  <c r="G77" i="1"/>
  <c r="K20" i="1"/>
  <c r="G79" i="1"/>
  <c r="H183" i="1" s="1"/>
  <c r="I183" i="1" s="1"/>
  <c r="N80" i="1"/>
  <c r="L71" i="5"/>
  <c r="L115" i="5"/>
  <c r="L101" i="5"/>
  <c r="L104" i="5" s="1"/>
  <c r="R22" i="5"/>
  <c r="R19" i="5" s="1"/>
  <c r="R34" i="5"/>
  <c r="R27" i="5" s="1"/>
  <c r="Q29" i="5"/>
  <c r="Q31" i="5"/>
  <c r="Q20" i="5"/>
  <c r="Q110" i="5"/>
  <c r="O102" i="1" s="1"/>
  <c r="O105" i="1" s="1"/>
  <c r="Q102" i="5"/>
  <c r="Q105" i="5" s="1"/>
  <c r="O151" i="5"/>
  <c r="N203" i="1" s="1"/>
  <c r="O140" i="5"/>
  <c r="L145" i="5"/>
  <c r="O112" i="5"/>
  <c r="O135" i="5"/>
  <c r="O150" i="5"/>
  <c r="N202" i="1" s="1"/>
  <c r="P174" i="5"/>
  <c r="N148" i="1" s="1"/>
  <c r="P111" i="5"/>
  <c r="N107" i="1" s="1"/>
  <c r="N109" i="1" s="1"/>
  <c r="N111" i="1" s="1"/>
  <c r="N112" i="1" s="1"/>
  <c r="P114" i="5"/>
  <c r="P184" i="5"/>
  <c r="P134" i="5"/>
  <c r="O184" i="1" s="1"/>
  <c r="P136" i="5"/>
  <c r="O186" i="1" s="1"/>
  <c r="P153" i="5"/>
  <c r="O206" i="1" s="1"/>
  <c r="S37" i="5"/>
  <c r="S24" i="5" s="1"/>
  <c r="S36" i="5"/>
  <c r="S23" i="5" s="1"/>
  <c r="S35" i="5"/>
  <c r="S38" i="5"/>
  <c r="S25" i="5" s="1"/>
  <c r="I125" i="1" l="1"/>
  <c r="I66" i="1" s="1"/>
  <c r="O88" i="5"/>
  <c r="N185" i="1"/>
  <c r="J204" i="1"/>
  <c r="J207" i="1" s="1"/>
  <c r="K89" i="5"/>
  <c r="K90" i="5" s="1"/>
  <c r="K180" i="5" s="1"/>
  <c r="I159" i="1" s="1"/>
  <c r="K154" i="5"/>
  <c r="P186" i="5"/>
  <c r="N163" i="1"/>
  <c r="N167" i="1" s="1"/>
  <c r="N190" i="1"/>
  <c r="K179" i="5"/>
  <c r="I153" i="1" s="1"/>
  <c r="K160" i="5"/>
  <c r="L117" i="5"/>
  <c r="L119" i="5" s="1"/>
  <c r="J114" i="1"/>
  <c r="J121" i="1" s="1"/>
  <c r="J123" i="1" s="1"/>
  <c r="K172" i="5"/>
  <c r="I136" i="1"/>
  <c r="I137" i="1" s="1"/>
  <c r="I214" i="1"/>
  <c r="I187" i="1"/>
  <c r="H67" i="1"/>
  <c r="I63" i="1" s="1"/>
  <c r="I44" i="1"/>
  <c r="I48" i="1" s="1"/>
  <c r="I35" i="1"/>
  <c r="I39" i="1" s="1"/>
  <c r="L126" i="1"/>
  <c r="K126" i="1"/>
  <c r="M126" i="1"/>
  <c r="N126" i="1"/>
  <c r="I126" i="1"/>
  <c r="O126" i="1"/>
  <c r="P126" i="1"/>
  <c r="J126" i="1"/>
  <c r="Q126" i="1"/>
  <c r="K21" i="1"/>
  <c r="G78" i="1"/>
  <c r="K22" i="1"/>
  <c r="R29" i="5"/>
  <c r="R31" i="5"/>
  <c r="R20" i="5"/>
  <c r="R110" i="5"/>
  <c r="P102" i="1" s="1"/>
  <c r="P105" i="1" s="1"/>
  <c r="R102" i="5"/>
  <c r="R105" i="5" s="1"/>
  <c r="P151" i="5"/>
  <c r="O203" i="1" s="1"/>
  <c r="P112" i="5"/>
  <c r="P150" i="5"/>
  <c r="O202" i="1" s="1"/>
  <c r="P135" i="5"/>
  <c r="Q114" i="5"/>
  <c r="Q111" i="5"/>
  <c r="O107" i="1" s="1"/>
  <c r="O109" i="1" s="1"/>
  <c r="O111" i="1" s="1"/>
  <c r="O112" i="1" s="1"/>
  <c r="Q174" i="5"/>
  <c r="O148" i="1" s="1"/>
  <c r="Q184" i="5"/>
  <c r="Q136" i="5"/>
  <c r="P186" i="1" s="1"/>
  <c r="Q134" i="5"/>
  <c r="P184" i="1" s="1"/>
  <c r="Q153" i="5"/>
  <c r="P206" i="1" s="1"/>
  <c r="P140" i="5"/>
  <c r="S22" i="5"/>
  <c r="S19" i="5" s="1"/>
  <c r="S34" i="5"/>
  <c r="S27" i="5" s="1"/>
  <c r="M95" i="5"/>
  <c r="L157" i="5"/>
  <c r="K210" i="1" s="1"/>
  <c r="J125" i="1" l="1"/>
  <c r="J157" i="1" s="1"/>
  <c r="I157" i="1"/>
  <c r="K163" i="5"/>
  <c r="K164" i="5" s="1"/>
  <c r="K165" i="5" s="1"/>
  <c r="K181" i="5"/>
  <c r="K194" i="5" s="1"/>
  <c r="K133" i="5" s="1"/>
  <c r="K137" i="5" s="1"/>
  <c r="K146" i="5" s="1"/>
  <c r="L123" i="5"/>
  <c r="L124" i="5" s="1"/>
  <c r="L127" i="5"/>
  <c r="Q186" i="5"/>
  <c r="O163" i="1"/>
  <c r="O167" i="1" s="1"/>
  <c r="P88" i="5"/>
  <c r="O185" i="1"/>
  <c r="O190" i="1"/>
  <c r="G80" i="1"/>
  <c r="H216" i="1"/>
  <c r="I216" i="1" s="1"/>
  <c r="I45" i="1"/>
  <c r="I46" i="1" s="1"/>
  <c r="J44" i="1" s="1"/>
  <c r="J48" i="1" s="1"/>
  <c r="P133" i="1"/>
  <c r="P134" i="1" s="1"/>
  <c r="J133" i="1"/>
  <c r="J134" i="1" s="1"/>
  <c r="I133" i="1"/>
  <c r="I134" i="1" s="1"/>
  <c r="K133" i="1"/>
  <c r="K134" i="1" s="1"/>
  <c r="Q133" i="1"/>
  <c r="Q134" i="1" s="1"/>
  <c r="L133" i="1"/>
  <c r="L134" i="1" s="1"/>
  <c r="M133" i="1"/>
  <c r="M134" i="1" s="1"/>
  <c r="N133" i="1"/>
  <c r="N134" i="1" s="1"/>
  <c r="O133" i="1"/>
  <c r="O134" i="1" s="1"/>
  <c r="I36" i="1"/>
  <c r="I37" i="1" s="1"/>
  <c r="J35" i="1" s="1"/>
  <c r="J39" i="1" s="1"/>
  <c r="R111" i="5"/>
  <c r="P107" i="1" s="1"/>
  <c r="P109" i="1" s="1"/>
  <c r="P111" i="1" s="1"/>
  <c r="P112" i="1" s="1"/>
  <c r="R114" i="5"/>
  <c r="R174" i="5"/>
  <c r="P148" i="1" s="1"/>
  <c r="R184" i="5"/>
  <c r="R136" i="5"/>
  <c r="Q186" i="1" s="1"/>
  <c r="R134" i="5"/>
  <c r="Q184" i="1" s="1"/>
  <c r="R153" i="5"/>
  <c r="Q206" i="1" s="1"/>
  <c r="M98" i="5"/>
  <c r="M99" i="5"/>
  <c r="M106" i="5" s="1"/>
  <c r="M141" i="5" s="1"/>
  <c r="L191" i="1" s="1"/>
  <c r="L196" i="1" s="1"/>
  <c r="M96" i="5"/>
  <c r="S29" i="5"/>
  <c r="S31" i="5"/>
  <c r="S20" i="5"/>
  <c r="S110" i="5"/>
  <c r="Q102" i="1" s="1"/>
  <c r="Q105" i="1" s="1"/>
  <c r="S102" i="5"/>
  <c r="S105" i="5" s="1"/>
  <c r="Q150" i="5"/>
  <c r="P202" i="1" s="1"/>
  <c r="Q112" i="5"/>
  <c r="Q135" i="5"/>
  <c r="Q151" i="5"/>
  <c r="P203" i="1" s="1"/>
  <c r="Q140" i="5"/>
  <c r="J66" i="1" l="1"/>
  <c r="K125" i="1"/>
  <c r="K157" i="1" s="1"/>
  <c r="P190" i="1"/>
  <c r="L83" i="5"/>
  <c r="L158" i="5" s="1"/>
  <c r="L80" i="5"/>
  <c r="L152" i="5" s="1"/>
  <c r="L125" i="5"/>
  <c r="Q88" i="5"/>
  <c r="P185" i="1"/>
  <c r="R186" i="5"/>
  <c r="P163" i="1"/>
  <c r="P167" i="1" s="1"/>
  <c r="K167" i="5"/>
  <c r="I218" i="1"/>
  <c r="J45" i="1"/>
  <c r="J46" i="1" s="1"/>
  <c r="K44" i="1" s="1"/>
  <c r="K48" i="1" s="1"/>
  <c r="J36" i="1"/>
  <c r="J37" i="1" s="1"/>
  <c r="K35" i="1" s="1"/>
  <c r="K39" i="1" s="1"/>
  <c r="M145" i="5"/>
  <c r="R151" i="5"/>
  <c r="Q203" i="1" s="1"/>
  <c r="R135" i="5"/>
  <c r="R112" i="5"/>
  <c r="R150" i="5"/>
  <c r="Q202" i="1" s="1"/>
  <c r="M71" i="5"/>
  <c r="M115" i="5"/>
  <c r="R140" i="5"/>
  <c r="S174" i="5"/>
  <c r="Q148" i="1" s="1"/>
  <c r="S111" i="5"/>
  <c r="Q107" i="1" s="1"/>
  <c r="Q109" i="1" s="1"/>
  <c r="Q111" i="1" s="1"/>
  <c r="Q112" i="1" s="1"/>
  <c r="S114" i="5"/>
  <c r="S184" i="5"/>
  <c r="S136" i="5"/>
  <c r="R186" i="1" s="1"/>
  <c r="S134" i="5"/>
  <c r="R184" i="1" s="1"/>
  <c r="S153" i="5"/>
  <c r="R206" i="1" s="1"/>
  <c r="M101" i="5"/>
  <c r="M104" i="5" s="1"/>
  <c r="L125" i="1" l="1"/>
  <c r="K66" i="1"/>
  <c r="K204" i="1"/>
  <c r="K207" i="1" s="1"/>
  <c r="L89" i="5"/>
  <c r="L90" i="5" s="1"/>
  <c r="L180" i="5" s="1"/>
  <c r="L154" i="5"/>
  <c r="L160" i="5"/>
  <c r="L179" i="5"/>
  <c r="J153" i="1" s="1"/>
  <c r="L172" i="5"/>
  <c r="L163" i="5" s="1"/>
  <c r="L164" i="5" s="1"/>
  <c r="J136" i="1"/>
  <c r="J137" i="1" s="1"/>
  <c r="M117" i="5"/>
  <c r="M119" i="5" s="1"/>
  <c r="K114" i="1"/>
  <c r="K121" i="1" s="1"/>
  <c r="K123" i="1" s="1"/>
  <c r="Q190" i="1"/>
  <c r="R88" i="5"/>
  <c r="Q185" i="1"/>
  <c r="S186" i="5"/>
  <c r="Q163" i="1"/>
  <c r="Q167" i="1" s="1"/>
  <c r="L66" i="1"/>
  <c r="L157" i="1"/>
  <c r="M125" i="1"/>
  <c r="K45" i="1"/>
  <c r="K46" i="1" s="1"/>
  <c r="L44" i="1" s="1"/>
  <c r="L48" i="1" s="1"/>
  <c r="K36" i="1"/>
  <c r="K37" i="1" s="1"/>
  <c r="L35" i="1" s="1"/>
  <c r="L39" i="1" s="1"/>
  <c r="N95" i="5"/>
  <c r="M157" i="5"/>
  <c r="L210" i="1" s="1"/>
  <c r="S140" i="5"/>
  <c r="S151" i="5"/>
  <c r="R203" i="1" s="1"/>
  <c r="S112" i="5"/>
  <c r="S135" i="5"/>
  <c r="S150" i="5"/>
  <c r="R202" i="1" s="1"/>
  <c r="L165" i="5" l="1"/>
  <c r="S88" i="5"/>
  <c r="R185" i="1"/>
  <c r="R190" i="1"/>
  <c r="L181" i="5"/>
  <c r="L194" i="5" s="1"/>
  <c r="L133" i="5" s="1"/>
  <c r="L137" i="5" s="1"/>
  <c r="L146" i="5" s="1"/>
  <c r="J159" i="1"/>
  <c r="M123" i="5"/>
  <c r="M124" i="5" s="1"/>
  <c r="M127" i="5"/>
  <c r="M66" i="1"/>
  <c r="M157" i="1"/>
  <c r="N125" i="1"/>
  <c r="L45" i="1"/>
  <c r="L46" i="1" s="1"/>
  <c r="M44" i="1" s="1"/>
  <c r="M48" i="1" s="1"/>
  <c r="L36" i="1"/>
  <c r="L37" i="1" s="1"/>
  <c r="M35" i="1" s="1"/>
  <c r="M39" i="1" s="1"/>
  <c r="N98" i="5"/>
  <c r="N99" i="5"/>
  <c r="N106" i="5" s="1"/>
  <c r="N141" i="5" s="1"/>
  <c r="M191" i="1" s="1"/>
  <c r="M196" i="1" s="1"/>
  <c r="N96" i="5"/>
  <c r="L167" i="5" l="1"/>
  <c r="M80" i="5"/>
  <c r="M152" i="5" s="1"/>
  <c r="M125" i="5"/>
  <c r="M83" i="5"/>
  <c r="M158" i="5" s="1"/>
  <c r="O125" i="1"/>
  <c r="O157" i="1" s="1"/>
  <c r="N157" i="1"/>
  <c r="N66" i="1"/>
  <c r="M45" i="1"/>
  <c r="M46" i="1" s="1"/>
  <c r="N44" i="1" s="1"/>
  <c r="N48" i="1" s="1"/>
  <c r="M36" i="1"/>
  <c r="M37" i="1" s="1"/>
  <c r="N35" i="1" s="1"/>
  <c r="N39" i="1" s="1"/>
  <c r="N145" i="5"/>
  <c r="N101" i="5"/>
  <c r="N104" i="5" s="1"/>
  <c r="N71" i="5"/>
  <c r="N115" i="5"/>
  <c r="P125" i="1" l="1"/>
  <c r="Q125" i="1" s="1"/>
  <c r="M160" i="5"/>
  <c r="M179" i="5"/>
  <c r="K153" i="1" s="1"/>
  <c r="M172" i="5"/>
  <c r="M163" i="5" s="1"/>
  <c r="M164" i="5" s="1"/>
  <c r="K136" i="1"/>
  <c r="K137" i="1" s="1"/>
  <c r="L204" i="1"/>
  <c r="L207" i="1" s="1"/>
  <c r="M154" i="5"/>
  <c r="M89" i="5"/>
  <c r="M90" i="5" s="1"/>
  <c r="M180" i="5" s="1"/>
  <c r="N117" i="5"/>
  <c r="N119" i="5" s="1"/>
  <c r="L114" i="1"/>
  <c r="L121" i="1" s="1"/>
  <c r="L123" i="1" s="1"/>
  <c r="O66" i="1"/>
  <c r="N45" i="1"/>
  <c r="N46" i="1" s="1"/>
  <c r="O44" i="1" s="1"/>
  <c r="O48" i="1" s="1"/>
  <c r="N36" i="1"/>
  <c r="N37" i="1" s="1"/>
  <c r="O35" i="1" s="1"/>
  <c r="O39" i="1" s="1"/>
  <c r="O95" i="5"/>
  <c r="N157" i="5"/>
  <c r="M210" i="1" s="1"/>
  <c r="P157" i="1" l="1"/>
  <c r="P66" i="1"/>
  <c r="N123" i="5"/>
  <c r="N124" i="5" s="1"/>
  <c r="N127" i="5"/>
  <c r="M181" i="5"/>
  <c r="M194" i="5" s="1"/>
  <c r="M133" i="5" s="1"/>
  <c r="M137" i="5" s="1"/>
  <c r="M146" i="5" s="1"/>
  <c r="K159" i="1"/>
  <c r="M165" i="5"/>
  <c r="Q66" i="1"/>
  <c r="Q157" i="1"/>
  <c r="O45" i="1"/>
  <c r="O46" i="1" s="1"/>
  <c r="P44" i="1" s="1"/>
  <c r="P48" i="1" s="1"/>
  <c r="O36" i="1"/>
  <c r="O37" i="1" s="1"/>
  <c r="P35" i="1" s="1"/>
  <c r="P39" i="1" s="1"/>
  <c r="O98" i="5"/>
  <c r="O99" i="5"/>
  <c r="O106" i="5" s="1"/>
  <c r="O141" i="5" s="1"/>
  <c r="N191" i="1" s="1"/>
  <c r="N196" i="1" s="1"/>
  <c r="O96" i="5"/>
  <c r="M167" i="5" l="1"/>
  <c r="N80" i="5"/>
  <c r="N152" i="5" s="1"/>
  <c r="N125" i="5"/>
  <c r="N83" i="5"/>
  <c r="N158" i="5" s="1"/>
  <c r="P45" i="1"/>
  <c r="P46" i="1" s="1"/>
  <c r="Q44" i="1" s="1"/>
  <c r="Q48" i="1" s="1"/>
  <c r="P36" i="1"/>
  <c r="P37" i="1" s="1"/>
  <c r="Q35" i="1" s="1"/>
  <c r="Q39" i="1" s="1"/>
  <c r="O115" i="5"/>
  <c r="O71" i="5"/>
  <c r="O145" i="5"/>
  <c r="O101" i="5"/>
  <c r="O104" i="5" s="1"/>
  <c r="N179" i="5" l="1"/>
  <c r="L153" i="1" s="1"/>
  <c r="N160" i="5"/>
  <c r="M204" i="1"/>
  <c r="M207" i="1" s="1"/>
  <c r="N89" i="5"/>
  <c r="N90" i="5" s="1"/>
  <c r="N180" i="5" s="1"/>
  <c r="L159" i="1" s="1"/>
  <c r="N154" i="5"/>
  <c r="O117" i="5"/>
  <c r="O119" i="5" s="1"/>
  <c r="M114" i="1"/>
  <c r="M121" i="1" s="1"/>
  <c r="M123" i="1" s="1"/>
  <c r="N172" i="5"/>
  <c r="L136" i="1"/>
  <c r="L137" i="1" s="1"/>
  <c r="Q45" i="1"/>
  <c r="Q46" i="1" s="1"/>
  <c r="Q36" i="1"/>
  <c r="P95" i="5"/>
  <c r="O157" i="5"/>
  <c r="N163" i="5" l="1"/>
  <c r="N164" i="5" s="1"/>
  <c r="N165" i="5" s="1"/>
  <c r="N181" i="5"/>
  <c r="N194" i="5" s="1"/>
  <c r="N133" i="5" s="1"/>
  <c r="N137" i="5" s="1"/>
  <c r="N146" i="5" s="1"/>
  <c r="O123" i="5"/>
  <c r="O124" i="5" s="1"/>
  <c r="O127" i="5"/>
  <c r="N210" i="1"/>
  <c r="Q37" i="1"/>
  <c r="I54" i="1"/>
  <c r="I59" i="1" s="1"/>
  <c r="I70" i="1" s="1"/>
  <c r="P98" i="5"/>
  <c r="P96" i="5"/>
  <c r="P99" i="5"/>
  <c r="P106" i="5" s="1"/>
  <c r="P141" i="5" s="1"/>
  <c r="O191" i="1" s="1"/>
  <c r="O196" i="1" s="1"/>
  <c r="O83" i="5" l="1"/>
  <c r="O158" i="5" s="1"/>
  <c r="O125" i="5"/>
  <c r="O80" i="5"/>
  <c r="O152" i="5" s="1"/>
  <c r="N167" i="5"/>
  <c r="I56" i="1"/>
  <c r="I69" i="1" s="1"/>
  <c r="I55" i="1"/>
  <c r="I64" i="1" s="1"/>
  <c r="P145" i="5"/>
  <c r="P71" i="5"/>
  <c r="P115" i="5"/>
  <c r="P101" i="5"/>
  <c r="P104" i="5" s="1"/>
  <c r="O172" i="5" l="1"/>
  <c r="O163" i="5" s="1"/>
  <c r="O164" i="5" s="1"/>
  <c r="M136" i="1"/>
  <c r="M137" i="1" s="1"/>
  <c r="N204" i="1"/>
  <c r="N207" i="1" s="1"/>
  <c r="O154" i="5"/>
  <c r="O89" i="5"/>
  <c r="O90" i="5" s="1"/>
  <c r="O180" i="5" s="1"/>
  <c r="M159" i="1" s="1"/>
  <c r="P117" i="5"/>
  <c r="P119" i="5" s="1"/>
  <c r="N114" i="1"/>
  <c r="N121" i="1" s="1"/>
  <c r="N123" i="1" s="1"/>
  <c r="O179" i="5"/>
  <c r="O160" i="5"/>
  <c r="I171" i="1"/>
  <c r="I71" i="1"/>
  <c r="I124" i="1" s="1"/>
  <c r="I128" i="1" s="1"/>
  <c r="I129" i="1" s="1"/>
  <c r="I130" i="1" s="1"/>
  <c r="I139" i="1" s="1"/>
  <c r="I140" i="1" s="1"/>
  <c r="I141" i="1" s="1"/>
  <c r="I156" i="1"/>
  <c r="I158" i="1" s="1"/>
  <c r="J211" i="1" s="1"/>
  <c r="I60" i="1"/>
  <c r="I65" i="1"/>
  <c r="I67" i="1" s="1"/>
  <c r="I57" i="1"/>
  <c r="J54" i="1" s="1"/>
  <c r="J59" i="1" s="1"/>
  <c r="J70" i="1" s="1"/>
  <c r="Q95" i="5"/>
  <c r="P157" i="5"/>
  <c r="O210" i="1" s="1"/>
  <c r="O181" i="5" l="1"/>
  <c r="O194" i="5" s="1"/>
  <c r="O133" i="5" s="1"/>
  <c r="O137" i="5" s="1"/>
  <c r="O146" i="5" s="1"/>
  <c r="M153" i="1"/>
  <c r="P123" i="5"/>
  <c r="P124" i="5" s="1"/>
  <c r="P127" i="5"/>
  <c r="O165" i="5"/>
  <c r="O167" i="5" s="1"/>
  <c r="I173" i="1"/>
  <c r="J212" i="1"/>
  <c r="J214" i="1" s="1"/>
  <c r="J63" i="1"/>
  <c r="I146" i="1"/>
  <c r="J55" i="1"/>
  <c r="J64" i="1" s="1"/>
  <c r="J171" i="1" s="1"/>
  <c r="J173" i="1" s="1"/>
  <c r="J56" i="1"/>
  <c r="J69" i="1" s="1"/>
  <c r="Q98" i="5"/>
  <c r="Q99" i="5"/>
  <c r="Q106" i="5" s="1"/>
  <c r="Q141" i="5" s="1"/>
  <c r="P191" i="1" s="1"/>
  <c r="P196" i="1" s="1"/>
  <c r="Q96" i="5"/>
  <c r="P125" i="5" l="1"/>
  <c r="P80" i="5"/>
  <c r="P152" i="5" s="1"/>
  <c r="P83" i="5"/>
  <c r="P158" i="5" s="1"/>
  <c r="J218" i="1"/>
  <c r="I160" i="1"/>
  <c r="I177" i="1" s="1"/>
  <c r="J183" i="1" s="1"/>
  <c r="J71" i="1"/>
  <c r="J124" i="1" s="1"/>
  <c r="J128" i="1" s="1"/>
  <c r="J129" i="1" s="1"/>
  <c r="J130" i="1" s="1"/>
  <c r="J139" i="1" s="1"/>
  <c r="J140" i="1" s="1"/>
  <c r="J141" i="1" s="1"/>
  <c r="J156" i="1"/>
  <c r="J158" i="1" s="1"/>
  <c r="K211" i="1" s="1"/>
  <c r="J60" i="1"/>
  <c r="J65" i="1"/>
  <c r="J67" i="1" s="1"/>
  <c r="J57" i="1"/>
  <c r="K54" i="1" s="1"/>
  <c r="K59" i="1" s="1"/>
  <c r="K70" i="1" s="1"/>
  <c r="Q71" i="5"/>
  <c r="Q115" i="5"/>
  <c r="Q145" i="5"/>
  <c r="Q101" i="5"/>
  <c r="Q104" i="5" s="1"/>
  <c r="P179" i="5" l="1"/>
  <c r="N153" i="1" s="1"/>
  <c r="P160" i="5"/>
  <c r="Q117" i="5"/>
  <c r="Q119" i="5" s="1"/>
  <c r="O114" i="1"/>
  <c r="O121" i="1" s="1"/>
  <c r="O123" i="1" s="1"/>
  <c r="O204" i="1"/>
  <c r="O207" i="1" s="1"/>
  <c r="P154" i="5"/>
  <c r="P89" i="5"/>
  <c r="P90" i="5" s="1"/>
  <c r="P180" i="5" s="1"/>
  <c r="N159" i="1" s="1"/>
  <c r="P172" i="5"/>
  <c r="N136" i="1"/>
  <c r="N137" i="1" s="1"/>
  <c r="K212" i="1"/>
  <c r="K214" i="1" s="1"/>
  <c r="J187" i="1"/>
  <c r="J198" i="1" s="1"/>
  <c r="J220" i="1" s="1"/>
  <c r="K63" i="1"/>
  <c r="J146" i="1"/>
  <c r="K55" i="1"/>
  <c r="K64" i="1" s="1"/>
  <c r="K171" i="1" s="1"/>
  <c r="K173" i="1" s="1"/>
  <c r="K56" i="1"/>
  <c r="K69" i="1" s="1"/>
  <c r="R95" i="5"/>
  <c r="Q157" i="5"/>
  <c r="P163" i="5" l="1"/>
  <c r="P164" i="5" s="1"/>
  <c r="P165" i="5" s="1"/>
  <c r="P181" i="5"/>
  <c r="P194" i="5" s="1"/>
  <c r="P133" i="5" s="1"/>
  <c r="P137" i="5" s="1"/>
  <c r="P146" i="5" s="1"/>
  <c r="P210" i="1"/>
  <c r="Q123" i="5"/>
  <c r="Q124" i="5" s="1"/>
  <c r="Q127" i="5"/>
  <c r="J160" i="1"/>
  <c r="J177" i="1" s="1"/>
  <c r="K183" i="1" s="1"/>
  <c r="K216" i="1"/>
  <c r="K71" i="1"/>
  <c r="K124" i="1" s="1"/>
  <c r="K128" i="1" s="1"/>
  <c r="K129" i="1" s="1"/>
  <c r="K130" i="1" s="1"/>
  <c r="K139" i="1" s="1"/>
  <c r="K140" i="1" s="1"/>
  <c r="K141" i="1" s="1"/>
  <c r="K156" i="1"/>
  <c r="K158" i="1" s="1"/>
  <c r="L211" i="1" s="1"/>
  <c r="K57" i="1"/>
  <c r="L54" i="1" s="1"/>
  <c r="L55" i="1" s="1"/>
  <c r="L64" i="1" s="1"/>
  <c r="L171" i="1" s="1"/>
  <c r="L173" i="1" s="1"/>
  <c r="K60" i="1"/>
  <c r="K65" i="1"/>
  <c r="K67" i="1" s="1"/>
  <c r="R98" i="5"/>
  <c r="R96" i="5"/>
  <c r="R99" i="5"/>
  <c r="R106" i="5" s="1"/>
  <c r="R141" i="5" s="1"/>
  <c r="Q191" i="1" s="1"/>
  <c r="Q196" i="1" s="1"/>
  <c r="Q125" i="5" l="1"/>
  <c r="Q83" i="5"/>
  <c r="Q158" i="5" s="1"/>
  <c r="Q80" i="5"/>
  <c r="Q152" i="5" s="1"/>
  <c r="P167" i="5"/>
  <c r="K218" i="1"/>
  <c r="L212" i="1"/>
  <c r="K187" i="1"/>
  <c r="K198" i="1" s="1"/>
  <c r="L63" i="1"/>
  <c r="K146" i="1"/>
  <c r="K160" i="1" s="1"/>
  <c r="K177" i="1" s="1"/>
  <c r="L183" i="1" s="1"/>
  <c r="L59" i="1"/>
  <c r="L70" i="1" s="1"/>
  <c r="L56" i="1"/>
  <c r="L65" i="1" s="1"/>
  <c r="R145" i="5"/>
  <c r="R101" i="5"/>
  <c r="R104" i="5" s="1"/>
  <c r="R71" i="5"/>
  <c r="R115" i="5"/>
  <c r="P204" i="1" l="1"/>
  <c r="P207" i="1" s="1"/>
  <c r="Q154" i="5"/>
  <c r="Q89" i="5"/>
  <c r="Q90" i="5" s="1"/>
  <c r="Q180" i="5" s="1"/>
  <c r="O159" i="1" s="1"/>
  <c r="Q179" i="5"/>
  <c r="O153" i="1" s="1"/>
  <c r="Q160" i="5"/>
  <c r="R117" i="5"/>
  <c r="R119" i="5" s="1"/>
  <c r="P114" i="1"/>
  <c r="P121" i="1" s="1"/>
  <c r="P123" i="1" s="1"/>
  <c r="Q172" i="5"/>
  <c r="O136" i="1"/>
  <c r="O137" i="1" s="1"/>
  <c r="L67" i="1"/>
  <c r="M63" i="1" s="1"/>
  <c r="L216" i="1"/>
  <c r="L187" i="1"/>
  <c r="L198" i="1" s="1"/>
  <c r="K220" i="1"/>
  <c r="L214" i="1"/>
  <c r="L57" i="1"/>
  <c r="M54" i="1" s="1"/>
  <c r="M59" i="1" s="1"/>
  <c r="M70" i="1" s="1"/>
  <c r="L69" i="1"/>
  <c r="L60" i="1"/>
  <c r="S95" i="5"/>
  <c r="R157" i="5"/>
  <c r="Q210" i="1" s="1"/>
  <c r="Q163" i="5" l="1"/>
  <c r="Q164" i="5" s="1"/>
  <c r="Q165" i="5" s="1"/>
  <c r="Q181" i="5"/>
  <c r="Q194" i="5" s="1"/>
  <c r="Q133" i="5" s="1"/>
  <c r="Q137" i="5" s="1"/>
  <c r="Q146" i="5" s="1"/>
  <c r="R123" i="5"/>
  <c r="R124" i="5" s="1"/>
  <c r="R127" i="5"/>
  <c r="L218" i="1"/>
  <c r="L220" i="1" s="1"/>
  <c r="M56" i="1"/>
  <c r="M69" i="1" s="1"/>
  <c r="M71" i="1" s="1"/>
  <c r="M124" i="1" s="1"/>
  <c r="M128" i="1" s="1"/>
  <c r="M129" i="1" s="1"/>
  <c r="M130" i="1" s="1"/>
  <c r="M146" i="1" s="1"/>
  <c r="M55" i="1"/>
  <c r="M64" i="1" s="1"/>
  <c r="M171" i="1" s="1"/>
  <c r="M173" i="1" s="1"/>
  <c r="L71" i="1"/>
  <c r="L124" i="1" s="1"/>
  <c r="L128" i="1" s="1"/>
  <c r="L129" i="1" s="1"/>
  <c r="L130" i="1" s="1"/>
  <c r="L139" i="1" s="1"/>
  <c r="L140" i="1" s="1"/>
  <c r="L141" i="1" s="1"/>
  <c r="L156" i="1"/>
  <c r="S98" i="5"/>
  <c r="S99" i="5"/>
  <c r="S106" i="5" s="1"/>
  <c r="S141" i="5" s="1"/>
  <c r="S96" i="5"/>
  <c r="S145" i="5" l="1"/>
  <c r="R191" i="1"/>
  <c r="R196" i="1" s="1"/>
  <c r="R80" i="5"/>
  <c r="R152" i="5" s="1"/>
  <c r="R125" i="5"/>
  <c r="R83" i="5"/>
  <c r="R158" i="5" s="1"/>
  <c r="Q167" i="5"/>
  <c r="M156" i="1"/>
  <c r="M158" i="1" s="1"/>
  <c r="M65" i="1"/>
  <c r="M67" i="1" s="1"/>
  <c r="N63" i="1" s="1"/>
  <c r="L158" i="1"/>
  <c r="M211" i="1" s="1"/>
  <c r="M212" i="1"/>
  <c r="M60" i="1"/>
  <c r="L146" i="1"/>
  <c r="M216" i="1" s="1"/>
  <c r="N216" i="1" s="1"/>
  <c r="M57" i="1"/>
  <c r="N54" i="1" s="1"/>
  <c r="N59" i="1" s="1"/>
  <c r="N70" i="1" s="1"/>
  <c r="M139" i="1"/>
  <c r="M140" i="1" s="1"/>
  <c r="M141" i="1" s="1"/>
  <c r="D225" i="1" s="1"/>
  <c r="S101" i="5"/>
  <c r="S104" i="5" s="1"/>
  <c r="S157" i="5" s="1"/>
  <c r="R210" i="1" s="1"/>
  <c r="S71" i="5"/>
  <c r="S115" i="5"/>
  <c r="R179" i="5" l="1"/>
  <c r="P153" i="1" s="1"/>
  <c r="R160" i="5"/>
  <c r="R172" i="5"/>
  <c r="P136" i="1"/>
  <c r="P137" i="1" s="1"/>
  <c r="S117" i="5"/>
  <c r="S119" i="5" s="1"/>
  <c r="Q114" i="1"/>
  <c r="Q121" i="1" s="1"/>
  <c r="Q123" i="1" s="1"/>
  <c r="Q204" i="1"/>
  <c r="Q207" i="1" s="1"/>
  <c r="R89" i="5"/>
  <c r="R90" i="5" s="1"/>
  <c r="R180" i="5" s="1"/>
  <c r="P159" i="1" s="1"/>
  <c r="R154" i="5"/>
  <c r="N212" i="1"/>
  <c r="N55" i="1"/>
  <c r="N64" i="1" s="1"/>
  <c r="N171" i="1" s="1"/>
  <c r="N173" i="1" s="1"/>
  <c r="M160" i="1"/>
  <c r="M177" i="1" s="1"/>
  <c r="M214" i="1"/>
  <c r="M218" i="1" s="1"/>
  <c r="N211" i="1"/>
  <c r="L160" i="1"/>
  <c r="L177" i="1" s="1"/>
  <c r="M183" i="1" s="1"/>
  <c r="N56" i="1"/>
  <c r="N57" i="1" s="1"/>
  <c r="O54" i="1" s="1"/>
  <c r="S123" i="5" l="1"/>
  <c r="S124" i="5" s="1"/>
  <c r="S127" i="5"/>
  <c r="R163" i="5"/>
  <c r="R164" i="5" s="1"/>
  <c r="R165" i="5" s="1"/>
  <c r="R181" i="5"/>
  <c r="R194" i="5" s="1"/>
  <c r="R133" i="5" s="1"/>
  <c r="R137" i="5" s="1"/>
  <c r="R146" i="5" s="1"/>
  <c r="M187" i="1"/>
  <c r="M198" i="1" s="1"/>
  <c r="M220" i="1" s="1"/>
  <c r="N183" i="1"/>
  <c r="N214" i="1"/>
  <c r="N218" i="1" s="1"/>
  <c r="O59" i="1"/>
  <c r="O70" i="1" s="1"/>
  <c r="O56" i="1"/>
  <c r="O69" i="1" s="1"/>
  <c r="O156" i="1" s="1"/>
  <c r="O158" i="1" s="1"/>
  <c r="O55" i="1"/>
  <c r="O64" i="1" s="1"/>
  <c r="O171" i="1" s="1"/>
  <c r="O173" i="1" s="1"/>
  <c r="N60" i="1"/>
  <c r="N69" i="1"/>
  <c r="N65" i="1"/>
  <c r="N67" i="1" s="1"/>
  <c r="R167" i="5" l="1"/>
  <c r="S125" i="5"/>
  <c r="S83" i="5"/>
  <c r="S158" i="5" s="1"/>
  <c r="S80" i="5"/>
  <c r="S152" i="5" s="1"/>
  <c r="O71" i="1"/>
  <c r="O124" i="1" s="1"/>
  <c r="O128" i="1" s="1"/>
  <c r="O129" i="1" s="1"/>
  <c r="O130" i="1" s="1"/>
  <c r="O139" i="1" s="1"/>
  <c r="O140" i="1" s="1"/>
  <c r="O141" i="1" s="1"/>
  <c r="O65" i="1"/>
  <c r="O60" i="1"/>
  <c r="N187" i="1"/>
  <c r="N198" i="1" s="1"/>
  <c r="N220" i="1" s="1"/>
  <c r="O63" i="1"/>
  <c r="N71" i="1"/>
  <c r="N124" i="1" s="1"/>
  <c r="N128" i="1" s="1"/>
  <c r="N129" i="1" s="1"/>
  <c r="N130" i="1" s="1"/>
  <c r="N156" i="1"/>
  <c r="O57" i="1"/>
  <c r="P54" i="1" s="1"/>
  <c r="P59" i="1" s="1"/>
  <c r="P70" i="1" s="1"/>
  <c r="R204" i="1" l="1"/>
  <c r="R207" i="1" s="1"/>
  <c r="S154" i="5"/>
  <c r="S89" i="5"/>
  <c r="S90" i="5" s="1"/>
  <c r="S180" i="5" s="1"/>
  <c r="O146" i="1"/>
  <c r="O160" i="1" s="1"/>
  <c r="O177" i="1" s="1"/>
  <c r="S179" i="5"/>
  <c r="Q153" i="1" s="1"/>
  <c r="S160" i="5"/>
  <c r="S172" i="5"/>
  <c r="S163" i="5" s="1"/>
  <c r="S164" i="5" s="1"/>
  <c r="Q136" i="1"/>
  <c r="Q137" i="1" s="1"/>
  <c r="N158" i="1"/>
  <c r="O211" i="1" s="1"/>
  <c r="O212" i="1"/>
  <c r="P212" i="1" s="1"/>
  <c r="O67" i="1"/>
  <c r="P63" i="1" s="1"/>
  <c r="P55" i="1"/>
  <c r="P64" i="1" s="1"/>
  <c r="P171" i="1" s="1"/>
  <c r="P173" i="1" s="1"/>
  <c r="N139" i="1"/>
  <c r="N140" i="1" s="1"/>
  <c r="N141" i="1" s="1"/>
  <c r="N146" i="1"/>
  <c r="O216" i="1" s="1"/>
  <c r="P216" i="1" s="1"/>
  <c r="P56" i="1"/>
  <c r="P69" i="1" s="1"/>
  <c r="P71" i="1" s="1"/>
  <c r="P124" i="1" s="1"/>
  <c r="P128" i="1" s="1"/>
  <c r="P129" i="1" s="1"/>
  <c r="P130" i="1" s="1"/>
  <c r="P139" i="1" s="1"/>
  <c r="P140" i="1" s="1"/>
  <c r="P141" i="1" s="1"/>
  <c r="S165" i="5" l="1"/>
  <c r="S181" i="5"/>
  <c r="S194" i="5" s="1"/>
  <c r="S133" i="5" s="1"/>
  <c r="S137" i="5" s="1"/>
  <c r="S146" i="5" s="1"/>
  <c r="S167" i="5" s="1"/>
  <c r="Q159" i="1"/>
  <c r="O214" i="1"/>
  <c r="O218" i="1" s="1"/>
  <c r="P211" i="1"/>
  <c r="P65" i="1"/>
  <c r="P67" i="1" s="1"/>
  <c r="P57" i="1"/>
  <c r="Q54" i="1" s="1"/>
  <c r="Q59" i="1" s="1"/>
  <c r="Q70" i="1" s="1"/>
  <c r="N160" i="1"/>
  <c r="N177" i="1" s="1"/>
  <c r="O183" i="1" s="1"/>
  <c r="P60" i="1"/>
  <c r="P156" i="1"/>
  <c r="P158" i="1" s="1"/>
  <c r="P146" i="1"/>
  <c r="Q216" i="1" s="1"/>
  <c r="O187" i="1" l="1"/>
  <c r="O198" i="1" s="1"/>
  <c r="P183" i="1"/>
  <c r="P214" i="1"/>
  <c r="P218" i="1" s="1"/>
  <c r="Q211" i="1"/>
  <c r="O220" i="1"/>
  <c r="Q212" i="1"/>
  <c r="Q55" i="1"/>
  <c r="Q64" i="1" s="1"/>
  <c r="Q171" i="1" s="1"/>
  <c r="Q173" i="1" s="1"/>
  <c r="P160" i="1"/>
  <c r="P177" i="1" s="1"/>
  <c r="Q56" i="1"/>
  <c r="Q69" i="1" s="1"/>
  <c r="Q71" i="1" s="1"/>
  <c r="Q124" i="1" s="1"/>
  <c r="Q128" i="1" s="1"/>
  <c r="Q129" i="1" s="1"/>
  <c r="Q130" i="1" s="1"/>
  <c r="Q139" i="1" s="1"/>
  <c r="Q140" i="1" s="1"/>
  <c r="Q141" i="1" s="1"/>
  <c r="Q63" i="1"/>
  <c r="Q60" i="1"/>
  <c r="Q65" i="1"/>
  <c r="Q214" i="1" l="1"/>
  <c r="Q218" i="1" s="1"/>
  <c r="Q67" i="1"/>
  <c r="P187" i="1"/>
  <c r="P198" i="1" s="1"/>
  <c r="P220" i="1" s="1"/>
  <c r="Q183" i="1"/>
  <c r="Q57" i="1"/>
  <c r="Q156" i="1"/>
  <c r="Q158" i="1" s="1"/>
  <c r="R211" i="1" s="1"/>
  <c r="Q146" i="1"/>
  <c r="R212" i="1" l="1"/>
  <c r="R214" i="1" s="1"/>
  <c r="Q187" i="1"/>
  <c r="Q198" i="1" s="1"/>
  <c r="Q220" i="1" s="1"/>
  <c r="Q160" i="1"/>
  <c r="Q177" i="1" s="1"/>
  <c r="R183" i="1" s="1"/>
  <c r="R187" i="1" s="1"/>
  <c r="R198" i="1" s="1"/>
  <c r="R216" i="1"/>
  <c r="R218" i="1" l="1"/>
  <c r="R220" i="1" s="1"/>
  <c r="I196" i="1" l="1"/>
  <c r="I198" i="1" s="1"/>
  <c r="I2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I24" authorId="0" shapeId="0" xr:uid="{4D7F3A11-97EE-4710-803F-179A65D64ECD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Maturity are all assumed to be 10 years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J22" authorId="0" shapeId="0" xr:uid="{22642CB3-FA9E-4C3E-BB02-D8D73D2E0DD0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Slight Decrease contributed from the homogeneuity assumption might be wrong</t>
        </r>
      </text>
    </comment>
    <comment ref="C26" authorId="0" shapeId="0" xr:uid="{D55E7D14-C8ED-4A0E-9CF0-343B815E9207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Assume Homogeneuity across countries
</t>
        </r>
      </text>
    </comment>
    <comment ref="C94" authorId="0" shapeId="0" xr:uid="{D5AB82C9-A26B-4E4A-853E-2CEA570BEC25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All Leases are treated as Operating Lease. And the Bridge to TEV does not include Finance or Operating leases</t>
        </r>
      </text>
    </comment>
  </commentList>
</comments>
</file>

<file path=xl/sharedStrings.xml><?xml version="1.0" encoding="utf-8"?>
<sst xmlns="http://schemas.openxmlformats.org/spreadsheetml/2006/main" count="1083" uniqueCount="451">
  <si>
    <t>$ M</t>
  </si>
  <si>
    <t>Total Change in Cash</t>
  </si>
  <si>
    <t>(+/-)FX Effects</t>
  </si>
  <si>
    <t>Cash Flow From Finance</t>
  </si>
  <si>
    <t>(+/-)Other Items</t>
  </si>
  <si>
    <t>(-)Share Repurchase</t>
  </si>
  <si>
    <t>CASH FLOW FROM FINANCE</t>
  </si>
  <si>
    <t>Cash Flow From Investment</t>
  </si>
  <si>
    <t>(-)Capital Expenditures</t>
  </si>
  <si>
    <t>CASH FLOW FROM INVESTMENT</t>
  </si>
  <si>
    <t>Cash Flow From Operation:</t>
  </si>
  <si>
    <t>Net Change in Operating Assets and Liabilities</t>
  </si>
  <si>
    <t>(+/-)Change in Deferred Income Tax Liabilites</t>
  </si>
  <si>
    <t>(+)Stock-based Compensation</t>
  </si>
  <si>
    <t>(+/-)Gain on Sales of PP&amp;E</t>
  </si>
  <si>
    <t>(+)Impairment of Goodwill</t>
  </si>
  <si>
    <t>(+)Depreciation and Amortization</t>
  </si>
  <si>
    <t>Non-Cash Adjustments:</t>
  </si>
  <si>
    <t>Net Income</t>
  </si>
  <si>
    <t>CASH FLOW FROM OPERATION</t>
  </si>
  <si>
    <t>Units:</t>
  </si>
  <si>
    <t>Cash Flow Statement</t>
  </si>
  <si>
    <t>Projected:</t>
  </si>
  <si>
    <t>Historical</t>
  </si>
  <si>
    <t>Balance Check</t>
  </si>
  <si>
    <t>Total Liabilities and Equity</t>
  </si>
  <si>
    <t>Total Shareholder's Equity</t>
  </si>
  <si>
    <t>Common Shareholder's Equity</t>
  </si>
  <si>
    <t>Shareholder's Equity</t>
  </si>
  <si>
    <t>Total Non-Current Liabilitiies</t>
  </si>
  <si>
    <t>Other Non-Current Liabilites</t>
  </si>
  <si>
    <t>Net Deferred Income Tax Liabilities</t>
  </si>
  <si>
    <t>Lease Liabilities</t>
  </si>
  <si>
    <t>Non-Current Liabilities</t>
  </si>
  <si>
    <t>Total Current Liabilites</t>
  </si>
  <si>
    <t>Other Current Liabilites</t>
  </si>
  <si>
    <t>Income Tax Payables</t>
  </si>
  <si>
    <t>Accrued Expenses</t>
  </si>
  <si>
    <t>Account Payable</t>
  </si>
  <si>
    <t>Current Liabilities</t>
  </si>
  <si>
    <t>LIBALITIES AND SHAREHOLDER'S EQUITY</t>
  </si>
  <si>
    <t>Total Asset</t>
  </si>
  <si>
    <t>Total Non-Current Asset</t>
  </si>
  <si>
    <t>Other Non-Current assets</t>
  </si>
  <si>
    <t>Intangible Assets</t>
  </si>
  <si>
    <t>Goodwill</t>
  </si>
  <si>
    <t>Right-of-use Assets</t>
  </si>
  <si>
    <t>PP&amp;E</t>
  </si>
  <si>
    <t>Non-Current Asset</t>
  </si>
  <si>
    <t>Total Current Asset:</t>
  </si>
  <si>
    <t>Other Current Assets</t>
  </si>
  <si>
    <t>Inventories</t>
  </si>
  <si>
    <t>Account Receivable</t>
  </si>
  <si>
    <t>Cash and Cash Equivalent</t>
  </si>
  <si>
    <t>Current assets</t>
  </si>
  <si>
    <t>ASSET</t>
  </si>
  <si>
    <t>Balance Sheet Statement</t>
  </si>
  <si>
    <t>Net income</t>
  </si>
  <si>
    <t>Income tax expense</t>
  </si>
  <si>
    <t>Pretax Income</t>
  </si>
  <si>
    <t>Other income (expense), net</t>
  </si>
  <si>
    <t>Interest Expenses</t>
  </si>
  <si>
    <t>EBIT</t>
  </si>
  <si>
    <t>Operating Income</t>
  </si>
  <si>
    <t>Non-Recurring Items</t>
  </si>
  <si>
    <t>Lease Expenses</t>
  </si>
  <si>
    <t>SG&amp;A Expenses</t>
  </si>
  <si>
    <t>Gross profit</t>
  </si>
  <si>
    <t>Cost of Goods Sold</t>
  </si>
  <si>
    <t>Net revenue</t>
  </si>
  <si>
    <t>Income Statements</t>
  </si>
  <si>
    <t>Right of use Asset Amortization</t>
  </si>
  <si>
    <t>Right-of-use Asset Addition</t>
  </si>
  <si>
    <t>Ending Balance</t>
  </si>
  <si>
    <t>%</t>
  </si>
  <si>
    <t>New Addition%Sale</t>
  </si>
  <si>
    <t>New Addition</t>
  </si>
  <si>
    <t>Balance Before New lease</t>
  </si>
  <si>
    <t>Principal Repayment%Beginning Balance</t>
  </si>
  <si>
    <t>(-)Principal Repayment</t>
  </si>
  <si>
    <t>Interest Expense</t>
  </si>
  <si>
    <t>Rental Expense%Beginning Balance</t>
  </si>
  <si>
    <t>Rental Expense</t>
  </si>
  <si>
    <t>Beginning Balance:</t>
  </si>
  <si>
    <t>Lease Liability</t>
  </si>
  <si>
    <t>Debt and Leases Drivers:</t>
  </si>
  <si>
    <t>CapEx%Revenue</t>
  </si>
  <si>
    <t>Net Change in Operating Asset and Liabilities</t>
  </si>
  <si>
    <t>Change in Operating Liabilities</t>
  </si>
  <si>
    <t>Change in Operating Asset</t>
  </si>
  <si>
    <t>D&amp;A%Revenue</t>
  </si>
  <si>
    <t>Cash Flow Statement Drivers:</t>
  </si>
  <si>
    <t>Change in DTL%Income Tax Expense</t>
  </si>
  <si>
    <t>Change in DTL</t>
  </si>
  <si>
    <t>Other Current Liability%Revenue</t>
  </si>
  <si>
    <t>Change in Income Tax Payable%Tax Expense</t>
  </si>
  <si>
    <t>Change in Income Tax Payable</t>
  </si>
  <si>
    <t>Accrued Expenses%SG&amp;A</t>
  </si>
  <si>
    <t>Account Payable%COGS</t>
  </si>
  <si>
    <t>Other Current Asset%Revenue</t>
  </si>
  <si>
    <t>Inventory%COGS</t>
  </si>
  <si>
    <t>Receivable%Revenue</t>
  </si>
  <si>
    <t>Balance Sheet Drivers:</t>
  </si>
  <si>
    <t>Operating Lease Rental Expense</t>
  </si>
  <si>
    <t>SG&amp;A%Sale</t>
  </si>
  <si>
    <t>COGS%Sale</t>
  </si>
  <si>
    <t>Downside</t>
  </si>
  <si>
    <t>Base</t>
  </si>
  <si>
    <t>Upside</t>
  </si>
  <si>
    <t>Sale Per Store Growth Rate</t>
  </si>
  <si>
    <t>Company-operated Store Revene Per Store</t>
  </si>
  <si>
    <t>Rest of world Store Growth Rate</t>
  </si>
  <si>
    <t>#</t>
  </si>
  <si>
    <t>Rest of world</t>
  </si>
  <si>
    <t>China Store Growth Rate</t>
  </si>
  <si>
    <t>China</t>
  </si>
  <si>
    <t>Canada Store Growth Rate</t>
  </si>
  <si>
    <t>Canada</t>
  </si>
  <si>
    <t>USA Store Growth Rate</t>
  </si>
  <si>
    <t>USA</t>
  </si>
  <si>
    <t>Total Store Count</t>
  </si>
  <si>
    <t>Rest of the world</t>
  </si>
  <si>
    <t>Total Store Sales</t>
  </si>
  <si>
    <t>Direct to consmer%Revenue</t>
  </si>
  <si>
    <t>Other</t>
  </si>
  <si>
    <t>Direct to Consumer</t>
  </si>
  <si>
    <t>Company-Operated Stores%Revenue</t>
  </si>
  <si>
    <t>Company-operated stores</t>
  </si>
  <si>
    <t>By Channels:</t>
  </si>
  <si>
    <t>By Countries:</t>
  </si>
  <si>
    <t>Revenue Growth Rate</t>
  </si>
  <si>
    <t>Total Revenue</t>
  </si>
  <si>
    <t>Income Statement Driver:</t>
  </si>
  <si>
    <t>Financial Statements Drivers</t>
  </si>
  <si>
    <t>US Inflation Rate:</t>
  </si>
  <si>
    <t>US real GDP Growth Rate:</t>
  </si>
  <si>
    <t>Cases:</t>
  </si>
  <si>
    <t>Exchange Rate:</t>
  </si>
  <si>
    <t>Diluted Shares Counts:</t>
  </si>
  <si>
    <t>Current Share Price</t>
  </si>
  <si>
    <t>Direct%Total Sale</t>
  </si>
  <si>
    <t>Conversion Unit:</t>
  </si>
  <si>
    <t>Company Store%Total Sale</t>
  </si>
  <si>
    <t>Effective Tax Rate:</t>
  </si>
  <si>
    <t>Rest of world Growth</t>
  </si>
  <si>
    <t>LULU</t>
  </si>
  <si>
    <t>Ticker:</t>
  </si>
  <si>
    <t>Lease Discount Rate</t>
  </si>
  <si>
    <t>Lululemon</t>
  </si>
  <si>
    <t>Company Name:</t>
  </si>
  <si>
    <t>Lululemon Infos and Assumptions:</t>
  </si>
  <si>
    <t>All Accountings in Millions USD</t>
  </si>
  <si>
    <t>LULULEMON FINANCIAL MODEL</t>
  </si>
  <si>
    <t>Aritzia Financial Model</t>
  </si>
  <si>
    <t>All in Million</t>
  </si>
  <si>
    <t>Aritzia Infos and Assumptions:</t>
  </si>
  <si>
    <t>Aritzia Inc</t>
  </si>
  <si>
    <t>ATZ.TO</t>
  </si>
  <si>
    <t>Canada GDP Growth Rate:</t>
  </si>
  <si>
    <t>Canada Inflation Rate:</t>
  </si>
  <si>
    <t>CAD</t>
  </si>
  <si>
    <t>eCommer Revenue</t>
  </si>
  <si>
    <t>Retail Sales</t>
  </si>
  <si>
    <t xml:space="preserve">eCommer %Retail </t>
  </si>
  <si>
    <t>Retail Sale per Boutique</t>
  </si>
  <si>
    <t>Retail Sale Per Boutique Growth Rate</t>
  </si>
  <si>
    <t>Number of Boutiques</t>
  </si>
  <si>
    <t>Boutiques Growth Rate</t>
  </si>
  <si>
    <t>COGS%Revenue</t>
  </si>
  <si>
    <t>SG&amp;A%Revenue</t>
  </si>
  <si>
    <t>Stock-Based Compensation%Revenue</t>
  </si>
  <si>
    <t>Other Current Asset%Sale</t>
  </si>
  <si>
    <t>Deferred Tax Liability%Tax Expense</t>
  </si>
  <si>
    <t>Tax Payable</t>
  </si>
  <si>
    <t>Deferred Revenue%Revenue</t>
  </si>
  <si>
    <t>Total Debt</t>
  </si>
  <si>
    <t>Net Change in Working Capital</t>
  </si>
  <si>
    <t>CapEx%Sale</t>
  </si>
  <si>
    <t>Leases Drivers:</t>
  </si>
  <si>
    <t>Beginning Balance</t>
  </si>
  <si>
    <t>Lease Expense</t>
  </si>
  <si>
    <t>Lease Expense%Beginning Balance</t>
  </si>
  <si>
    <t>Principal Repayment</t>
  </si>
  <si>
    <t>Interest Payment</t>
  </si>
  <si>
    <t>Interest Payment%Beginning Balnce</t>
  </si>
  <si>
    <t>Balance Before New Lease</t>
  </si>
  <si>
    <t>New Lease</t>
  </si>
  <si>
    <t>New Lease%Revenue</t>
  </si>
  <si>
    <t>Revenue</t>
  </si>
  <si>
    <t>COGS</t>
  </si>
  <si>
    <t>Gross Profit</t>
  </si>
  <si>
    <t>SG&amp;A</t>
  </si>
  <si>
    <t>Stock-based Compensations</t>
  </si>
  <si>
    <t>Operating Income (EBIT)</t>
  </si>
  <si>
    <t>Other Income/Expenses</t>
  </si>
  <si>
    <t>Pre-tax Income</t>
  </si>
  <si>
    <t>Income Tax Expenses</t>
  </si>
  <si>
    <t>Current Asset</t>
  </si>
  <si>
    <t>Cash</t>
  </si>
  <si>
    <t>Receivable</t>
  </si>
  <si>
    <t>Inventory</t>
  </si>
  <si>
    <t>Other Current Asset</t>
  </si>
  <si>
    <t>Total Current Asset</t>
  </si>
  <si>
    <t>Intangible Asset</t>
  </si>
  <si>
    <t>Right-of-use Asset</t>
  </si>
  <si>
    <t>Other Non-Current Asset</t>
  </si>
  <si>
    <t>LIABILITIES AND EQUITIES</t>
  </si>
  <si>
    <t>Current Liability</t>
  </si>
  <si>
    <t>Deffered Revenue</t>
  </si>
  <si>
    <t>Total Current Liability</t>
  </si>
  <si>
    <t>Non-Current Liability</t>
  </si>
  <si>
    <t>Lease liabilities</t>
  </si>
  <si>
    <t>Deferred Tax Liablity</t>
  </si>
  <si>
    <t>Other Non-Current Liablity</t>
  </si>
  <si>
    <t>Total Non-Current Liablity</t>
  </si>
  <si>
    <t>Total Shareholder Equity</t>
  </si>
  <si>
    <t>Total Liability and Equity</t>
  </si>
  <si>
    <t>Non-Cash Adjustment:</t>
  </si>
  <si>
    <t>(+/-)Change in DTL</t>
  </si>
  <si>
    <t>Total Cash From Operation</t>
  </si>
  <si>
    <t>(-)Capital Expenditure</t>
  </si>
  <si>
    <t>(-)Intangible Asset Expenditure</t>
  </si>
  <si>
    <t>(-)Acquisition</t>
  </si>
  <si>
    <t>Total Cash Flow From Investment</t>
  </si>
  <si>
    <t>(+)Debt Principal Repayment</t>
  </si>
  <si>
    <t>Total Cash Flow From Finance</t>
  </si>
  <si>
    <t>Total Change of Cash</t>
  </si>
  <si>
    <t>USD</t>
  </si>
  <si>
    <t>LULU and Aritzia Merger Model</t>
  </si>
  <si>
    <t>(All in Million US Dollars unless otherwise indicated)</t>
  </si>
  <si>
    <t>Transaction Assumptions:</t>
  </si>
  <si>
    <t>Transaction Close Date:</t>
  </si>
  <si>
    <t>Valuation/Analysis Date:</t>
  </si>
  <si>
    <t xml:space="preserve">Aritzia Share Price </t>
  </si>
  <si>
    <t>LULU Share Price</t>
  </si>
  <si>
    <t>Aritzia Total Number of Shares</t>
  </si>
  <si>
    <t>LULU Total Number of Shares</t>
  </si>
  <si>
    <t>Artzia Market Cap</t>
  </si>
  <si>
    <t>LULU Market Cap</t>
  </si>
  <si>
    <t>Premium Paid</t>
  </si>
  <si>
    <t>Offer Pirce</t>
  </si>
  <si>
    <t>Purchase Equity Value</t>
  </si>
  <si>
    <t>Market Capitalization</t>
  </si>
  <si>
    <t>Total Equity Value</t>
  </si>
  <si>
    <t>(-)Cash</t>
  </si>
  <si>
    <t>(+)Total Debt</t>
  </si>
  <si>
    <t>Total Enterprise Value</t>
  </si>
  <si>
    <t>Purchase Enterprise Value</t>
  </si>
  <si>
    <t>Post-Transaction Minimum Cash Balance:</t>
  </si>
  <si>
    <t>Combined Cash Balance</t>
  </si>
  <si>
    <t>Maximum Cash For Deal</t>
  </si>
  <si>
    <t>EBITDA</t>
  </si>
  <si>
    <t>Maximum Combined Debt / EBITDA:</t>
  </si>
  <si>
    <t>Maximum Debt Balance</t>
  </si>
  <si>
    <t>Advisory Fee %:</t>
  </si>
  <si>
    <t>Debt Issuance Fee %:</t>
  </si>
  <si>
    <t>Deal Financial</t>
  </si>
  <si>
    <t>Cost of Capital</t>
  </si>
  <si>
    <t>Amount Used</t>
  </si>
  <si>
    <t>Debt</t>
  </si>
  <si>
    <t>Existing Debt Balance</t>
  </si>
  <si>
    <t>Total Debt Used for Deal</t>
  </si>
  <si>
    <t>Include Revenue Synergies?</t>
  </si>
  <si>
    <t>Include Expense Synergies?</t>
  </si>
  <si>
    <t>(1 = Yes, 0 = No)</t>
  </si>
  <si>
    <t>Expense Synergy Realization Factor:</t>
  </si>
  <si>
    <t>Legal and Other Fees:</t>
  </si>
  <si>
    <t>Stock</t>
  </si>
  <si>
    <t>Stock Issued</t>
  </si>
  <si>
    <t>Total Capital Used</t>
  </si>
  <si>
    <t>Total Uses and Sources</t>
  </si>
  <si>
    <t>Sources</t>
  </si>
  <si>
    <t>Uses</t>
  </si>
  <si>
    <t>Cash for Equity Purcahses</t>
  </si>
  <si>
    <t>Debt for Equity Purchases</t>
  </si>
  <si>
    <t>Equity Purcahse Price of Aritzia</t>
  </si>
  <si>
    <t>Assumed Aritzia Debt</t>
  </si>
  <si>
    <t>Transaction Fee</t>
  </si>
  <si>
    <t>Financing Fee</t>
  </si>
  <si>
    <t>Total Uses</t>
  </si>
  <si>
    <t>Cash for Transaction Fee</t>
  </si>
  <si>
    <t>Total Sources</t>
  </si>
  <si>
    <t>Purchase Price Allocation</t>
  </si>
  <si>
    <t>Goodwill Created</t>
  </si>
  <si>
    <t>PP&amp;E Write-up</t>
  </si>
  <si>
    <t>PP&amp;E Write-up Amount</t>
  </si>
  <si>
    <t>Fixed Asset Write-Up</t>
  </si>
  <si>
    <t>Depreciation Period</t>
  </si>
  <si>
    <t>Intangible Asset Write-Up</t>
  </si>
  <si>
    <t>Equity Purchase Price</t>
  </si>
  <si>
    <t>(-)Aritzia Book Value to Common</t>
  </si>
  <si>
    <t>(+)Write-off of Aritzia Existing Goodwill</t>
  </si>
  <si>
    <t>Total Allocable Purchase Premium</t>
  </si>
  <si>
    <t>Purchase Premium</t>
  </si>
  <si>
    <t>Indefinte Lived Intangible</t>
  </si>
  <si>
    <t>%to Indefinite-Lived Intangible</t>
  </si>
  <si>
    <t>% Allocated to Definite-Lived Intangibles:</t>
  </si>
  <si>
    <t>Intangibles Write-Up Amount:</t>
  </si>
  <si>
    <t>Amortization Period (Years):</t>
  </si>
  <si>
    <t>(-)Write-up of PP&amp;E</t>
  </si>
  <si>
    <t>(-)Write-up of Intangibles</t>
  </si>
  <si>
    <t>LULU Tax Rate</t>
  </si>
  <si>
    <t>New DTL Created</t>
  </si>
  <si>
    <t>(-)Write-down of Aritzia DTL</t>
  </si>
  <si>
    <t>(+)New DTL Created</t>
  </si>
  <si>
    <t>Combined</t>
  </si>
  <si>
    <t>Aritzia Revenue Synergy Factors</t>
  </si>
  <si>
    <t>Operating Expenses Synergy Factors</t>
  </si>
  <si>
    <t>Benchmark</t>
  </si>
  <si>
    <t>Fixed</t>
  </si>
  <si>
    <t>PIK</t>
  </si>
  <si>
    <t>Annual</t>
  </si>
  <si>
    <t>Debt Tranche Name:</t>
  </si>
  <si>
    <t>Floor:</t>
  </si>
  <si>
    <t>Spread:</t>
  </si>
  <si>
    <t>Rate:</t>
  </si>
  <si>
    <t>Margin:</t>
  </si>
  <si>
    <t>Amort.:</t>
  </si>
  <si>
    <t>Term Loan A:</t>
  </si>
  <si>
    <t>Term Loan B:</t>
  </si>
  <si>
    <t>Subordinated Notes:</t>
  </si>
  <si>
    <t>Issuance</t>
  </si>
  <si>
    <t>Total</t>
  </si>
  <si>
    <t>Proportion</t>
  </si>
  <si>
    <t>(+)LULU Revenue</t>
  </si>
  <si>
    <t>(+)Aritzia Revenue</t>
  </si>
  <si>
    <t>(+)Revenue Synergy for Aritia</t>
  </si>
  <si>
    <t>(-)Cost of Good Sold</t>
  </si>
  <si>
    <t>(-)COGS from Additional Revenue</t>
  </si>
  <si>
    <t>Total Cost of Sales</t>
  </si>
  <si>
    <t>(-)Operating Expenses from New Revenue</t>
  </si>
  <si>
    <t>(-)Aritzia Operating Expenses</t>
  </si>
  <si>
    <t>(-)LULU Operating Expenses</t>
  </si>
  <si>
    <t>(+)OpEx Synergy</t>
  </si>
  <si>
    <t>(-)OpEx Synergy Integration Cost</t>
  </si>
  <si>
    <t>Integration Cost</t>
  </si>
  <si>
    <t>Total Integration Cost</t>
  </si>
  <si>
    <t>Gross Margin</t>
  </si>
  <si>
    <t>(-)New Depreciation of Write-up</t>
  </si>
  <si>
    <t>(-)New Amortization of Intangible</t>
  </si>
  <si>
    <t>Total Operating Expenses</t>
  </si>
  <si>
    <t>(-)Amortization of Debt Issuance Fee</t>
  </si>
  <si>
    <t>(-)Interest Expenses on New Debt</t>
  </si>
  <si>
    <t>(+/-)Other Income/(Expenses)</t>
  </si>
  <si>
    <t>Pre-Tax Income</t>
  </si>
  <si>
    <t>(-)Income Tax Expenses</t>
  </si>
  <si>
    <t>Debt Assumptions:</t>
  </si>
  <si>
    <t>Term Loan A</t>
  </si>
  <si>
    <t>Term Loan B</t>
  </si>
  <si>
    <t>Subordinated Note</t>
  </si>
  <si>
    <t>BoP Balance</t>
  </si>
  <si>
    <t>US 10 years Treasury Yield</t>
  </si>
  <si>
    <t>Term Loan A Interest Rate</t>
  </si>
  <si>
    <t>EoP Balance</t>
  </si>
  <si>
    <t>(-)Interest Expense</t>
  </si>
  <si>
    <t>Term Loan B Interest Rate</t>
  </si>
  <si>
    <t>Cash Interest Rate</t>
  </si>
  <si>
    <t>PIK Rate</t>
  </si>
  <si>
    <t>Total Schedule</t>
  </si>
  <si>
    <t>(-)Cash Intrerest Expenses</t>
  </si>
  <si>
    <t>(+)PIK Interest</t>
  </si>
  <si>
    <t>(-)Total Interest Expenses</t>
  </si>
  <si>
    <t>Non-Cash Interest</t>
  </si>
  <si>
    <t>(+)Amortization of Financing Fees</t>
  </si>
  <si>
    <t>(-)Forgone Interest Income</t>
  </si>
  <si>
    <t>Cash Interest</t>
  </si>
  <si>
    <t>Total Interest Expenses</t>
  </si>
  <si>
    <t>Total Number of Share Before Acquisition</t>
  </si>
  <si>
    <t>(+)Total Shares Issued for the Deal</t>
  </si>
  <si>
    <t>Total Number of Share After Acquisition</t>
  </si>
  <si>
    <t>LULU Standalone Net Income</t>
  </si>
  <si>
    <t xml:space="preserve">Accretion/(Dilution) </t>
  </si>
  <si>
    <t>LULU Standalone Net Income Per Share</t>
  </si>
  <si>
    <t>Accretion/(Dilution) Ratio</t>
  </si>
  <si>
    <t>Earnings Per Share-After Acquisition</t>
  </si>
  <si>
    <t>Cash Flow Statements</t>
  </si>
  <si>
    <t>(+)Old Depreciation and Amortization</t>
  </si>
  <si>
    <t>(+)Impairement</t>
  </si>
  <si>
    <t>(+/-)Gain or Loss on PP&amp;E</t>
  </si>
  <si>
    <t>(+)Stock Based Compensation</t>
  </si>
  <si>
    <t>CASH FLOW FROM OPERATION:</t>
  </si>
  <si>
    <t>CASH FLOW FROM INVESTMENT:</t>
  </si>
  <si>
    <t>(+)New Depreciation on PP&amp;E Write-Up</t>
  </si>
  <si>
    <t>(+)New Amortization for Intangible Created</t>
  </si>
  <si>
    <t>(+)Non-Cash Interest Expense</t>
  </si>
  <si>
    <t>(+)Amortization of Debt Issuance Fee</t>
  </si>
  <si>
    <t>(+/)Change in New DTL</t>
  </si>
  <si>
    <t>(+/-)Investment in Working Capital</t>
  </si>
  <si>
    <t>(-)Intangible Asset Acquisition</t>
  </si>
  <si>
    <t>Cash Flow From Investment:</t>
  </si>
  <si>
    <t>CASH FLOW FROM FINANCING:</t>
  </si>
  <si>
    <t>(-)New Debt Principal Repayment</t>
  </si>
  <si>
    <t>(+/-)FX Effect</t>
  </si>
  <si>
    <t>Net Change in Cash</t>
  </si>
  <si>
    <t>Balance Sheet</t>
  </si>
  <si>
    <t>Acquirer</t>
  </si>
  <si>
    <t>Target</t>
  </si>
  <si>
    <t>Credit:</t>
  </si>
  <si>
    <t>Debit:</t>
  </si>
  <si>
    <t>Pro-Forma Adjustment</t>
  </si>
  <si>
    <t>Operating Leases</t>
  </si>
  <si>
    <t>Intangibles</t>
  </si>
  <si>
    <t>LIALIBILITES AND EQUITIES</t>
  </si>
  <si>
    <t>Other Current Liabilities</t>
  </si>
  <si>
    <t>Current Liabilites</t>
  </si>
  <si>
    <t>Deferred Revenue</t>
  </si>
  <si>
    <t>Deferred Tax Liabilities</t>
  </si>
  <si>
    <t>Other Non-Current Liabilities</t>
  </si>
  <si>
    <t>Total Non-Current Libailites</t>
  </si>
  <si>
    <t>Other Intangible Asset</t>
  </si>
  <si>
    <t>New Debt Issuance</t>
  </si>
  <si>
    <t>LULU Case</t>
  </si>
  <si>
    <t>Aritzia Case</t>
  </si>
  <si>
    <t>LULULEMON OPERATING SCENARIO</t>
  </si>
  <si>
    <t>Aritzia Operating Scenario</t>
  </si>
  <si>
    <t>All Stock Deal?</t>
  </si>
  <si>
    <t>Discounted Cash Flow Analysis: Aritzia.</t>
  </si>
  <si>
    <t>Assumptions:</t>
  </si>
  <si>
    <t>Termianl Value-EBITDA Multiple</t>
  </si>
  <si>
    <t>Termianl Value-Perpetuity Growth</t>
  </si>
  <si>
    <t>Company Ticker:</t>
  </si>
  <si>
    <t>Baseline Ratio</t>
  </si>
  <si>
    <t>Baseline Growth Rate</t>
  </si>
  <si>
    <t>Baseline Terminal Value:</t>
  </si>
  <si>
    <t>PV(FCFF)</t>
  </si>
  <si>
    <t>PV(Terminal Value)</t>
  </si>
  <si>
    <t>Valuation Date:</t>
  </si>
  <si>
    <t>WACC:</t>
  </si>
  <si>
    <t>(+)Cash</t>
  </si>
  <si>
    <t>(-)Total Debt</t>
  </si>
  <si>
    <t>Implied Equity Value</t>
  </si>
  <si>
    <t>Implied Equity Share Price</t>
  </si>
  <si>
    <t>Historical:</t>
  </si>
  <si>
    <t>Free Cash Flow to Firm</t>
  </si>
  <si>
    <t>(-)Income Tax Expense</t>
  </si>
  <si>
    <t>NOPAT</t>
  </si>
  <si>
    <t>(+/-)Net Working Capital Investment</t>
  </si>
  <si>
    <t>Days to Today (Mid-Year Convention)</t>
  </si>
  <si>
    <t>Discount Factor</t>
  </si>
  <si>
    <t>Discounted Cash Flow Analysis: Lululemon</t>
  </si>
  <si>
    <t>Income Tax Expense</t>
  </si>
  <si>
    <t>NOPTA</t>
  </si>
  <si>
    <t>D&amp;A</t>
  </si>
  <si>
    <t>CapEx</t>
  </si>
  <si>
    <t>Working Capital Investment</t>
  </si>
  <si>
    <t>DTL Change</t>
  </si>
  <si>
    <t>Discount Period</t>
  </si>
  <si>
    <t>$M</t>
  </si>
  <si>
    <t>$</t>
  </si>
  <si>
    <t># Shares</t>
  </si>
  <si>
    <t>Synergies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</si>
</sst>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FY&quot;\ yy"/>
    <numFmt numFmtId="165" formatCode="&quot;FY&quot;yy"/>
    <numFmt numFmtId="166" formatCode="0.0;0.0;&quot;OK!&quot;"/>
    <numFmt numFmtId="167" formatCode="_(* #,##0.000_);_(* \(#,##0.000\);_(* &quot;-&quot;???_);_(@_)"/>
    <numFmt numFmtId="168" formatCode="0.0"/>
    <numFmt numFmtId="169" formatCode="0.00;0.00;&quot;OK&quot;"/>
    <numFmt numFmtId="170" formatCode="yyyy\-mm\-dd"/>
    <numFmt numFmtId="171" formatCode="_(&quot;$&quot;* #,##0.0_);_(&quot;$&quot;* \(#,##0.0\);_(&quot;$&quot;* &quot;-&quot;?_);_(@_)"/>
    <numFmt numFmtId="172" formatCode="0.0\ \x"/>
    <numFmt numFmtId="173" formatCode="0.0%;\(0.0%\)"/>
    <numFmt numFmtId="174" formatCode="0.00%;\(0.00%\)"/>
    <numFmt numFmtId="175" formatCode="0_);\(0\)"/>
    <numFmt numFmtId="176" formatCode="_(* #,##0.0_);_(* \(#,##0.0\);_(* &quot;-&quot;?_);_(@_)"/>
    <numFmt numFmtId="177" formatCode="_(&quot;$&quot;* #,##0.00_);_(&quot;$&quot;* \(#,##0.00\);_(&quot;$&quot;* &quot;-&quot;?_);_(@_)"/>
    <numFmt numFmtId="178" formatCode="0.0%"/>
    <numFmt numFmtId="179" formatCode="_(* #,##0.00_);_(* \(#,##0.00\);_(* &quot;-&quot;?_);_(@_)"/>
    <numFmt numFmtId="180" formatCode="0.000000000;0.000000000;&quot;OK!&quot;"/>
    <numFmt numFmtId="181" formatCode="_(* #,##0.0000_);_(* \(#,##0.0000\);_(* &quot;-&quot;????_);_(@_)"/>
  </numFmts>
  <fonts count="3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</font>
    <font>
      <b/>
      <i/>
      <sz val="12"/>
      <color rgb="FFFFFFFF"/>
      <name val="Calibri"/>
      <family val="2"/>
    </font>
    <font>
      <i/>
      <sz val="12"/>
      <color rgb="FFFFFFFF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9"/>
      <color rgb="FF000000"/>
      <name val="Arial-BoldMT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FF"/>
      <name val="Calibri"/>
      <family val="2"/>
    </font>
    <font>
      <b/>
      <sz val="12"/>
      <color rgb="FF0000FF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i/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2"/>
      <name val="Calibri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  <fill>
      <patternFill patternType="solid">
        <fgColor rgb="FFFFFF9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8DB4E2"/>
        <bgColor rgb="FF000000"/>
      </patternFill>
    </fill>
  </fills>
  <borders count="1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8" fillId="0" borderId="0"/>
    <xf numFmtId="0" fontId="25" fillId="7" borderId="7" applyNumberFormat="0" applyFont="0" applyAlignment="0" applyProtection="0"/>
  </cellStyleXfs>
  <cellXfs count="300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0" applyNumberFormat="1" applyFont="1"/>
    <xf numFmtId="0" fontId="3" fillId="0" borderId="0" xfId="0" applyFont="1" applyAlignment="1">
      <alignment horizontal="center"/>
    </xf>
    <xf numFmtId="43" fontId="1" fillId="2" borderId="1" xfId="0" applyNumberFormat="1" applyFont="1" applyFill="1" applyBorder="1" applyAlignment="1">
      <alignment horizontal="center"/>
    </xf>
    <xf numFmtId="43" fontId="4" fillId="0" borderId="0" xfId="0" applyNumberFormat="1" applyFont="1"/>
    <xf numFmtId="0" fontId="1" fillId="0" borderId="0" xfId="0" applyFont="1" applyAlignment="1">
      <alignment horizontal="left" indent="1"/>
    </xf>
    <xf numFmtId="43" fontId="1" fillId="2" borderId="2" xfId="0" applyNumberFormat="1" applyFont="1" applyFill="1" applyBorder="1" applyAlignment="1">
      <alignment horizontal="center"/>
    </xf>
    <xf numFmtId="43" fontId="4" fillId="0" borderId="3" xfId="0" applyNumberFormat="1" applyFont="1" applyBorder="1"/>
    <xf numFmtId="0" fontId="1" fillId="0" borderId="3" xfId="0" applyFont="1" applyBorder="1"/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164" fontId="2" fillId="3" borderId="3" xfId="0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164" fontId="2" fillId="3" borderId="3" xfId="0" applyNumberFormat="1" applyFont="1" applyFill="1" applyBorder="1"/>
    <xf numFmtId="43" fontId="1" fillId="0" borderId="0" xfId="0" applyNumberFormat="1" applyFont="1"/>
    <xf numFmtId="0" fontId="5" fillId="0" borderId="0" xfId="0" applyFont="1"/>
    <xf numFmtId="43" fontId="2" fillId="0" borderId="3" xfId="0" applyNumberFormat="1" applyFont="1" applyBorder="1"/>
    <xf numFmtId="43" fontId="6" fillId="0" borderId="3" xfId="0" applyNumberFormat="1" applyFont="1" applyBorder="1"/>
    <xf numFmtId="0" fontId="2" fillId="0" borderId="3" xfId="0" applyFont="1" applyBorder="1"/>
    <xf numFmtId="44" fontId="7" fillId="0" borderId="0" xfId="0" applyNumberFormat="1" applyFont="1"/>
    <xf numFmtId="165" fontId="9" fillId="4" borderId="3" xfId="1" applyNumberFormat="1" applyFont="1" applyFill="1" applyBorder="1" applyAlignment="1">
      <alignment horizontal="center"/>
    </xf>
    <xf numFmtId="165" fontId="9" fillId="4" borderId="4" xfId="1" applyNumberFormat="1" applyFont="1" applyFill="1" applyBorder="1" applyAlignment="1">
      <alignment horizontal="centerContinuous"/>
    </xf>
    <xf numFmtId="0" fontId="10" fillId="4" borderId="3" xfId="1" applyFont="1" applyFill="1" applyBorder="1" applyAlignment="1">
      <alignment horizontal="center"/>
    </xf>
    <xf numFmtId="49" fontId="9" fillId="4" borderId="3" xfId="1" applyNumberFormat="1" applyFont="1" applyFill="1" applyBorder="1"/>
    <xf numFmtId="0" fontId="9" fillId="4" borderId="3" xfId="1" applyFont="1" applyFill="1" applyBorder="1"/>
    <xf numFmtId="0" fontId="9" fillId="4" borderId="5" xfId="1" applyFont="1" applyFill="1" applyBorder="1" applyAlignment="1">
      <alignment horizontal="centerContinuous"/>
    </xf>
    <xf numFmtId="0" fontId="9" fillId="4" borderId="6" xfId="1" applyFont="1" applyFill="1" applyBorder="1" applyAlignment="1">
      <alignment horizontal="centerContinuous"/>
    </xf>
    <xf numFmtId="0" fontId="11" fillId="4" borderId="0" xfId="1" applyFont="1" applyFill="1" applyAlignment="1">
      <alignment horizontal="center"/>
    </xf>
    <xf numFmtId="49" fontId="9" fillId="4" borderId="0" xfId="1" applyNumberFormat="1" applyFont="1" applyFill="1"/>
    <xf numFmtId="0" fontId="9" fillId="4" borderId="0" xfId="1" applyFont="1" applyFill="1"/>
    <xf numFmtId="166" fontId="2" fillId="0" borderId="0" xfId="0" applyNumberFormat="1" applyFont="1"/>
    <xf numFmtId="2" fontId="2" fillId="0" borderId="0" xfId="0" applyNumberFormat="1" applyFont="1"/>
    <xf numFmtId="44" fontId="1" fillId="0" borderId="3" xfId="0" applyNumberFormat="1" applyFont="1" applyBorder="1"/>
    <xf numFmtId="2" fontId="4" fillId="0" borderId="3" xfId="0" applyNumberFormat="1" applyFont="1" applyBorder="1"/>
    <xf numFmtId="2" fontId="1" fillId="0" borderId="0" xfId="0" applyNumberFormat="1" applyFont="1"/>
    <xf numFmtId="43" fontId="1" fillId="0" borderId="3" xfId="0" applyNumberFormat="1" applyFont="1" applyBorder="1"/>
    <xf numFmtId="2" fontId="4" fillId="0" borderId="0" xfId="0" applyNumberFormat="1" applyFont="1"/>
    <xf numFmtId="43" fontId="2" fillId="0" borderId="0" xfId="0" applyNumberFormat="1" applyFont="1"/>
    <xf numFmtId="2" fontId="1" fillId="0" borderId="3" xfId="0" applyNumberFormat="1" applyFont="1" applyBorder="1"/>
    <xf numFmtId="44" fontId="4" fillId="0" borderId="0" xfId="0" applyNumberFormat="1" applyFont="1"/>
    <xf numFmtId="44" fontId="1" fillId="0" borderId="0" xfId="0" applyNumberFormat="1" applyFont="1"/>
    <xf numFmtId="0" fontId="12" fillId="0" borderId="0" xfId="0" applyFont="1" applyAlignment="1">
      <alignment vertical="top"/>
    </xf>
    <xf numFmtId="43" fontId="4" fillId="0" borderId="3" xfId="0" applyNumberFormat="1" applyFont="1" applyBorder="1" applyAlignment="1">
      <alignment vertical="top"/>
    </xf>
    <xf numFmtId="0" fontId="13" fillId="0" borderId="3" xfId="0" applyFont="1" applyBorder="1" applyAlignment="1">
      <alignment horizontal="left" vertical="top" indent="1"/>
    </xf>
    <xf numFmtId="43" fontId="4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 indent="1"/>
    </xf>
    <xf numFmtId="44" fontId="0" fillId="0" borderId="0" xfId="0" applyNumberFormat="1" applyAlignment="1">
      <alignment vertical="top"/>
    </xf>
    <xf numFmtId="44" fontId="7" fillId="0" borderId="0" xfId="0" applyNumberFormat="1" applyFont="1" applyAlignment="1">
      <alignment vertical="top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1"/>
    </xf>
    <xf numFmtId="43" fontId="2" fillId="0" borderId="0" xfId="0" applyNumberFormat="1" applyFont="1" applyAlignment="1">
      <alignment horizontal="left" indent="1"/>
    </xf>
    <xf numFmtId="2" fontId="2" fillId="0" borderId="0" xfId="0" applyNumberFormat="1" applyFont="1" applyAlignment="1">
      <alignment horizontal="left" indent="1"/>
    </xf>
    <xf numFmtId="10" fontId="1" fillId="2" borderId="1" xfId="0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0" borderId="0" xfId="0" applyFont="1" applyAlignment="1">
      <alignment horizontal="left" indent="4"/>
    </xf>
    <xf numFmtId="0" fontId="1" fillId="0" borderId="0" xfId="0" applyFont="1" applyAlignment="1">
      <alignment horizontal="left" indent="3"/>
    </xf>
    <xf numFmtId="2" fontId="12" fillId="0" borderId="0" xfId="0" applyNumberFormat="1" applyFont="1"/>
    <xf numFmtId="2" fontId="6" fillId="0" borderId="0" xfId="0" applyNumberFormat="1" applyFont="1"/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 vertical="top" indent="2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indent="1"/>
    </xf>
    <xf numFmtId="1" fontId="4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 indent="5"/>
    </xf>
    <xf numFmtId="10" fontId="4" fillId="0" borderId="0" xfId="0" applyNumberFormat="1" applyFont="1" applyAlignment="1">
      <alignment vertical="top"/>
    </xf>
    <xf numFmtId="10" fontId="4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left" vertical="top" indent="4"/>
    </xf>
    <xf numFmtId="43" fontId="6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 indent="3"/>
    </xf>
    <xf numFmtId="1" fontId="1" fillId="0" borderId="0" xfId="0" applyNumberFormat="1" applyFont="1"/>
    <xf numFmtId="1" fontId="13" fillId="0" borderId="0" xfId="0" applyNumberFormat="1" applyFont="1" applyAlignment="1">
      <alignment vertical="top"/>
    </xf>
    <xf numFmtId="43" fontId="13" fillId="0" borderId="0" xfId="0" applyNumberFormat="1" applyFont="1" applyAlignment="1">
      <alignment vertical="top"/>
    </xf>
    <xf numFmtId="43" fontId="14" fillId="0" borderId="0" xfId="0" applyNumberFormat="1" applyFont="1" applyAlignment="1">
      <alignment vertical="top"/>
    </xf>
    <xf numFmtId="4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37" fontId="8" fillId="0" borderId="0" xfId="0" applyNumberFormat="1" applyFont="1" applyAlignment="1">
      <alignment vertical="top"/>
    </xf>
    <xf numFmtId="37" fontId="1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3" fontId="6" fillId="0" borderId="0" xfId="0" applyNumberFormat="1" applyFont="1"/>
    <xf numFmtId="37" fontId="16" fillId="0" borderId="0" xfId="0" applyNumberFormat="1" applyFont="1" applyAlignment="1">
      <alignment vertical="top"/>
    </xf>
    <xf numFmtId="0" fontId="16" fillId="0" borderId="0" xfId="0" applyFont="1" applyAlignment="1">
      <alignment vertical="top"/>
    </xf>
    <xf numFmtId="42" fontId="16" fillId="0" borderId="0" xfId="0" applyNumberFormat="1" applyFont="1" applyAlignment="1">
      <alignment vertical="top"/>
    </xf>
    <xf numFmtId="44" fontId="6" fillId="0" borderId="0" xfId="0" applyNumberFormat="1" applyFont="1"/>
    <xf numFmtId="10" fontId="4" fillId="0" borderId="0" xfId="0" applyNumberFormat="1" applyFont="1"/>
    <xf numFmtId="165" fontId="1" fillId="0" borderId="0" xfId="0" applyNumberFormat="1" applyFont="1"/>
    <xf numFmtId="49" fontId="1" fillId="0" borderId="0" xfId="0" applyNumberFormat="1" applyFont="1"/>
    <xf numFmtId="167" fontId="4" fillId="2" borderId="1" xfId="0" applyNumberFormat="1" applyFont="1" applyFill="1" applyBorder="1" applyAlignment="1">
      <alignment horizontal="center"/>
    </xf>
    <xf numFmtId="39" fontId="1" fillId="2" borderId="1" xfId="0" applyNumberFormat="1" applyFont="1" applyFill="1" applyBorder="1" applyAlignment="1">
      <alignment horizontal="center"/>
    </xf>
    <xf numFmtId="49" fontId="17" fillId="0" borderId="0" xfId="0" applyNumberFormat="1" applyFont="1"/>
    <xf numFmtId="7" fontId="1" fillId="2" borderId="1" xfId="0" applyNumberFormat="1" applyFont="1" applyFill="1" applyBorder="1" applyAlignment="1">
      <alignment horizontal="center"/>
    </xf>
    <xf numFmtId="10" fontId="13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9" fillId="4" borderId="0" xfId="1" applyFont="1" applyFill="1" applyAlignment="1">
      <alignment horizontal="center"/>
    </xf>
    <xf numFmtId="0" fontId="18" fillId="0" borderId="0" xfId="0" applyFont="1"/>
    <xf numFmtId="0" fontId="21" fillId="0" borderId="0" xfId="0" applyFont="1"/>
    <xf numFmtId="1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0" fontId="10" fillId="4" borderId="0" xfId="1" applyFont="1" applyFill="1" applyAlignment="1">
      <alignment horizontal="center"/>
    </xf>
    <xf numFmtId="165" fontId="9" fillId="4" borderId="0" xfId="1" applyNumberFormat="1" applyFont="1" applyFill="1" applyAlignment="1">
      <alignment horizontal="center"/>
    </xf>
    <xf numFmtId="0" fontId="1" fillId="0" borderId="0" xfId="0" applyFont="1" applyAlignment="1">
      <alignment horizontal="left" indent="2"/>
    </xf>
    <xf numFmtId="37" fontId="1" fillId="0" borderId="0" xfId="0" applyNumberFormat="1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1" fillId="0" borderId="3" xfId="0" applyFont="1" applyBorder="1" applyAlignment="1">
      <alignment horizontal="left" indent="2"/>
    </xf>
    <xf numFmtId="3" fontId="22" fillId="0" borderId="0" xfId="0" applyNumberFormat="1" applyFont="1"/>
    <xf numFmtId="3" fontId="2" fillId="0" borderId="0" xfId="0" applyNumberFormat="1" applyFont="1"/>
    <xf numFmtId="169" fontId="2" fillId="0" borderId="0" xfId="0" applyNumberFormat="1" applyFont="1"/>
    <xf numFmtId="43" fontId="14" fillId="0" borderId="0" xfId="0" applyNumberFormat="1" applyFont="1"/>
    <xf numFmtId="0" fontId="2" fillId="0" borderId="3" xfId="0" applyFont="1" applyBorder="1" applyAlignment="1">
      <alignment horizontal="left" indent="1"/>
    </xf>
    <xf numFmtId="3" fontId="1" fillId="0" borderId="0" xfId="0" applyNumberFormat="1" applyFont="1"/>
    <xf numFmtId="44" fontId="12" fillId="0" borderId="0" xfId="0" applyNumberFormat="1" applyFont="1"/>
    <xf numFmtId="43" fontId="13" fillId="0" borderId="3" xfId="0" applyNumberFormat="1" applyFont="1" applyBorder="1"/>
    <xf numFmtId="43" fontId="12" fillId="0" borderId="0" xfId="0" applyNumberFormat="1" applyFont="1"/>
    <xf numFmtId="43" fontId="13" fillId="0" borderId="0" xfId="0" applyNumberFormat="1" applyFont="1"/>
    <xf numFmtId="0" fontId="13" fillId="0" borderId="0" xfId="0" applyFont="1"/>
    <xf numFmtId="0" fontId="12" fillId="0" borderId="0" xfId="0" applyFont="1"/>
    <xf numFmtId="44" fontId="13" fillId="0" borderId="0" xfId="0" applyNumberFormat="1" applyFont="1"/>
    <xf numFmtId="43" fontId="12" fillId="0" borderId="3" xfId="0" applyNumberFormat="1" applyFont="1" applyBorder="1"/>
    <xf numFmtId="0" fontId="5" fillId="0" borderId="0" xfId="0" applyFont="1" applyAlignment="1">
      <alignment horizontal="center"/>
    </xf>
    <xf numFmtId="164" fontId="23" fillId="5" borderId="3" xfId="0" applyNumberFormat="1" applyFont="1" applyFill="1" applyBorder="1"/>
    <xf numFmtId="164" fontId="24" fillId="5" borderId="3" xfId="0" applyNumberFormat="1" applyFont="1" applyFill="1" applyBorder="1" applyAlignment="1">
      <alignment horizontal="center"/>
    </xf>
    <xf numFmtId="0" fontId="23" fillId="0" borderId="0" xfId="0" applyFont="1"/>
    <xf numFmtId="43" fontId="23" fillId="0" borderId="0" xfId="0" applyNumberFormat="1" applyFont="1"/>
    <xf numFmtId="0" fontId="17" fillId="0" borderId="0" xfId="0" applyFont="1" applyAlignment="1">
      <alignment horizontal="left" indent="1"/>
    </xf>
    <xf numFmtId="0" fontId="17" fillId="0" borderId="0" xfId="0" applyFont="1"/>
    <xf numFmtId="43" fontId="17" fillId="0" borderId="0" xfId="0" applyNumberFormat="1" applyFont="1"/>
    <xf numFmtId="164" fontId="2" fillId="6" borderId="0" xfId="0" applyNumberFormat="1" applyFont="1" applyFill="1"/>
    <xf numFmtId="43" fontId="2" fillId="6" borderId="0" xfId="0" applyNumberFormat="1" applyFont="1" applyFill="1"/>
    <xf numFmtId="171" fontId="26" fillId="2" borderId="7" xfId="2" applyNumberFormat="1" applyFont="1" applyFill="1" applyAlignment="1"/>
    <xf numFmtId="171" fontId="1" fillId="0" borderId="0" xfId="0" applyNumberFormat="1" applyFont="1"/>
    <xf numFmtId="172" fontId="4" fillId="2" borderId="7" xfId="0" applyNumberFormat="1" applyFont="1" applyFill="1" applyBorder="1" applyAlignment="1">
      <alignment horizontal="center"/>
    </xf>
    <xf numFmtId="173" fontId="26" fillId="2" borderId="7" xfId="2" applyNumberFormat="1" applyFont="1" applyFill="1" applyAlignment="1">
      <alignment horizontal="center"/>
    </xf>
    <xf numFmtId="0" fontId="1" fillId="6" borderId="0" xfId="0" applyFont="1" applyFill="1"/>
    <xf numFmtId="0" fontId="2" fillId="6" borderId="0" xfId="0" applyFont="1" applyFill="1"/>
    <xf numFmtId="174" fontId="26" fillId="2" borderId="7" xfId="2" applyNumberFormat="1" applyFont="1" applyFill="1" applyAlignment="1">
      <alignment horizontal="center"/>
    </xf>
    <xf numFmtId="175" fontId="26" fillId="2" borderId="7" xfId="2" applyNumberFormat="1" applyFont="1" applyFill="1" applyAlignment="1">
      <alignment horizontal="center"/>
    </xf>
    <xf numFmtId="170" fontId="4" fillId="2" borderId="7" xfId="0" applyNumberFormat="1" applyFont="1" applyFill="1" applyBorder="1" applyAlignment="1">
      <alignment horizontal="center"/>
    </xf>
    <xf numFmtId="39" fontId="1" fillId="0" borderId="3" xfId="0" applyNumberFormat="1" applyFont="1" applyBorder="1"/>
    <xf numFmtId="176" fontId="1" fillId="0" borderId="0" xfId="0" applyNumberFormat="1" applyFont="1"/>
    <xf numFmtId="0" fontId="2" fillId="6" borderId="0" xfId="0" applyFont="1" applyFill="1" applyAlignment="1">
      <alignment horizontal="centerContinuous" wrapText="1"/>
    </xf>
    <xf numFmtId="177" fontId="1" fillId="0" borderId="0" xfId="0" applyNumberFormat="1" applyFont="1"/>
    <xf numFmtId="177" fontId="2" fillId="0" borderId="0" xfId="0" applyNumberFormat="1" applyFont="1"/>
    <xf numFmtId="0" fontId="23" fillId="5" borderId="0" xfId="0" applyFont="1" applyFill="1"/>
    <xf numFmtId="0" fontId="23" fillId="5" borderId="0" xfId="0" applyFont="1" applyFill="1" applyAlignment="1">
      <alignment horizontal="center"/>
    </xf>
    <xf numFmtId="0" fontId="23" fillId="5" borderId="3" xfId="0" applyFont="1" applyFill="1" applyBorder="1"/>
    <xf numFmtId="0" fontId="23" fillId="5" borderId="3" xfId="0" applyFont="1" applyFill="1" applyBorder="1" applyAlignment="1">
      <alignment horizontal="center"/>
    </xf>
    <xf numFmtId="174" fontId="26" fillId="8" borderId="7" xfId="2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173" fontId="26" fillId="8" borderId="7" xfId="2" applyNumberFormat="1" applyFont="1" applyFill="1" applyAlignment="1">
      <alignment horizontal="center"/>
    </xf>
    <xf numFmtId="174" fontId="26" fillId="0" borderId="0" xfId="2" applyNumberFormat="1" applyFont="1" applyFill="1" applyBorder="1" applyAlignment="1">
      <alignment horizontal="center"/>
    </xf>
    <xf numFmtId="173" fontId="26" fillId="0" borderId="0" xfId="2" applyNumberFormat="1" applyFont="1" applyFill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44" fontId="14" fillId="0" borderId="0" xfId="0" applyNumberFormat="1" applyFont="1"/>
    <xf numFmtId="0" fontId="1" fillId="9" borderId="9" xfId="0" applyFont="1" applyFill="1" applyBorder="1" applyAlignment="1">
      <alignment horizontal="left" indent="1"/>
    </xf>
    <xf numFmtId="0" fontId="5" fillId="9" borderId="9" xfId="0" applyFont="1" applyFill="1" applyBorder="1" applyAlignment="1">
      <alignment horizontal="center"/>
    </xf>
    <xf numFmtId="171" fontId="6" fillId="9" borderId="9" xfId="0" applyNumberFormat="1" applyFont="1" applyFill="1" applyBorder="1"/>
    <xf numFmtId="179" fontId="13" fillId="9" borderId="9" xfId="0" applyNumberFormat="1" applyFont="1" applyFill="1" applyBorder="1"/>
    <xf numFmtId="0" fontId="1" fillId="9" borderId="3" xfId="0" applyFont="1" applyFill="1" applyBorder="1" applyAlignment="1">
      <alignment horizontal="left" indent="1"/>
    </xf>
    <xf numFmtId="0" fontId="1" fillId="9" borderId="0" xfId="0" applyFont="1" applyFill="1" applyAlignment="1">
      <alignment horizontal="left" indent="1"/>
    </xf>
    <xf numFmtId="0" fontId="5" fillId="9" borderId="0" xfId="0" applyFont="1" applyFill="1" applyAlignment="1">
      <alignment horizontal="center"/>
    </xf>
    <xf numFmtId="171" fontId="6" fillId="9" borderId="0" xfId="0" applyNumberFormat="1" applyFont="1" applyFill="1"/>
    <xf numFmtId="179" fontId="13" fillId="9" borderId="0" xfId="0" applyNumberFormat="1" applyFont="1" applyFill="1"/>
    <xf numFmtId="176" fontId="26" fillId="2" borderId="7" xfId="2" applyNumberFormat="1" applyFont="1" applyFill="1" applyAlignment="1">
      <alignment horizontal="center"/>
    </xf>
    <xf numFmtId="176" fontId="0" fillId="0" borderId="0" xfId="0" applyNumberFormat="1"/>
    <xf numFmtId="43" fontId="1" fillId="9" borderId="0" xfId="0" applyNumberFormat="1" applyFont="1" applyFill="1" applyAlignment="1">
      <alignment horizontal="left" indent="1"/>
    </xf>
    <xf numFmtId="43" fontId="1" fillId="9" borderId="3" xfId="0" applyNumberFormat="1" applyFont="1" applyFill="1" applyBorder="1" applyAlignment="1">
      <alignment horizontal="left" indent="1"/>
    </xf>
    <xf numFmtId="0" fontId="1" fillId="9" borderId="8" xfId="0" applyFont="1" applyFill="1" applyBorder="1" applyAlignment="1">
      <alignment horizontal="left" indent="1"/>
    </xf>
    <xf numFmtId="0" fontId="5" fillId="9" borderId="8" xfId="0" applyFont="1" applyFill="1" applyBorder="1" applyAlignment="1">
      <alignment horizontal="center"/>
    </xf>
    <xf numFmtId="171" fontId="6" fillId="9" borderId="8" xfId="0" applyNumberFormat="1" applyFont="1" applyFill="1" applyBorder="1"/>
    <xf numFmtId="179" fontId="13" fillId="9" borderId="8" xfId="0" applyNumberFormat="1" applyFont="1" applyFill="1" applyBorder="1"/>
    <xf numFmtId="0" fontId="1" fillId="0" borderId="9" xfId="0" applyFont="1" applyBorder="1" applyAlignment="1">
      <alignment horizontal="left" indent="1"/>
    </xf>
    <xf numFmtId="0" fontId="1" fillId="0" borderId="9" xfId="0" applyFont="1" applyBorder="1"/>
    <xf numFmtId="43" fontId="1" fillId="0" borderId="9" xfId="0" applyNumberFormat="1" applyFont="1" applyBorder="1"/>
    <xf numFmtId="0" fontId="23" fillId="6" borderId="0" xfId="0" applyFont="1" applyFill="1" applyAlignment="1">
      <alignment horizontal="left" indent="1"/>
    </xf>
    <xf numFmtId="0" fontId="23" fillId="6" borderId="0" xfId="0" applyFont="1" applyFill="1"/>
    <xf numFmtId="174" fontId="27" fillId="6" borderId="0" xfId="2" applyNumberFormat="1" applyFont="1" applyFill="1" applyBorder="1" applyAlignment="1">
      <alignment horizontal="center"/>
    </xf>
    <xf numFmtId="173" fontId="27" fillId="6" borderId="0" xfId="2" applyNumberFormat="1" applyFont="1" applyFill="1" applyBorder="1" applyAlignment="1">
      <alignment horizontal="center"/>
    </xf>
    <xf numFmtId="174" fontId="28" fillId="8" borderId="7" xfId="2" applyNumberFormat="1" applyFont="1" applyFill="1" applyAlignment="1">
      <alignment horizontal="center"/>
    </xf>
    <xf numFmtId="43" fontId="17" fillId="0" borderId="0" xfId="0" applyNumberFormat="1" applyFont="1" applyAlignment="1">
      <alignment horizontal="left" indent="1"/>
    </xf>
    <xf numFmtId="43" fontId="23" fillId="0" borderId="0" xfId="0" applyNumberFormat="1" applyFont="1" applyAlignment="1">
      <alignment horizontal="left" indent="1"/>
    </xf>
    <xf numFmtId="178" fontId="1" fillId="0" borderId="0" xfId="0" applyNumberFormat="1" applyFont="1"/>
    <xf numFmtId="174" fontId="17" fillId="0" borderId="0" xfId="0" applyNumberFormat="1" applyFont="1"/>
    <xf numFmtId="39" fontId="2" fillId="0" borderId="0" xfId="0" applyNumberFormat="1" applyFont="1"/>
    <xf numFmtId="165" fontId="9" fillId="4" borderId="0" xfId="1" applyNumberFormat="1" applyFont="1" applyFill="1" applyAlignment="1">
      <alignment horizontal="centerContinuous"/>
    </xf>
    <xf numFmtId="49" fontId="9" fillId="10" borderId="0" xfId="1" applyNumberFormat="1" applyFont="1" applyFill="1"/>
    <xf numFmtId="165" fontId="9" fillId="10" borderId="0" xfId="1" applyNumberFormat="1" applyFont="1" applyFill="1" applyAlignment="1">
      <alignment horizontal="center"/>
    </xf>
    <xf numFmtId="165" fontId="9" fillId="10" borderId="0" xfId="1" applyNumberFormat="1" applyFont="1" applyFill="1" applyAlignment="1">
      <alignment horizontal="centerContinuous"/>
    </xf>
    <xf numFmtId="0" fontId="29" fillId="10" borderId="0" xfId="1" applyFont="1" applyFill="1"/>
    <xf numFmtId="165" fontId="9" fillId="4" borderId="10" xfId="1" applyNumberFormat="1" applyFont="1" applyFill="1" applyBorder="1" applyAlignment="1">
      <alignment horizontal="center"/>
    </xf>
    <xf numFmtId="165" fontId="9" fillId="10" borderId="11" xfId="1" applyNumberFormat="1" applyFont="1" applyFill="1" applyBorder="1" applyAlignment="1">
      <alignment horizontal="center"/>
    </xf>
    <xf numFmtId="0" fontId="2" fillId="0" borderId="11" xfId="0" applyFont="1" applyBorder="1"/>
    <xf numFmtId="0" fontId="1" fillId="0" borderId="11" xfId="0" applyFont="1" applyBorder="1"/>
    <xf numFmtId="176" fontId="13" fillId="9" borderId="12" xfId="0" applyNumberFormat="1" applyFont="1" applyFill="1" applyBorder="1"/>
    <xf numFmtId="176" fontId="13" fillId="9" borderId="11" xfId="0" applyNumberFormat="1" applyFont="1" applyFill="1" applyBorder="1"/>
    <xf numFmtId="0" fontId="1" fillId="9" borderId="11" xfId="0" applyFont="1" applyFill="1" applyBorder="1" applyAlignment="1">
      <alignment horizontal="left" indent="1"/>
    </xf>
    <xf numFmtId="0" fontId="1" fillId="9" borderId="13" xfId="0" applyFont="1" applyFill="1" applyBorder="1" applyAlignment="1">
      <alignment horizontal="left" indent="1"/>
    </xf>
    <xf numFmtId="0" fontId="2" fillId="0" borderId="13" xfId="0" applyFont="1" applyBorder="1"/>
    <xf numFmtId="0" fontId="1" fillId="0" borderId="13" xfId="0" applyFont="1" applyBorder="1"/>
    <xf numFmtId="176" fontId="13" fillId="9" borderId="14" xfId="0" applyNumberFormat="1" applyFont="1" applyFill="1" applyBorder="1"/>
    <xf numFmtId="0" fontId="1" fillId="0" borderId="14" xfId="0" applyFont="1" applyBorder="1"/>
    <xf numFmtId="0" fontId="9" fillId="4" borderId="15" xfId="1" applyFont="1" applyFill="1" applyBorder="1" applyAlignment="1">
      <alignment horizontal="centerContinuous"/>
    </xf>
    <xf numFmtId="165" fontId="9" fillId="4" borderId="13" xfId="1" applyNumberFormat="1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/>
    </xf>
    <xf numFmtId="165" fontId="9" fillId="4" borderId="16" xfId="1" applyNumberFormat="1" applyFont="1" applyFill="1" applyBorder="1" applyAlignment="1">
      <alignment horizontal="center"/>
    </xf>
    <xf numFmtId="0" fontId="2" fillId="0" borderId="12" xfId="0" applyFont="1" applyBorder="1"/>
    <xf numFmtId="43" fontId="2" fillId="0" borderId="11" xfId="0" applyNumberFormat="1" applyFont="1" applyBorder="1"/>
    <xf numFmtId="44" fontId="2" fillId="0" borderId="11" xfId="0" applyNumberFormat="1" applyFont="1" applyBorder="1"/>
    <xf numFmtId="0" fontId="2" fillId="0" borderId="8" xfId="0" applyFont="1" applyBorder="1"/>
    <xf numFmtId="43" fontId="2" fillId="0" borderId="8" xfId="0" applyNumberFormat="1" applyFont="1" applyBorder="1"/>
    <xf numFmtId="166" fontId="2" fillId="0" borderId="0" xfId="0" applyNumberFormat="1" applyFont="1" applyAlignment="1">
      <alignment horizontal="center"/>
    </xf>
    <xf numFmtId="43" fontId="2" fillId="0" borderId="12" xfId="0" applyNumberFormat="1" applyFont="1" applyBorder="1"/>
    <xf numFmtId="166" fontId="2" fillId="0" borderId="11" xfId="0" applyNumberFormat="1" applyFont="1" applyBorder="1" applyAlignment="1">
      <alignment horizontal="center"/>
    </xf>
    <xf numFmtId="0" fontId="1" fillId="11" borderId="9" xfId="0" applyFont="1" applyFill="1" applyBorder="1" applyAlignment="1">
      <alignment horizontal="left" indent="1"/>
    </xf>
    <xf numFmtId="44" fontId="1" fillId="11" borderId="9" xfId="0" applyNumberFormat="1" applyFont="1" applyFill="1" applyBorder="1"/>
    <xf numFmtId="44" fontId="1" fillId="11" borderId="14" xfId="0" applyNumberFormat="1" applyFont="1" applyFill="1" applyBorder="1"/>
    <xf numFmtId="43" fontId="1" fillId="9" borderId="14" xfId="0" applyNumberFormat="1" applyFont="1" applyFill="1" applyBorder="1" applyAlignment="1">
      <alignment horizontal="left" indent="1"/>
    </xf>
    <xf numFmtId="44" fontId="1" fillId="9" borderId="9" xfId="0" applyNumberFormat="1" applyFont="1" applyFill="1" applyBorder="1" applyAlignment="1">
      <alignment horizontal="left" indent="1"/>
    </xf>
    <xf numFmtId="0" fontId="1" fillId="11" borderId="8" xfId="0" applyFont="1" applyFill="1" applyBorder="1" applyAlignment="1">
      <alignment horizontal="left" indent="1"/>
    </xf>
    <xf numFmtId="44" fontId="1" fillId="11" borderId="8" xfId="0" applyNumberFormat="1" applyFont="1" applyFill="1" applyBorder="1"/>
    <xf numFmtId="0" fontId="1" fillId="11" borderId="3" xfId="0" applyFont="1" applyFill="1" applyBorder="1" applyAlignment="1">
      <alignment horizontal="left" indent="1"/>
    </xf>
    <xf numFmtId="44" fontId="1" fillId="11" borderId="3" xfId="0" applyNumberFormat="1" applyFont="1" applyFill="1" applyBorder="1"/>
    <xf numFmtId="43" fontId="1" fillId="9" borderId="13" xfId="0" applyNumberFormat="1" applyFont="1" applyFill="1" applyBorder="1" applyAlignment="1">
      <alignment horizontal="left" indent="1"/>
    </xf>
    <xf numFmtId="44" fontId="1" fillId="9" borderId="14" xfId="0" applyNumberFormat="1" applyFont="1" applyFill="1" applyBorder="1" applyAlignment="1">
      <alignment horizontal="left" indent="1"/>
    </xf>
    <xf numFmtId="43" fontId="1" fillId="11" borderId="9" xfId="0" applyNumberFormat="1" applyFont="1" applyFill="1" applyBorder="1"/>
    <xf numFmtId="43" fontId="1" fillId="11" borderId="14" xfId="0" applyNumberFormat="1" applyFont="1" applyFill="1" applyBorder="1"/>
    <xf numFmtId="43" fontId="1" fillId="11" borderId="12" xfId="0" applyNumberFormat="1" applyFont="1" applyFill="1" applyBorder="1"/>
    <xf numFmtId="43" fontId="1" fillId="11" borderId="8" xfId="0" applyNumberFormat="1" applyFont="1" applyFill="1" applyBorder="1"/>
    <xf numFmtId="0" fontId="1" fillId="12" borderId="3" xfId="0" applyFont="1" applyFill="1" applyBorder="1" applyAlignment="1">
      <alignment horizontal="left" indent="1"/>
    </xf>
    <xf numFmtId="0" fontId="1" fillId="12" borderId="13" xfId="0" applyFont="1" applyFill="1" applyBorder="1" applyAlignment="1">
      <alignment horizontal="left" indent="1"/>
    </xf>
    <xf numFmtId="0" fontId="1" fillId="12" borderId="0" xfId="0" applyFont="1" applyFill="1" applyAlignment="1">
      <alignment horizontal="left" indent="1"/>
    </xf>
    <xf numFmtId="0" fontId="1" fillId="12" borderId="11" xfId="0" applyFont="1" applyFill="1" applyBorder="1" applyAlignment="1">
      <alignment horizontal="left" indent="1"/>
    </xf>
    <xf numFmtId="0" fontId="1" fillId="12" borderId="17" xfId="0" applyFont="1" applyFill="1" applyBorder="1" applyAlignment="1">
      <alignment horizontal="left" indent="1"/>
    </xf>
    <xf numFmtId="0" fontId="1" fillId="12" borderId="12" xfId="0" applyFont="1" applyFill="1" applyBorder="1" applyAlignment="1">
      <alignment horizontal="left" indent="1"/>
    </xf>
    <xf numFmtId="43" fontId="1" fillId="11" borderId="8" xfId="0" applyNumberFormat="1" applyFont="1" applyFill="1" applyBorder="1" applyAlignment="1">
      <alignment horizontal="left" indent="1"/>
    </xf>
    <xf numFmtId="43" fontId="1" fillId="11" borderId="3" xfId="0" applyNumberFormat="1" applyFont="1" applyFill="1" applyBorder="1" applyAlignment="1">
      <alignment horizontal="left" indent="1"/>
    </xf>
    <xf numFmtId="43" fontId="1" fillId="11" borderId="3" xfId="0" applyNumberFormat="1" applyFont="1" applyFill="1" applyBorder="1"/>
    <xf numFmtId="43" fontId="1" fillId="11" borderId="13" xfId="0" applyNumberFormat="1" applyFont="1" applyFill="1" applyBorder="1"/>
    <xf numFmtId="166" fontId="2" fillId="0" borderId="11" xfId="0" applyNumberFormat="1" applyFont="1" applyBorder="1" applyAlignment="1">
      <alignment horizontal="centerContinuous"/>
    </xf>
    <xf numFmtId="43" fontId="1" fillId="12" borderId="0" xfId="0" applyNumberFormat="1" applyFont="1" applyFill="1" applyAlignment="1">
      <alignment horizontal="left" indent="1"/>
    </xf>
    <xf numFmtId="166" fontId="2" fillId="0" borderId="0" xfId="0" applyNumberFormat="1" applyFont="1" applyAlignment="1">
      <alignment horizontal="centerContinuous"/>
    </xf>
    <xf numFmtId="180" fontId="2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centerContinuous"/>
    </xf>
    <xf numFmtId="0" fontId="2" fillId="6" borderId="0" xfId="0" applyFont="1" applyFill="1" applyAlignment="1">
      <alignment horizontal="centerContinuous"/>
    </xf>
    <xf numFmtId="176" fontId="12" fillId="9" borderId="14" xfId="0" applyNumberFormat="1" applyFont="1" applyFill="1" applyBorder="1"/>
    <xf numFmtId="179" fontId="12" fillId="9" borderId="9" xfId="0" applyNumberFormat="1" applyFont="1" applyFill="1" applyBorder="1"/>
    <xf numFmtId="0" fontId="12" fillId="9" borderId="9" xfId="0" applyFont="1" applyFill="1" applyBorder="1" applyAlignment="1">
      <alignment horizontal="left"/>
    </xf>
    <xf numFmtId="176" fontId="12" fillId="9" borderId="9" xfId="0" applyNumberFormat="1" applyFont="1" applyFill="1" applyBorder="1"/>
    <xf numFmtId="0" fontId="31" fillId="0" borderId="0" xfId="0" applyFont="1"/>
    <xf numFmtId="49" fontId="9" fillId="4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39" fontId="4" fillId="2" borderId="1" xfId="0" applyNumberFormat="1" applyFont="1" applyFill="1" applyBorder="1" applyAlignment="1">
      <alignment horizontal="center"/>
    </xf>
    <xf numFmtId="41" fontId="4" fillId="2" borderId="1" xfId="0" applyNumberFormat="1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170" fontId="4" fillId="2" borderId="1" xfId="0" applyNumberFormat="1" applyFont="1" applyFill="1" applyBorder="1" applyAlignment="1">
      <alignment horizontal="center"/>
    </xf>
    <xf numFmtId="165" fontId="9" fillId="4" borderId="18" xfId="1" applyNumberFormat="1" applyFont="1" applyFill="1" applyBorder="1" applyAlignment="1">
      <alignment horizontal="center"/>
    </xf>
    <xf numFmtId="0" fontId="29" fillId="13" borderId="0" xfId="1" applyFont="1" applyFill="1"/>
    <xf numFmtId="0" fontId="32" fillId="13" borderId="0" xfId="1" applyFont="1" applyFill="1" applyAlignment="1">
      <alignment horizontal="center"/>
    </xf>
    <xf numFmtId="43" fontId="29" fillId="13" borderId="0" xfId="1" applyNumberFormat="1" applyFont="1" applyFill="1"/>
    <xf numFmtId="0" fontId="32" fillId="14" borderId="0" xfId="1" applyFont="1" applyFill="1" applyAlignment="1">
      <alignment horizontal="center"/>
    </xf>
    <xf numFmtId="0" fontId="29" fillId="14" borderId="0" xfId="1" applyFont="1" applyFill="1"/>
    <xf numFmtId="43" fontId="29" fillId="14" borderId="0" xfId="1" applyNumberFormat="1" applyFont="1" applyFill="1"/>
    <xf numFmtId="2" fontId="0" fillId="0" borderId="0" xfId="0" applyNumberFormat="1"/>
    <xf numFmtId="43" fontId="5" fillId="3" borderId="3" xfId="0" applyNumberFormat="1" applyFont="1" applyFill="1" applyBorder="1" applyAlignment="1">
      <alignment horizontal="center"/>
    </xf>
    <xf numFmtId="43" fontId="14" fillId="0" borderId="11" xfId="0" applyNumberFormat="1" applyFont="1" applyBorder="1"/>
    <xf numFmtId="43" fontId="14" fillId="0" borderId="3" xfId="0" applyNumberFormat="1" applyFont="1" applyBorder="1"/>
    <xf numFmtId="43" fontId="14" fillId="0" borderId="13" xfId="0" applyNumberFormat="1" applyFont="1" applyBorder="1"/>
    <xf numFmtId="179" fontId="14" fillId="9" borderId="8" xfId="0" applyNumberFormat="1" applyFont="1" applyFill="1" applyBorder="1"/>
    <xf numFmtId="43" fontId="14" fillId="9" borderId="0" xfId="0" applyNumberFormat="1" applyFont="1" applyFill="1" applyAlignment="1">
      <alignment horizontal="left" indent="1"/>
    </xf>
    <xf numFmtId="179" fontId="14" fillId="9" borderId="0" xfId="0" applyNumberFormat="1" applyFont="1" applyFill="1"/>
    <xf numFmtId="43" fontId="14" fillId="9" borderId="8" xfId="0" applyNumberFormat="1" applyFont="1" applyFill="1" applyBorder="1" applyAlignment="1">
      <alignment horizontal="left" indent="1"/>
    </xf>
    <xf numFmtId="43" fontId="14" fillId="9" borderId="12" xfId="0" applyNumberFormat="1" applyFont="1" applyFill="1" applyBorder="1" applyAlignment="1">
      <alignment horizontal="left" indent="1"/>
    </xf>
    <xf numFmtId="43" fontId="14" fillId="9" borderId="3" xfId="0" applyNumberFormat="1" applyFont="1" applyFill="1" applyBorder="1" applyAlignment="1">
      <alignment horizontal="left" indent="1"/>
    </xf>
    <xf numFmtId="43" fontId="14" fillId="9" borderId="13" xfId="0" applyNumberFormat="1" applyFont="1" applyFill="1" applyBorder="1" applyAlignment="1">
      <alignment horizontal="left" indent="1"/>
    </xf>
    <xf numFmtId="43" fontId="14" fillId="9" borderId="9" xfId="0" applyNumberFormat="1" applyFont="1" applyFill="1" applyBorder="1" applyAlignment="1">
      <alignment horizontal="left" indent="1"/>
    </xf>
    <xf numFmtId="0" fontId="11" fillId="4" borderId="3" xfId="1" applyFont="1" applyFill="1" applyBorder="1" applyAlignment="1">
      <alignment horizontal="center"/>
    </xf>
    <xf numFmtId="0" fontId="11" fillId="10" borderId="0" xfId="1" applyFont="1" applyFill="1" applyAlignment="1">
      <alignment horizontal="center"/>
    </xf>
    <xf numFmtId="0" fontId="3" fillId="9" borderId="9" xfId="0" applyFont="1" applyFill="1" applyBorder="1" applyAlignment="1">
      <alignment horizontal="center"/>
    </xf>
    <xf numFmtId="10" fontId="30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43" fontId="5" fillId="11" borderId="8" xfId="0" applyNumberFormat="1" applyFont="1" applyFill="1" applyBorder="1" applyAlignment="1">
      <alignment horizontal="center"/>
    </xf>
    <xf numFmtId="43" fontId="5" fillId="11" borderId="3" xfId="0" applyNumberFormat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3" fillId="6" borderId="0" xfId="0" applyFont="1" applyFill="1" applyAlignment="1">
      <alignment horizontal="center"/>
    </xf>
    <xf numFmtId="0" fontId="34" fillId="0" borderId="0" xfId="0" applyFont="1"/>
  </cellXfs>
  <cellStyles count="3">
    <cellStyle name="Normal" xfId="0" builtinId="0"/>
    <cellStyle name="Normal 2" xfId="1" xr:uid="{199027ED-BE4F-4AF0-991B-B308EBE7B81E}"/>
    <cellStyle name="Note" xfId="2" builtinId="10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nancial%20Modelling\LULU%20Aritzia%20Hypothetical%20M&amp;A\LULU%20Financial%20Model%20Without%20Capital%20Restructuring.xlsx" TargetMode="External"/><Relationship Id="rId1" Type="http://schemas.openxmlformats.org/officeDocument/2006/relationships/externalLinkPath" Target="LULU%20Financial%20Model%20Without%20Capital%20Restructur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nancial%20Modelling\LULU%20Aritzia%20Hypothetical%20M&amp;A\Aritzia%20Financial%20Model%20and%20DCF.xlsx" TargetMode="External"/><Relationship Id="rId1" Type="http://schemas.openxmlformats.org/officeDocument/2006/relationships/externalLinkPath" Target="Aritzia%20Financial%20Model%20and%20D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cial_Model"/>
      <sheetName val="DCF_Model"/>
      <sheetName val="WACC"/>
    </sheetNames>
    <sheetDataSet>
      <sheetData sheetId="0">
        <row r="4">
          <cell r="D4" t="str">
            <v>Lululemon</v>
          </cell>
          <cell r="I4">
            <v>3.1E-2</v>
          </cell>
        </row>
        <row r="5">
          <cell r="D5" t="str">
            <v>LULU</v>
          </cell>
          <cell r="I5">
            <v>0.14799804098919045</v>
          </cell>
        </row>
        <row r="6">
          <cell r="D6">
            <v>0.35853324138075959</v>
          </cell>
          <cell r="I6">
            <v>0.45038202531012272</v>
          </cell>
        </row>
        <row r="7">
          <cell r="D7">
            <v>1000</v>
          </cell>
          <cell r="I7">
            <v>0.45008647026434345</v>
          </cell>
        </row>
        <row r="8">
          <cell r="D8">
            <v>384.61</v>
          </cell>
        </row>
        <row r="9">
          <cell r="D9">
            <v>128.017</v>
          </cell>
        </row>
        <row r="10">
          <cell r="D10">
            <v>1</v>
          </cell>
        </row>
        <row r="12">
          <cell r="D12" t="str">
            <v>Base</v>
          </cell>
        </row>
        <row r="13">
          <cell r="D13">
            <v>1.7000000000000001E-2</v>
          </cell>
        </row>
        <row r="14">
          <cell r="D14">
            <v>2.5000000000000001E-2</v>
          </cell>
        </row>
        <row r="119">
          <cell r="G119">
            <v>583.61800000000005</v>
          </cell>
          <cell r="H119">
            <v>1055.982</v>
          </cell>
          <cell r="I119">
            <v>1349.1429999999993</v>
          </cell>
          <cell r="J119">
            <v>1709.2965788206775</v>
          </cell>
          <cell r="K119">
            <v>2092.8686350983817</v>
          </cell>
          <cell r="L119">
            <v>2541.6045707258636</v>
          </cell>
          <cell r="M119">
            <v>3044.6527316102374</v>
          </cell>
          <cell r="N119">
            <v>3567.3862682905983</v>
          </cell>
          <cell r="O119">
            <v>4074.0812639527776</v>
          </cell>
          <cell r="P119">
            <v>4593.9808095849803</v>
          </cell>
          <cell r="Q119">
            <v>5125.4075563180195</v>
          </cell>
          <cell r="R119">
            <v>5670.0934877185155</v>
          </cell>
          <cell r="S119">
            <v>6220.447032663662</v>
          </cell>
        </row>
        <row r="131">
          <cell r="I131">
            <v>1154.867</v>
          </cell>
        </row>
        <row r="172">
          <cell r="G172">
            <v>185.47800000000001</v>
          </cell>
          <cell r="H172">
            <v>224.20599999999999</v>
          </cell>
          <cell r="I172">
            <v>291.791</v>
          </cell>
          <cell r="J172">
            <v>359.95642130356538</v>
          </cell>
          <cell r="K172">
            <v>380.61855211308119</v>
          </cell>
          <cell r="L172">
            <v>388.8880253661643</v>
          </cell>
          <cell r="M172">
            <v>377.88062047869465</v>
          </cell>
          <cell r="N172">
            <v>339.5499637441302</v>
          </cell>
          <cell r="O172">
            <v>381.96455126879772</v>
          </cell>
          <cell r="P172">
            <v>435.02405510985875</v>
          </cell>
          <cell r="Q172">
            <v>489.8091375206227</v>
          </cell>
          <cell r="R172">
            <v>546.33186104740946</v>
          </cell>
          <cell r="S172">
            <v>603.96805309653905</v>
          </cell>
        </row>
        <row r="177">
          <cell r="G177">
            <v>34.908000000000001</v>
          </cell>
          <cell r="H177">
            <v>-5.18</v>
          </cell>
          <cell r="I177">
            <v>3.0419999999999998</v>
          </cell>
          <cell r="J177">
            <v>-3.5227964441681081</v>
          </cell>
          <cell r="K177">
            <v>-3.8212744845591473</v>
          </cell>
          <cell r="L177">
            <v>-4.0793035319064046</v>
          </cell>
          <cell r="M177">
            <v>-4.2476181396777477</v>
          </cell>
          <cell r="N177">
            <v>-4.2578406144374306</v>
          </cell>
          <cell r="O177">
            <v>-4.0653787222439099</v>
          </cell>
          <cell r="P177">
            <v>-3.7014520496886156</v>
          </cell>
          <cell r="Q177">
            <v>-3.1579639158286206</v>
          </cell>
          <cell r="R177">
            <v>-2.4294322006275717</v>
          </cell>
          <cell r="S177">
            <v>-1.5069433939611638</v>
          </cell>
        </row>
        <row r="178">
          <cell r="G178">
            <v>-47.549000000000092</v>
          </cell>
          <cell r="H178">
            <v>129.13100000000031</v>
          </cell>
          <cell r="I178">
            <v>-596.99199999999928</v>
          </cell>
          <cell r="J178">
            <v>187.75490472717479</v>
          </cell>
          <cell r="K178">
            <v>-68.947665395243121</v>
          </cell>
          <cell r="L178">
            <v>-66.647954199921969</v>
          </cell>
          <cell r="M178">
            <v>-63.050944837466886</v>
          </cell>
          <cell r="N178">
            <v>-48.350906349211073</v>
          </cell>
          <cell r="O178">
            <v>-25.158708828735143</v>
          </cell>
          <cell r="P178">
            <v>-9.6353218389176618</v>
          </cell>
          <cell r="Q178">
            <v>23.910918363647397</v>
          </cell>
          <cell r="R178">
            <v>59.269622101056484</v>
          </cell>
          <cell r="S178">
            <v>-97.307033112073441</v>
          </cell>
        </row>
        <row r="182">
          <cell r="G182">
            <v>-229.226</v>
          </cell>
          <cell r="H182">
            <v>-394.50200000000001</v>
          </cell>
          <cell r="I182">
            <v>-638.65700000000004</v>
          </cell>
          <cell r="J182">
            <v>-689.16028744066432</v>
          </cell>
          <cell r="K182">
            <v>-723.45852916357558</v>
          </cell>
          <cell r="L182">
            <v>-731.72677682946085</v>
          </cell>
          <cell r="M182">
            <v>-700.31367542531746</v>
          </cell>
          <cell r="N182">
            <v>-613.6149176660731</v>
          </cell>
          <cell r="O182">
            <v>-461.91323823743176</v>
          </cell>
          <cell r="P182">
            <v>-449.05708914566065</v>
          </cell>
          <cell r="Q182">
            <v>-505.60943227935246</v>
          </cell>
          <cell r="R182">
            <v>-563.95546946829359</v>
          </cell>
          <cell r="S182">
            <v>-623.4508935190081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cial_Model"/>
      <sheetName val="DCF_Model"/>
      <sheetName val="WACC"/>
    </sheetNames>
    <sheetDataSet>
      <sheetData sheetId="0">
        <row r="4">
          <cell r="D4" t="str">
            <v>Aritzia Inc</v>
          </cell>
        </row>
        <row r="5">
          <cell r="D5" t="str">
            <v>ATZ.TO</v>
          </cell>
        </row>
        <row r="6">
          <cell r="D6">
            <v>0.28891955103541594</v>
          </cell>
        </row>
        <row r="7">
          <cell r="D7">
            <v>1000</v>
          </cell>
        </row>
        <row r="8">
          <cell r="D8">
            <v>24.12</v>
          </cell>
        </row>
        <row r="10">
          <cell r="D10">
            <v>0.75</v>
          </cell>
        </row>
        <row r="12">
          <cell r="D12" t="str">
            <v>Base</v>
          </cell>
        </row>
        <row r="78">
          <cell r="E78">
            <v>28.198000000000008</v>
          </cell>
          <cell r="F78">
            <v>212.83900000000008</v>
          </cell>
          <cell r="G78">
            <v>259.81400000000008</v>
          </cell>
          <cell r="H78">
            <v>277.37611882254544</v>
          </cell>
          <cell r="I78">
            <v>366.13594220762798</v>
          </cell>
          <cell r="J78">
            <v>459.9630043123932</v>
          </cell>
          <cell r="K78">
            <v>512.07706125131699</v>
          </cell>
          <cell r="L78">
            <v>575.82364432795407</v>
          </cell>
          <cell r="M78">
            <v>650.23389285755729</v>
          </cell>
          <cell r="N78">
            <v>724.30257966774116</v>
          </cell>
          <cell r="O78">
            <v>794.6218110260811</v>
          </cell>
          <cell r="P78">
            <v>876.96529261099477</v>
          </cell>
          <cell r="Q78">
            <v>919.0719223841852</v>
          </cell>
        </row>
        <row r="89">
          <cell r="G89">
            <v>86.51</v>
          </cell>
        </row>
        <row r="130">
          <cell r="E130">
            <v>38.871000000000002</v>
          </cell>
          <cell r="F130">
            <v>44.569000000000003</v>
          </cell>
          <cell r="G130">
            <v>52.854999999999997</v>
          </cell>
          <cell r="H130">
            <v>55.062920016</v>
          </cell>
          <cell r="I130">
            <v>49.964997562365596</v>
          </cell>
          <cell r="J130">
            <v>53.267742438003729</v>
          </cell>
          <cell r="K130">
            <v>56.290821335861551</v>
          </cell>
          <cell r="L130">
            <v>59.532918024894848</v>
          </cell>
          <cell r="M130">
            <v>62.860681476703441</v>
          </cell>
          <cell r="N130">
            <v>65.548761368350966</v>
          </cell>
          <cell r="O130">
            <v>67.404855703564408</v>
          </cell>
          <cell r="P130">
            <v>69.004320799755419</v>
          </cell>
          <cell r="Q130">
            <v>72.069822626562342</v>
          </cell>
        </row>
        <row r="132">
          <cell r="E132">
            <v>4.3040000000000003</v>
          </cell>
          <cell r="F132">
            <v>36.518000000000001</v>
          </cell>
          <cell r="G132">
            <v>-47.197000000000003</v>
          </cell>
          <cell r="H132">
            <v>2.1284464120869337</v>
          </cell>
          <cell r="I132">
            <v>3.5242178203565278</v>
          </cell>
          <cell r="J132">
            <v>3.62925972483694</v>
          </cell>
          <cell r="K132">
            <v>2.0294859843258877</v>
          </cell>
          <cell r="L132">
            <v>2.4962030110336961</v>
          </cell>
          <cell r="M132">
            <v>2.8943101548438328</v>
          </cell>
          <cell r="N132">
            <v>2.8883354778682744</v>
          </cell>
          <cell r="O132">
            <v>2.7431406439604373</v>
          </cell>
          <cell r="P132">
            <v>3.2088115168068505</v>
          </cell>
          <cell r="Q132">
            <v>1.6418996583990051</v>
          </cell>
        </row>
        <row r="134">
          <cell r="E134">
            <v>3.9129999999999998</v>
          </cell>
          <cell r="F134">
            <v>18.722999999999999</v>
          </cell>
          <cell r="G134">
            <v>-228.95599999999999</v>
          </cell>
          <cell r="H134">
            <v>19.387721956073051</v>
          </cell>
          <cell r="I134">
            <v>-42.109047248045442</v>
          </cell>
          <cell r="J134">
            <v>-44.032145580653548</v>
          </cell>
          <cell r="K134">
            <v>-25.831975982569361</v>
          </cell>
          <cell r="L134">
            <v>-28.834142425389359</v>
          </cell>
          <cell r="M134">
            <v>-31.354126143687949</v>
          </cell>
          <cell r="N134">
            <v>-29.60086971816213</v>
          </cell>
          <cell r="O134">
            <v>-26.482340282193263</v>
          </cell>
          <cell r="P134">
            <v>-26.220987864391759</v>
          </cell>
          <cell r="Q134">
            <v>-30.220470330712487</v>
          </cell>
        </row>
        <row r="138">
          <cell r="E138">
            <v>-50.255000000000003</v>
          </cell>
          <cell r="F138">
            <v>-65.427000000000007</v>
          </cell>
          <cell r="G138">
            <v>-122.767</v>
          </cell>
          <cell r="H138">
            <v>-153.94008784732105</v>
          </cell>
          <cell r="I138">
            <v>-169.59535130386732</v>
          </cell>
          <cell r="J138">
            <v>-181.16654285490193</v>
          </cell>
          <cell r="K138">
            <v>-177.16127812605563</v>
          </cell>
          <cell r="L138">
            <v>-171.04639783942716</v>
          </cell>
          <cell r="M138">
            <v>-161.94089058277473</v>
          </cell>
          <cell r="N138">
            <v>-147.70842157861674</v>
          </cell>
          <cell r="O138">
            <v>-158.79510334399689</v>
          </cell>
          <cell r="P138">
            <v>-170.30429254372001</v>
          </cell>
          <cell r="Q138">
            <v>-181.32381027416847</v>
          </cell>
        </row>
      </sheetData>
      <sheetData sheetId="1"/>
      <sheetData sheetId="2">
        <row r="7">
          <cell r="D7">
            <v>0.11550000000000002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8"/>
  <sheetViews>
    <sheetView showGridLines="0" tabSelected="1" topLeftCell="A138" zoomScale="85" zoomScaleNormal="85" workbookViewId="0">
      <selection activeCell="N153" sqref="N153"/>
    </sheetView>
  </sheetViews>
  <sheetFormatPr defaultRowHeight="15.6" outlineLevelCol="1"/>
  <cols>
    <col min="1" max="2" width="1.77734375" style="1" customWidth="1"/>
    <col min="3" max="3" width="43.5546875" style="1" bestFit="1" customWidth="1"/>
    <col min="4" max="4" width="13.77734375" style="125" customWidth="1"/>
    <col min="5" max="8" width="13.77734375" style="1" customWidth="1" outlineLevel="1"/>
    <col min="9" max="12" width="13.77734375" style="1" customWidth="1"/>
    <col min="13" max="13" width="14.77734375" style="1" bestFit="1" customWidth="1"/>
    <col min="14" max="17" width="13.77734375" style="1" customWidth="1"/>
    <col min="18" max="18" width="14.88671875" style="1" bestFit="1" customWidth="1"/>
    <col min="19" max="16384" width="8.88671875" style="1"/>
  </cols>
  <sheetData>
    <row r="1" spans="1:17">
      <c r="A1" s="2" t="s">
        <v>228</v>
      </c>
    </row>
    <row r="2" spans="1:17">
      <c r="A2" s="1" t="s">
        <v>229</v>
      </c>
    </row>
    <row r="4" spans="1:17">
      <c r="B4" s="28" t="s">
        <v>230</v>
      </c>
      <c r="C4" s="28"/>
      <c r="D4" s="283"/>
      <c r="E4" s="28"/>
      <c r="F4" s="28"/>
      <c r="G4" s="28"/>
      <c r="H4" s="28"/>
      <c r="I4" s="28"/>
      <c r="J4" s="28"/>
      <c r="K4" s="26"/>
      <c r="L4" s="28"/>
      <c r="M4" s="28"/>
      <c r="N4" s="28"/>
      <c r="O4" s="28"/>
      <c r="P4" s="28"/>
      <c r="Q4" s="28"/>
    </row>
    <row r="6" spans="1:17">
      <c r="C6" s="1" t="s">
        <v>231</v>
      </c>
      <c r="D6" s="143">
        <v>45291</v>
      </c>
      <c r="I6" s="1" t="s">
        <v>254</v>
      </c>
      <c r="M6" s="138">
        <v>0.01</v>
      </c>
      <c r="O6" s="1" t="s">
        <v>411</v>
      </c>
      <c r="Q6" s="138" t="s">
        <v>107</v>
      </c>
    </row>
    <row r="7" spans="1:17">
      <c r="C7" s="1" t="s">
        <v>232</v>
      </c>
      <c r="D7" s="143">
        <v>45153</v>
      </c>
      <c r="I7" s="1" t="s">
        <v>255</v>
      </c>
      <c r="M7" s="138">
        <v>0.02</v>
      </c>
      <c r="O7" s="1" t="s">
        <v>412</v>
      </c>
      <c r="Q7" s="138" t="s">
        <v>107</v>
      </c>
    </row>
    <row r="8" spans="1:17">
      <c r="D8" s="1"/>
      <c r="I8" s="1" t="s">
        <v>266</v>
      </c>
      <c r="M8" s="135">
        <v>15</v>
      </c>
    </row>
    <row r="9" spans="1:17">
      <c r="C9" s="1" t="s">
        <v>233</v>
      </c>
      <c r="D9" s="93">
        <f>ARITZIA_PRICE_CAD*Excahnge_Rate</f>
        <v>18.09</v>
      </c>
      <c r="I9" s="1" t="s">
        <v>262</v>
      </c>
      <c r="M9" s="142">
        <v>1</v>
      </c>
      <c r="O9" s="1" t="s">
        <v>415</v>
      </c>
      <c r="Q9" s="142">
        <v>0</v>
      </c>
    </row>
    <row r="10" spans="1:17">
      <c r="C10" s="1" t="s">
        <v>234</v>
      </c>
      <c r="D10" s="93">
        <f>Acquirer_Price</f>
        <v>384.61</v>
      </c>
      <c r="I10" s="1" t="s">
        <v>263</v>
      </c>
      <c r="M10" s="142">
        <v>1</v>
      </c>
      <c r="O10" s="7" t="s">
        <v>264</v>
      </c>
    </row>
    <row r="11" spans="1:17">
      <c r="C11" s="1" t="s">
        <v>235</v>
      </c>
      <c r="D11" s="91">
        <f>ARITZIA_SHARE_NUMBER</f>
        <v>90.3</v>
      </c>
      <c r="I11" s="7" t="s">
        <v>264</v>
      </c>
    </row>
    <row r="12" spans="1:17">
      <c r="C12" s="1" t="s">
        <v>236</v>
      </c>
      <c r="D12" s="91">
        <f>LULU_Financial!Diluted_Share_Counts</f>
        <v>128.017</v>
      </c>
    </row>
    <row r="13" spans="1:17">
      <c r="C13" s="1" t="s">
        <v>237</v>
      </c>
      <c r="D13" s="18">
        <f>D11*D9</f>
        <v>1633.527</v>
      </c>
      <c r="I13" s="1" t="s">
        <v>265</v>
      </c>
      <c r="M13" s="138">
        <v>1</v>
      </c>
    </row>
    <row r="14" spans="1:17">
      <c r="C14" s="1" t="s">
        <v>238</v>
      </c>
      <c r="D14" s="18">
        <f>D12*D10</f>
        <v>49236.618370000004</v>
      </c>
    </row>
    <row r="15" spans="1:17">
      <c r="D15" s="1"/>
      <c r="I15" s="1" t="s">
        <v>301</v>
      </c>
      <c r="M15" s="138">
        <f>LULU_TAX_RATE</f>
        <v>0.35853324138075959</v>
      </c>
    </row>
    <row r="16" spans="1:17">
      <c r="D16" s="1"/>
    </row>
    <row r="17" spans="2:18">
      <c r="C17" s="1" t="s">
        <v>239</v>
      </c>
      <c r="D17" s="56">
        <v>0.5</v>
      </c>
      <c r="I17" s="140" t="s">
        <v>256</v>
      </c>
      <c r="J17" s="139"/>
      <c r="K17" s="140" t="s">
        <v>258</v>
      </c>
      <c r="L17" s="139"/>
      <c r="M17" s="140" t="s">
        <v>257</v>
      </c>
      <c r="N17" s="140"/>
    </row>
    <row r="18" spans="2:18">
      <c r="C18" s="1" t="s">
        <v>240</v>
      </c>
      <c r="D18" s="18">
        <f>(1+D17)*D9</f>
        <v>27.134999999999998</v>
      </c>
      <c r="I18" s="1" t="s">
        <v>198</v>
      </c>
      <c r="K18" s="136">
        <f>IF(Q9=0,D24,0)</f>
        <v>826.72566596097568</v>
      </c>
      <c r="M18" s="141">
        <v>5.0000000000000001E-3</v>
      </c>
    </row>
    <row r="19" spans="2:18">
      <c r="C19" s="1" t="s">
        <v>241</v>
      </c>
      <c r="D19" s="18">
        <f>D18*D11</f>
        <v>2450.2904999999996</v>
      </c>
      <c r="I19" s="1" t="s">
        <v>259</v>
      </c>
      <c r="K19" s="136">
        <f>IF(Q9=0,D29,0)</f>
        <v>1173.4190232043102</v>
      </c>
    </row>
    <row r="20" spans="2:18">
      <c r="C20" s="1" t="s">
        <v>247</v>
      </c>
      <c r="D20" s="18">
        <f>D19+SUM(Aritzia_Financial!J6:J7)</f>
        <v>2363.7804999999994</v>
      </c>
      <c r="I20" s="1" t="s">
        <v>267</v>
      </c>
      <c r="K20" s="136">
        <f>D19-K19-K18</f>
        <v>450.14581083471376</v>
      </c>
    </row>
    <row r="21" spans="2:18">
      <c r="D21" s="1"/>
      <c r="I21" s="10" t="s">
        <v>268</v>
      </c>
      <c r="J21" s="10"/>
      <c r="K21" s="144">
        <f>K20/D10</f>
        <v>1.1703954937071677</v>
      </c>
      <c r="L21" s="10"/>
      <c r="M21" s="10"/>
      <c r="N21" s="10"/>
    </row>
    <row r="22" spans="2:18">
      <c r="C22" s="1" t="s">
        <v>248</v>
      </c>
      <c r="D22" s="135">
        <v>1400</v>
      </c>
      <c r="I22" s="1" t="s">
        <v>269</v>
      </c>
      <c r="K22" s="136">
        <f>SUM(K18:K20)</f>
        <v>2450.2904999999996</v>
      </c>
    </row>
    <row r="23" spans="2:18">
      <c r="C23" s="1" t="s">
        <v>249</v>
      </c>
      <c r="D23" s="136">
        <f>LULU_Financial!J133+Aritzia_Financial!H174</f>
        <v>2226.7256659609757</v>
      </c>
    </row>
    <row r="24" spans="2:18">
      <c r="C24" s="1" t="s">
        <v>250</v>
      </c>
      <c r="D24" s="136">
        <f>MAX(D23-D22,0)</f>
        <v>826.72566596097568</v>
      </c>
      <c r="I24" s="149"/>
      <c r="J24" s="149"/>
      <c r="K24" s="150" t="s">
        <v>308</v>
      </c>
      <c r="L24" s="150" t="s">
        <v>308</v>
      </c>
      <c r="M24" s="150" t="s">
        <v>309</v>
      </c>
      <c r="N24" s="150" t="s">
        <v>310</v>
      </c>
      <c r="O24" s="150" t="s">
        <v>311</v>
      </c>
      <c r="P24" s="150"/>
      <c r="Q24" s="150" t="s">
        <v>322</v>
      </c>
    </row>
    <row r="25" spans="2:18">
      <c r="D25" s="1"/>
      <c r="I25" s="151" t="s">
        <v>312</v>
      </c>
      <c r="J25" s="151"/>
      <c r="K25" s="152" t="s">
        <v>313</v>
      </c>
      <c r="L25" s="152" t="s">
        <v>314</v>
      </c>
      <c r="M25" s="152" t="s">
        <v>315</v>
      </c>
      <c r="N25" s="152" t="s">
        <v>316</v>
      </c>
      <c r="O25" s="152" t="s">
        <v>317</v>
      </c>
      <c r="P25" s="150" t="s">
        <v>323</v>
      </c>
      <c r="Q25" s="152" t="s">
        <v>321</v>
      </c>
    </row>
    <row r="26" spans="2:18">
      <c r="C26" s="1" t="s">
        <v>252</v>
      </c>
      <c r="D26" s="137">
        <v>0.5</v>
      </c>
      <c r="I26" s="130" t="s">
        <v>318</v>
      </c>
      <c r="K26" s="153">
        <v>1.4999999999999999E-2</v>
      </c>
      <c r="L26" s="153">
        <v>0.02</v>
      </c>
      <c r="M26" s="131"/>
      <c r="N26" s="154"/>
      <c r="O26" s="155">
        <v>0.05</v>
      </c>
      <c r="P26" s="155">
        <v>0.6</v>
      </c>
      <c r="Q26" s="44">
        <f>P26*$K$19</f>
        <v>704.05141392258611</v>
      </c>
    </row>
    <row r="27" spans="2:18">
      <c r="C27" s="1" t="s">
        <v>253</v>
      </c>
      <c r="D27" s="185">
        <f>D26*(LULU_Financial!J127+Aritzia_Financial!H168)</f>
        <v>1173.4190232043102</v>
      </c>
      <c r="I27" s="130" t="s">
        <v>319</v>
      </c>
      <c r="M27" s="153">
        <v>6.2E-2</v>
      </c>
      <c r="N27" s="154"/>
      <c r="O27" s="155">
        <v>0.03</v>
      </c>
      <c r="P27" s="155">
        <v>0.3</v>
      </c>
      <c r="Q27" s="44">
        <f t="shared" ref="Q27:Q28" si="0">P27*$K$19</f>
        <v>352.02570696129305</v>
      </c>
      <c r="R27" s="44"/>
    </row>
    <row r="28" spans="2:18">
      <c r="C28" s="1" t="s">
        <v>260</v>
      </c>
      <c r="D28" s="185">
        <v>0</v>
      </c>
      <c r="I28" s="130" t="s">
        <v>320</v>
      </c>
      <c r="K28" s="131"/>
      <c r="L28" s="131"/>
      <c r="M28" s="153">
        <v>0.05</v>
      </c>
      <c r="N28" s="153">
        <v>2.5000000000000001E-2</v>
      </c>
      <c r="O28" s="155">
        <v>0.01</v>
      </c>
      <c r="P28" s="158">
        <f>1-P27-P26</f>
        <v>9.9999999999999978E-2</v>
      </c>
      <c r="Q28" s="44">
        <f t="shared" si="0"/>
        <v>117.34190232043099</v>
      </c>
    </row>
    <row r="29" spans="2:18">
      <c r="C29" s="1" t="s">
        <v>261</v>
      </c>
      <c r="D29" s="185">
        <f>MIN(D19-D24,D27-D28)</f>
        <v>1173.4190232043102</v>
      </c>
    </row>
    <row r="30" spans="2:18">
      <c r="B30" s="28" t="s">
        <v>346</v>
      </c>
      <c r="C30" s="28"/>
      <c r="D30" s="26" t="str">
        <f>D101</f>
        <v>Units:</v>
      </c>
      <c r="E30" s="24">
        <f t="shared" ref="E30:Q30" si="1">E101</f>
        <v>44196</v>
      </c>
      <c r="F30" s="24">
        <f t="shared" si="1"/>
        <v>44561</v>
      </c>
      <c r="G30" s="24">
        <f t="shared" si="1"/>
        <v>44926</v>
      </c>
      <c r="H30" s="24">
        <f t="shared" si="1"/>
        <v>45291</v>
      </c>
      <c r="I30" s="24">
        <f t="shared" si="1"/>
        <v>45657</v>
      </c>
      <c r="J30" s="24">
        <f t="shared" si="1"/>
        <v>46022</v>
      </c>
      <c r="K30" s="24">
        <f t="shared" si="1"/>
        <v>46387</v>
      </c>
      <c r="L30" s="24">
        <f t="shared" si="1"/>
        <v>46752</v>
      </c>
      <c r="M30" s="24">
        <f t="shared" si="1"/>
        <v>47118</v>
      </c>
      <c r="N30" s="24">
        <f t="shared" si="1"/>
        <v>47483</v>
      </c>
      <c r="O30" s="24">
        <f t="shared" si="1"/>
        <v>47848</v>
      </c>
      <c r="P30" s="24">
        <f t="shared" si="1"/>
        <v>48213</v>
      </c>
      <c r="Q30" s="24">
        <f t="shared" si="1"/>
        <v>48579</v>
      </c>
    </row>
    <row r="31" spans="2:18" s="2" customFormat="1">
      <c r="B31" s="140"/>
      <c r="C31" s="140" t="s">
        <v>347</v>
      </c>
      <c r="D31" s="287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</row>
    <row r="32" spans="2:18">
      <c r="C32" s="1" t="s">
        <v>351</v>
      </c>
      <c r="D32" s="125" t="s">
        <v>74</v>
      </c>
      <c r="E32" s="57"/>
      <c r="F32" s="57"/>
      <c r="G32" s="57"/>
      <c r="H32" s="184">
        <v>4.2999999999999997E-2</v>
      </c>
      <c r="I32" s="184">
        <v>4.2999999999999997E-2</v>
      </c>
      <c r="J32" s="184">
        <v>4.2000000000000003E-2</v>
      </c>
      <c r="K32" s="184">
        <v>0.04</v>
      </c>
      <c r="L32" s="184">
        <v>3.5000000000000003E-2</v>
      </c>
      <c r="M32" s="184">
        <v>0.03</v>
      </c>
      <c r="N32" s="184">
        <v>0.03</v>
      </c>
      <c r="O32" s="184">
        <v>2.8000000000000001E-2</v>
      </c>
      <c r="P32" s="184">
        <v>2.7E-2</v>
      </c>
      <c r="Q32" s="184">
        <v>2.5000000000000001E-2</v>
      </c>
    </row>
    <row r="33" spans="2:17">
      <c r="C33" s="1" t="s">
        <v>352</v>
      </c>
      <c r="D33" s="125" t="s">
        <v>74</v>
      </c>
      <c r="E33" s="57"/>
      <c r="F33" s="57"/>
      <c r="G33" s="57"/>
      <c r="I33" s="187">
        <f>MAX(I32,$K$26)+$L$26</f>
        <v>6.3E-2</v>
      </c>
      <c r="J33" s="187">
        <f t="shared" ref="J33:Q33" si="2">MAX(J32,$K$26)+$L$26</f>
        <v>6.2E-2</v>
      </c>
      <c r="K33" s="187">
        <f t="shared" si="2"/>
        <v>0.06</v>
      </c>
      <c r="L33" s="187">
        <f t="shared" si="2"/>
        <v>5.5000000000000007E-2</v>
      </c>
      <c r="M33" s="187">
        <f t="shared" si="2"/>
        <v>0.05</v>
      </c>
      <c r="N33" s="187">
        <f t="shared" si="2"/>
        <v>0.05</v>
      </c>
      <c r="O33" s="187">
        <f t="shared" si="2"/>
        <v>4.8000000000000001E-2</v>
      </c>
      <c r="P33" s="187">
        <f t="shared" si="2"/>
        <v>4.7E-2</v>
      </c>
      <c r="Q33" s="187">
        <f t="shared" si="2"/>
        <v>4.4999999999999998E-2</v>
      </c>
    </row>
    <row r="35" spans="2:17" s="2" customFormat="1">
      <c r="C35" s="2" t="s">
        <v>350</v>
      </c>
      <c r="D35" s="125" t="s">
        <v>447</v>
      </c>
      <c r="I35" s="186">
        <f>H37</f>
        <v>704.05141392258611</v>
      </c>
      <c r="J35" s="186">
        <f t="shared" ref="J35:Q35" si="3">I37</f>
        <v>668.84884322645678</v>
      </c>
      <c r="K35" s="186">
        <f t="shared" si="3"/>
        <v>633.64627253032745</v>
      </c>
      <c r="L35" s="186">
        <f t="shared" si="3"/>
        <v>598.44370183419812</v>
      </c>
      <c r="M35" s="186">
        <f t="shared" si="3"/>
        <v>563.24113113806879</v>
      </c>
      <c r="N35" s="186">
        <f t="shared" si="3"/>
        <v>528.03856044193947</v>
      </c>
      <c r="O35" s="186">
        <f t="shared" si="3"/>
        <v>492.83598974581014</v>
      </c>
      <c r="P35" s="186">
        <f t="shared" si="3"/>
        <v>457.63341904968081</v>
      </c>
      <c r="Q35" s="186">
        <f t="shared" si="3"/>
        <v>422.43084835355148</v>
      </c>
    </row>
    <row r="36" spans="2:17">
      <c r="C36" s="7" t="s">
        <v>79</v>
      </c>
      <c r="D36" s="125" t="s">
        <v>447</v>
      </c>
      <c r="I36" s="185">
        <f>-MIN($H$37*$O$26,I35)</f>
        <v>-35.202570696129307</v>
      </c>
      <c r="J36" s="185">
        <f t="shared" ref="J36:Q36" si="4">-MIN($H$37*$O$26,J35)</f>
        <v>-35.202570696129307</v>
      </c>
      <c r="K36" s="185">
        <f t="shared" si="4"/>
        <v>-35.202570696129307</v>
      </c>
      <c r="L36" s="185">
        <f t="shared" si="4"/>
        <v>-35.202570696129307</v>
      </c>
      <c r="M36" s="185">
        <f t="shared" si="4"/>
        <v>-35.202570696129307</v>
      </c>
      <c r="N36" s="185">
        <f t="shared" si="4"/>
        <v>-35.202570696129307</v>
      </c>
      <c r="O36" s="185">
        <f t="shared" si="4"/>
        <v>-35.202570696129307</v>
      </c>
      <c r="P36" s="185">
        <f t="shared" si="4"/>
        <v>-35.202570696129307</v>
      </c>
      <c r="Q36" s="185">
        <f t="shared" si="4"/>
        <v>-35.202570696129307</v>
      </c>
    </row>
    <row r="37" spans="2:17" s="2" customFormat="1">
      <c r="C37" s="2" t="s">
        <v>353</v>
      </c>
      <c r="D37" s="125" t="s">
        <v>447</v>
      </c>
      <c r="H37" s="41">
        <f>Q26</f>
        <v>704.05141392258611</v>
      </c>
      <c r="I37" s="186">
        <f>I36+I35</f>
        <v>668.84884322645678</v>
      </c>
      <c r="J37" s="186">
        <f t="shared" ref="J37:Q37" si="5">J36+J35</f>
        <v>633.64627253032745</v>
      </c>
      <c r="K37" s="186">
        <f t="shared" si="5"/>
        <v>598.44370183419812</v>
      </c>
      <c r="L37" s="186">
        <f t="shared" si="5"/>
        <v>563.24113113806879</v>
      </c>
      <c r="M37" s="186">
        <f t="shared" si="5"/>
        <v>528.03856044193947</v>
      </c>
      <c r="N37" s="186">
        <f t="shared" si="5"/>
        <v>492.83598974581014</v>
      </c>
      <c r="O37" s="186">
        <f t="shared" si="5"/>
        <v>457.63341904968081</v>
      </c>
      <c r="P37" s="186">
        <f t="shared" si="5"/>
        <v>422.43084835355148</v>
      </c>
      <c r="Q37" s="186">
        <f t="shared" si="5"/>
        <v>387.22827765742215</v>
      </c>
    </row>
    <row r="38" spans="2:17">
      <c r="I38" s="130"/>
      <c r="K38" s="131"/>
      <c r="L38" s="131"/>
      <c r="M38" s="131"/>
      <c r="N38" s="156"/>
      <c r="O38" s="157"/>
      <c r="P38" s="157"/>
    </row>
    <row r="39" spans="2:17">
      <c r="C39" s="1" t="s">
        <v>354</v>
      </c>
      <c r="D39" s="125" t="s">
        <v>447</v>
      </c>
      <c r="I39" s="185">
        <f>-I35*I$33</f>
        <v>-44.355239077122924</v>
      </c>
      <c r="J39" s="185">
        <f t="shared" ref="J39:Q39" si="6">-J35*J$33</f>
        <v>-41.468628280040321</v>
      </c>
      <c r="K39" s="185">
        <f t="shared" si="6"/>
        <v>-38.018776351819646</v>
      </c>
      <c r="L39" s="185">
        <f t="shared" si="6"/>
        <v>-32.914403600880902</v>
      </c>
      <c r="M39" s="185">
        <f t="shared" si="6"/>
        <v>-28.16205655690344</v>
      </c>
      <c r="N39" s="185">
        <f t="shared" si="6"/>
        <v>-26.401928022096975</v>
      </c>
      <c r="O39" s="185">
        <f t="shared" si="6"/>
        <v>-23.656127507798889</v>
      </c>
      <c r="P39" s="185">
        <f t="shared" si="6"/>
        <v>-21.508770695334999</v>
      </c>
      <c r="Q39" s="185">
        <f t="shared" si="6"/>
        <v>-19.009388175909816</v>
      </c>
    </row>
    <row r="40" spans="2:17">
      <c r="I40" s="130"/>
      <c r="K40" s="131"/>
      <c r="L40" s="131"/>
      <c r="M40" s="131"/>
      <c r="N40" s="156"/>
      <c r="O40" s="157"/>
      <c r="P40" s="157"/>
    </row>
    <row r="41" spans="2:17" s="2" customFormat="1">
      <c r="B41" s="140"/>
      <c r="C41" s="140" t="s">
        <v>348</v>
      </c>
      <c r="D41" s="287"/>
      <c r="E41" s="140"/>
      <c r="F41" s="140"/>
      <c r="G41" s="140"/>
      <c r="H41" s="140"/>
      <c r="I41" s="180"/>
      <c r="J41" s="140"/>
      <c r="K41" s="181"/>
      <c r="L41" s="181"/>
      <c r="M41" s="181"/>
      <c r="N41" s="182"/>
      <c r="O41" s="183"/>
      <c r="P41" s="183"/>
      <c r="Q41" s="140"/>
    </row>
    <row r="42" spans="2:17">
      <c r="C42" s="1" t="s">
        <v>355</v>
      </c>
      <c r="D42" s="125" t="s">
        <v>74</v>
      </c>
      <c r="I42" s="188">
        <f>$M$27</f>
        <v>6.2E-2</v>
      </c>
      <c r="J42" s="188">
        <f t="shared" ref="J42:Q42" si="7">$M$27</f>
        <v>6.2E-2</v>
      </c>
      <c r="K42" s="188">
        <f t="shared" si="7"/>
        <v>6.2E-2</v>
      </c>
      <c r="L42" s="188">
        <f t="shared" si="7"/>
        <v>6.2E-2</v>
      </c>
      <c r="M42" s="188">
        <f t="shared" si="7"/>
        <v>6.2E-2</v>
      </c>
      <c r="N42" s="188">
        <f t="shared" si="7"/>
        <v>6.2E-2</v>
      </c>
      <c r="O42" s="188">
        <f t="shared" si="7"/>
        <v>6.2E-2</v>
      </c>
      <c r="P42" s="188">
        <f t="shared" si="7"/>
        <v>6.2E-2</v>
      </c>
      <c r="Q42" s="188">
        <f t="shared" si="7"/>
        <v>6.2E-2</v>
      </c>
    </row>
    <row r="43" spans="2:17">
      <c r="I43" s="188"/>
      <c r="J43" s="188"/>
      <c r="K43" s="188"/>
      <c r="L43" s="188"/>
      <c r="M43" s="188"/>
      <c r="N43" s="188"/>
      <c r="O43" s="188"/>
      <c r="P43" s="188"/>
      <c r="Q43" s="188"/>
    </row>
    <row r="44" spans="2:17" s="2" customFormat="1">
      <c r="C44" s="2" t="s">
        <v>350</v>
      </c>
      <c r="D44" s="125" t="s">
        <v>447</v>
      </c>
      <c r="I44" s="186">
        <f>H46</f>
        <v>352.02570696129305</v>
      </c>
      <c r="J44" s="186">
        <f t="shared" ref="J44:Q44" si="8">I46</f>
        <v>341.46493575245427</v>
      </c>
      <c r="K44" s="186">
        <f t="shared" si="8"/>
        <v>330.90416454361548</v>
      </c>
      <c r="L44" s="186">
        <f t="shared" si="8"/>
        <v>320.34339333477669</v>
      </c>
      <c r="M44" s="186">
        <f t="shared" si="8"/>
        <v>309.78262212593791</v>
      </c>
      <c r="N44" s="186">
        <f t="shared" si="8"/>
        <v>299.22185091709912</v>
      </c>
      <c r="O44" s="186">
        <f t="shared" si="8"/>
        <v>288.66107970826033</v>
      </c>
      <c r="P44" s="186">
        <f t="shared" si="8"/>
        <v>278.10030849942154</v>
      </c>
      <c r="Q44" s="186">
        <f t="shared" si="8"/>
        <v>267.53953729058276</v>
      </c>
    </row>
    <row r="45" spans="2:17">
      <c r="C45" s="7" t="s">
        <v>79</v>
      </c>
      <c r="D45" s="125" t="s">
        <v>447</v>
      </c>
      <c r="I45" s="185">
        <f>-MIN($H$46*$O$27,I44)</f>
        <v>-10.560771208838791</v>
      </c>
      <c r="J45" s="185">
        <f t="shared" ref="J45:Q45" si="9">-MIN($H$46*$O$27,J44)</f>
        <v>-10.560771208838791</v>
      </c>
      <c r="K45" s="185">
        <f t="shared" si="9"/>
        <v>-10.560771208838791</v>
      </c>
      <c r="L45" s="185">
        <f t="shared" si="9"/>
        <v>-10.560771208838791</v>
      </c>
      <c r="M45" s="185">
        <f t="shared" si="9"/>
        <v>-10.560771208838791</v>
      </c>
      <c r="N45" s="185">
        <f t="shared" si="9"/>
        <v>-10.560771208838791</v>
      </c>
      <c r="O45" s="185">
        <f t="shared" si="9"/>
        <v>-10.560771208838791</v>
      </c>
      <c r="P45" s="185">
        <f t="shared" si="9"/>
        <v>-10.560771208838791</v>
      </c>
      <c r="Q45" s="185">
        <f t="shared" si="9"/>
        <v>-10.560771208838791</v>
      </c>
    </row>
    <row r="46" spans="2:17" s="2" customFormat="1">
      <c r="C46" s="2" t="s">
        <v>353</v>
      </c>
      <c r="D46" s="125" t="s">
        <v>447</v>
      </c>
      <c r="H46" s="41">
        <f>Q27</f>
        <v>352.02570696129305</v>
      </c>
      <c r="I46" s="186">
        <f>SUM(I44:I45)</f>
        <v>341.46493575245427</v>
      </c>
      <c r="J46" s="186">
        <f t="shared" ref="J46:Q46" si="10">SUM(J44:J45)</f>
        <v>330.90416454361548</v>
      </c>
      <c r="K46" s="186">
        <f t="shared" si="10"/>
        <v>320.34339333477669</v>
      </c>
      <c r="L46" s="186">
        <f t="shared" si="10"/>
        <v>309.78262212593791</v>
      </c>
      <c r="M46" s="186">
        <f t="shared" si="10"/>
        <v>299.22185091709912</v>
      </c>
      <c r="N46" s="186">
        <f t="shared" si="10"/>
        <v>288.66107970826033</v>
      </c>
      <c r="O46" s="186">
        <f t="shared" si="10"/>
        <v>278.10030849942154</v>
      </c>
      <c r="P46" s="186">
        <f t="shared" si="10"/>
        <v>267.53953729058276</v>
      </c>
      <c r="Q46" s="186">
        <f t="shared" si="10"/>
        <v>256.97876608174397</v>
      </c>
    </row>
    <row r="47" spans="2:17">
      <c r="I47" s="130"/>
      <c r="K47" s="131"/>
      <c r="L47" s="131"/>
      <c r="M47" s="131"/>
      <c r="N47" s="156"/>
      <c r="O47" s="157"/>
      <c r="P47" s="157"/>
    </row>
    <row r="48" spans="2:17">
      <c r="C48" s="1" t="s">
        <v>354</v>
      </c>
      <c r="D48" s="125" t="s">
        <v>447</v>
      </c>
      <c r="I48" s="185">
        <f>-I44*I42</f>
        <v>-21.82559383160017</v>
      </c>
      <c r="J48" s="185">
        <f t="shared" ref="J48:Q48" si="11">-J44*J42</f>
        <v>-21.170826016652164</v>
      </c>
      <c r="K48" s="185">
        <f t="shared" si="11"/>
        <v>-20.516058201704158</v>
      </c>
      <c r="L48" s="185">
        <f t="shared" si="11"/>
        <v>-19.861290386756156</v>
      </c>
      <c r="M48" s="185">
        <f t="shared" si="11"/>
        <v>-19.206522571808151</v>
      </c>
      <c r="N48" s="185">
        <f t="shared" si="11"/>
        <v>-18.551754756860145</v>
      </c>
      <c r="O48" s="185">
        <f t="shared" si="11"/>
        <v>-17.896986941912139</v>
      </c>
      <c r="P48" s="185">
        <f t="shared" si="11"/>
        <v>-17.242219126964137</v>
      </c>
      <c r="Q48" s="185">
        <f t="shared" si="11"/>
        <v>-16.587451312016132</v>
      </c>
    </row>
    <row r="49" spans="2:17">
      <c r="I49" s="130"/>
      <c r="K49" s="131"/>
      <c r="L49" s="131"/>
      <c r="M49" s="131"/>
      <c r="N49" s="156"/>
      <c r="O49" s="157"/>
      <c r="P49" s="157"/>
    </row>
    <row r="50" spans="2:17" s="2" customFormat="1">
      <c r="B50" s="140"/>
      <c r="C50" s="140" t="s">
        <v>349</v>
      </c>
      <c r="D50" s="287"/>
      <c r="E50" s="140"/>
      <c r="F50" s="140"/>
      <c r="G50" s="140"/>
      <c r="H50" s="140"/>
      <c r="I50" s="180"/>
      <c r="J50" s="140"/>
      <c r="K50" s="181"/>
      <c r="L50" s="181"/>
      <c r="M50" s="181"/>
      <c r="N50" s="182"/>
      <c r="O50" s="183"/>
      <c r="P50" s="183"/>
      <c r="Q50" s="140"/>
    </row>
    <row r="51" spans="2:17">
      <c r="C51" s="1" t="s">
        <v>356</v>
      </c>
      <c r="D51" s="125" t="s">
        <v>74</v>
      </c>
      <c r="I51" s="188">
        <f>$M$28</f>
        <v>0.05</v>
      </c>
      <c r="J51" s="188">
        <f t="shared" ref="J51:Q51" si="12">$M$28</f>
        <v>0.05</v>
      </c>
      <c r="K51" s="188">
        <f t="shared" si="12"/>
        <v>0.05</v>
      </c>
      <c r="L51" s="188">
        <f t="shared" si="12"/>
        <v>0.05</v>
      </c>
      <c r="M51" s="188">
        <f t="shared" si="12"/>
        <v>0.05</v>
      </c>
      <c r="N51" s="188">
        <f t="shared" si="12"/>
        <v>0.05</v>
      </c>
      <c r="O51" s="188">
        <f t="shared" si="12"/>
        <v>0.05</v>
      </c>
      <c r="P51" s="188">
        <f t="shared" si="12"/>
        <v>0.05</v>
      </c>
      <c r="Q51" s="188">
        <f t="shared" si="12"/>
        <v>0.05</v>
      </c>
    </row>
    <row r="52" spans="2:17">
      <c r="C52" s="1" t="s">
        <v>357</v>
      </c>
      <c r="D52" s="125" t="s">
        <v>74</v>
      </c>
      <c r="I52" s="188">
        <f>$N$28</f>
        <v>2.5000000000000001E-2</v>
      </c>
      <c r="J52" s="188">
        <f t="shared" ref="J52:Q52" si="13">$N$28</f>
        <v>2.5000000000000001E-2</v>
      </c>
      <c r="K52" s="188">
        <f t="shared" si="13"/>
        <v>2.5000000000000001E-2</v>
      </c>
      <c r="L52" s="188">
        <f t="shared" si="13"/>
        <v>2.5000000000000001E-2</v>
      </c>
      <c r="M52" s="188">
        <f t="shared" si="13"/>
        <v>2.5000000000000001E-2</v>
      </c>
      <c r="N52" s="188">
        <f t="shared" si="13"/>
        <v>2.5000000000000001E-2</v>
      </c>
      <c r="O52" s="188">
        <f t="shared" si="13"/>
        <v>2.5000000000000001E-2</v>
      </c>
      <c r="P52" s="188">
        <f t="shared" si="13"/>
        <v>2.5000000000000001E-2</v>
      </c>
      <c r="Q52" s="188">
        <f t="shared" si="13"/>
        <v>2.5000000000000001E-2</v>
      </c>
    </row>
    <row r="53" spans="2:17">
      <c r="I53" s="188"/>
      <c r="J53" s="188"/>
      <c r="K53" s="188"/>
      <c r="L53" s="188"/>
      <c r="M53" s="188"/>
      <c r="N53" s="188"/>
      <c r="O53" s="188"/>
      <c r="P53" s="188"/>
      <c r="Q53" s="188"/>
    </row>
    <row r="54" spans="2:17">
      <c r="C54" s="2" t="s">
        <v>350</v>
      </c>
      <c r="D54" s="125" t="s">
        <v>447</v>
      </c>
      <c r="E54" s="2"/>
      <c r="F54" s="2"/>
      <c r="G54" s="2"/>
      <c r="H54" s="2"/>
      <c r="I54" s="186">
        <f>H57</f>
        <v>117.34190232043099</v>
      </c>
      <c r="J54" s="186">
        <f t="shared" ref="J54:Q54" si="14">I57</f>
        <v>119.10203085523746</v>
      </c>
      <c r="K54" s="186">
        <f t="shared" si="14"/>
        <v>111.5188104177796</v>
      </c>
      <c r="L54" s="186">
        <f t="shared" si="14"/>
        <v>103.74600946938531</v>
      </c>
      <c r="M54" s="186">
        <f t="shared" si="14"/>
        <v>95.778888497281159</v>
      </c>
      <c r="N54" s="186">
        <f t="shared" si="14"/>
        <v>87.612589500874407</v>
      </c>
      <c r="O54" s="186">
        <f t="shared" si="14"/>
        <v>79.242133029557479</v>
      </c>
      <c r="P54" s="186">
        <f t="shared" si="14"/>
        <v>70.662415146457633</v>
      </c>
      <c r="Q54" s="186">
        <f t="shared" si="14"/>
        <v>61.868204316280284</v>
      </c>
    </row>
    <row r="55" spans="2:17">
      <c r="C55" s="7" t="s">
        <v>79</v>
      </c>
      <c r="D55" s="125" t="s">
        <v>447</v>
      </c>
      <c r="I55" s="185">
        <f>-MIN($H$57*$O$28,I54)</f>
        <v>-1.17341902320431</v>
      </c>
      <c r="J55" s="185">
        <f t="shared" ref="J55" si="15">-MIN($H$46*$O$27,J54)</f>
        <v>-10.560771208838791</v>
      </c>
      <c r="K55" s="185">
        <f t="shared" ref="K55" si="16">-MIN($H$46*$O$27,K54)</f>
        <v>-10.560771208838791</v>
      </c>
      <c r="L55" s="185">
        <f t="shared" ref="L55" si="17">-MIN($H$46*$O$27,L54)</f>
        <v>-10.560771208838791</v>
      </c>
      <c r="M55" s="185">
        <f t="shared" ref="M55" si="18">-MIN($H$46*$O$27,M54)</f>
        <v>-10.560771208838791</v>
      </c>
      <c r="N55" s="185">
        <f t="shared" ref="N55" si="19">-MIN($H$46*$O$27,N54)</f>
        <v>-10.560771208838791</v>
      </c>
      <c r="O55" s="185">
        <f t="shared" ref="O55" si="20">-MIN($H$46*$O$27,O54)</f>
        <v>-10.560771208838791</v>
      </c>
      <c r="P55" s="185">
        <f t="shared" ref="P55" si="21">-MIN($H$46*$O$27,P54)</f>
        <v>-10.560771208838791</v>
      </c>
      <c r="Q55" s="185">
        <f t="shared" ref="Q55" si="22">-MIN($H$46*$O$27,Q54)</f>
        <v>-10.560771208838791</v>
      </c>
    </row>
    <row r="56" spans="2:17">
      <c r="C56" s="7" t="s">
        <v>360</v>
      </c>
      <c r="D56" s="125" t="s">
        <v>447</v>
      </c>
      <c r="I56" s="185">
        <f>I52*I54</f>
        <v>2.9335475580107748</v>
      </c>
      <c r="J56" s="185">
        <f t="shared" ref="J56:Q56" si="23">J52*J54</f>
        <v>2.9775507713809368</v>
      </c>
      <c r="K56" s="185">
        <f t="shared" si="23"/>
        <v>2.7879702604444905</v>
      </c>
      <c r="L56" s="185">
        <f t="shared" si="23"/>
        <v>2.593650236734633</v>
      </c>
      <c r="M56" s="185">
        <f t="shared" si="23"/>
        <v>2.3944722124320292</v>
      </c>
      <c r="N56" s="185">
        <f t="shared" si="23"/>
        <v>2.1903147375218603</v>
      </c>
      <c r="O56" s="185">
        <f t="shared" si="23"/>
        <v>1.9810533257389371</v>
      </c>
      <c r="P56" s="185">
        <f t="shared" si="23"/>
        <v>1.766560378661441</v>
      </c>
      <c r="Q56" s="185">
        <f t="shared" si="23"/>
        <v>1.5467051079070071</v>
      </c>
    </row>
    <row r="57" spans="2:17">
      <c r="C57" s="2" t="s">
        <v>353</v>
      </c>
      <c r="D57" s="125" t="s">
        <v>447</v>
      </c>
      <c r="E57" s="2"/>
      <c r="F57" s="2"/>
      <c r="G57" s="2"/>
      <c r="H57" s="41">
        <f>Q28</f>
        <v>117.34190232043099</v>
      </c>
      <c r="I57" s="186">
        <f>SUM(I54:I56)</f>
        <v>119.10203085523746</v>
      </c>
      <c r="J57" s="186">
        <f t="shared" ref="J57:Q57" si="24">SUM(J54:J56)</f>
        <v>111.5188104177796</v>
      </c>
      <c r="K57" s="186">
        <f t="shared" si="24"/>
        <v>103.74600946938531</v>
      </c>
      <c r="L57" s="186">
        <f t="shared" si="24"/>
        <v>95.778888497281159</v>
      </c>
      <c r="M57" s="186">
        <f t="shared" si="24"/>
        <v>87.612589500874407</v>
      </c>
      <c r="N57" s="186">
        <f t="shared" si="24"/>
        <v>79.242133029557479</v>
      </c>
      <c r="O57" s="186">
        <f t="shared" si="24"/>
        <v>70.662415146457633</v>
      </c>
      <c r="P57" s="186">
        <f t="shared" si="24"/>
        <v>61.868204316280284</v>
      </c>
      <c r="Q57" s="186">
        <f t="shared" si="24"/>
        <v>52.854138215348506</v>
      </c>
    </row>
    <row r="58" spans="2:17">
      <c r="C58" s="2"/>
      <c r="E58" s="2"/>
      <c r="F58" s="2"/>
      <c r="G58" s="2"/>
      <c r="H58" s="41"/>
      <c r="I58" s="186"/>
      <c r="J58" s="186"/>
      <c r="K58" s="186"/>
      <c r="L58" s="186"/>
      <c r="M58" s="186"/>
      <c r="N58" s="186"/>
      <c r="O58" s="186"/>
      <c r="P58" s="186"/>
      <c r="Q58" s="186"/>
    </row>
    <row r="59" spans="2:17">
      <c r="C59" s="1" t="s">
        <v>359</v>
      </c>
      <c r="D59" s="125" t="s">
        <v>447</v>
      </c>
      <c r="H59" s="18"/>
      <c r="I59" s="185">
        <f>-I54*I51</f>
        <v>-5.8670951160215497</v>
      </c>
      <c r="J59" s="185">
        <f t="shared" ref="J59:Q59" si="25">-J54*J51</f>
        <v>-5.9551015427618736</v>
      </c>
      <c r="K59" s="185">
        <f t="shared" si="25"/>
        <v>-5.575940520888981</v>
      </c>
      <c r="L59" s="185">
        <f t="shared" si="25"/>
        <v>-5.187300473469266</v>
      </c>
      <c r="M59" s="185">
        <f t="shared" si="25"/>
        <v>-4.7889444248640585</v>
      </c>
      <c r="N59" s="185">
        <f t="shared" si="25"/>
        <v>-4.3806294750437207</v>
      </c>
      <c r="O59" s="185">
        <f t="shared" si="25"/>
        <v>-3.9621066514778742</v>
      </c>
      <c r="P59" s="185">
        <f t="shared" si="25"/>
        <v>-3.533120757322882</v>
      </c>
      <c r="Q59" s="185">
        <f t="shared" si="25"/>
        <v>-3.0934102158140142</v>
      </c>
    </row>
    <row r="60" spans="2:17">
      <c r="C60" s="1" t="s">
        <v>361</v>
      </c>
      <c r="D60" s="125" t="s">
        <v>447</v>
      </c>
      <c r="H60" s="18"/>
      <c r="I60" s="185">
        <f>-I56+I59</f>
        <v>-8.8006426740323249</v>
      </c>
      <c r="J60" s="185">
        <f t="shared" ref="J60:Q60" si="26">-J56+J59</f>
        <v>-8.9326523141428105</v>
      </c>
      <c r="K60" s="185">
        <f t="shared" si="26"/>
        <v>-8.3639107813334714</v>
      </c>
      <c r="L60" s="185">
        <f t="shared" si="26"/>
        <v>-7.7809507102038991</v>
      </c>
      <c r="M60" s="185">
        <f t="shared" si="26"/>
        <v>-7.1834166372960873</v>
      </c>
      <c r="N60" s="185">
        <f t="shared" si="26"/>
        <v>-6.570944212565581</v>
      </c>
      <c r="O60" s="185">
        <f t="shared" si="26"/>
        <v>-5.9431599772168111</v>
      </c>
      <c r="P60" s="185">
        <f t="shared" si="26"/>
        <v>-5.299681135984323</v>
      </c>
      <c r="Q60" s="185">
        <f t="shared" si="26"/>
        <v>-4.6401153237210213</v>
      </c>
    </row>
    <row r="61" spans="2:17">
      <c r="C61" s="2"/>
      <c r="E61" s="2"/>
      <c r="F61" s="2"/>
      <c r="G61" s="2"/>
      <c r="H61" s="41"/>
      <c r="I61" s="186"/>
      <c r="J61" s="186"/>
      <c r="K61" s="186"/>
      <c r="L61" s="186"/>
      <c r="M61" s="186"/>
      <c r="N61" s="186"/>
      <c r="O61" s="186"/>
      <c r="P61" s="186"/>
      <c r="Q61" s="186"/>
    </row>
    <row r="62" spans="2:17">
      <c r="B62" s="140"/>
      <c r="C62" s="140" t="s">
        <v>358</v>
      </c>
      <c r="D62" s="287"/>
      <c r="E62" s="140"/>
      <c r="F62" s="140"/>
      <c r="G62" s="140"/>
      <c r="H62" s="140"/>
      <c r="I62" s="180"/>
      <c r="J62" s="140"/>
      <c r="K62" s="181"/>
      <c r="L62" s="181"/>
      <c r="M62" s="181"/>
      <c r="N62" s="182"/>
      <c r="O62" s="183"/>
      <c r="P62" s="183"/>
      <c r="Q62" s="140"/>
    </row>
    <row r="63" spans="2:17" s="2" customFormat="1">
      <c r="C63" s="2" t="s">
        <v>350</v>
      </c>
      <c r="D63" s="125" t="s">
        <v>447</v>
      </c>
      <c r="I63" s="186">
        <f>H67</f>
        <v>1149.9506427402239</v>
      </c>
      <c r="J63" s="186">
        <f t="shared" ref="J63:Q63" si="27">I67</f>
        <v>1108.294267416471</v>
      </c>
      <c r="K63" s="186">
        <f t="shared" si="27"/>
        <v>1057.2945431204539</v>
      </c>
      <c r="L63" s="186">
        <f t="shared" si="27"/>
        <v>1006.1052383135001</v>
      </c>
      <c r="M63" s="186">
        <f t="shared" si="27"/>
        <v>954.72161348283646</v>
      </c>
      <c r="N63" s="186">
        <f t="shared" si="27"/>
        <v>903.13881062787016</v>
      </c>
      <c r="O63" s="186">
        <f t="shared" si="27"/>
        <v>851.35185029799368</v>
      </c>
      <c r="P63" s="186">
        <f t="shared" si="27"/>
        <v>799.3556285563343</v>
      </c>
      <c r="Q63" s="186">
        <f t="shared" si="27"/>
        <v>747.14491386759744</v>
      </c>
    </row>
    <row r="64" spans="2:17">
      <c r="C64" s="7" t="s">
        <v>79</v>
      </c>
      <c r="D64" s="125" t="s">
        <v>447</v>
      </c>
      <c r="I64" s="185">
        <f>I55+I45+I36</f>
        <v>-46.936760928172404</v>
      </c>
      <c r="J64" s="185">
        <f t="shared" ref="J64:Q64" si="28">J55+J45+J36</f>
        <v>-56.324113113806888</v>
      </c>
      <c r="K64" s="185">
        <f t="shared" si="28"/>
        <v>-56.324113113806888</v>
      </c>
      <c r="L64" s="185">
        <f t="shared" si="28"/>
        <v>-56.324113113806888</v>
      </c>
      <c r="M64" s="185">
        <f t="shared" si="28"/>
        <v>-56.324113113806888</v>
      </c>
      <c r="N64" s="185">
        <f t="shared" si="28"/>
        <v>-56.324113113806888</v>
      </c>
      <c r="O64" s="185">
        <f t="shared" si="28"/>
        <v>-56.324113113806888</v>
      </c>
      <c r="P64" s="185">
        <f t="shared" si="28"/>
        <v>-56.324113113806888</v>
      </c>
      <c r="Q64" s="185">
        <f t="shared" si="28"/>
        <v>-56.324113113806888</v>
      </c>
    </row>
    <row r="65" spans="2:17">
      <c r="C65" s="7" t="s">
        <v>360</v>
      </c>
      <c r="D65" s="125" t="s">
        <v>447</v>
      </c>
      <c r="I65" s="185">
        <f>I56</f>
        <v>2.9335475580107748</v>
      </c>
      <c r="J65" s="185">
        <f t="shared" ref="J65:Q65" si="29">J56</f>
        <v>2.9775507713809368</v>
      </c>
      <c r="K65" s="185">
        <f t="shared" si="29"/>
        <v>2.7879702604444905</v>
      </c>
      <c r="L65" s="185">
        <f t="shared" si="29"/>
        <v>2.593650236734633</v>
      </c>
      <c r="M65" s="185">
        <f t="shared" si="29"/>
        <v>2.3944722124320292</v>
      </c>
      <c r="N65" s="185">
        <f t="shared" si="29"/>
        <v>2.1903147375218603</v>
      </c>
      <c r="O65" s="185">
        <f t="shared" si="29"/>
        <v>1.9810533257389371</v>
      </c>
      <c r="P65" s="185">
        <f t="shared" si="29"/>
        <v>1.766560378661441</v>
      </c>
      <c r="Q65" s="185">
        <f t="shared" si="29"/>
        <v>1.5467051079070071</v>
      </c>
    </row>
    <row r="66" spans="2:17">
      <c r="C66" s="7" t="s">
        <v>363</v>
      </c>
      <c r="D66" s="125" t="s">
        <v>447</v>
      </c>
      <c r="I66" s="185">
        <f>-I125</f>
        <v>2.3468380464086205</v>
      </c>
      <c r="J66" s="185">
        <f t="shared" ref="J66:Q66" si="30">-J125</f>
        <v>2.3468380464086205</v>
      </c>
      <c r="K66" s="185">
        <f t="shared" si="30"/>
        <v>2.3468380464086205</v>
      </c>
      <c r="L66" s="185">
        <f t="shared" si="30"/>
        <v>2.3468380464086205</v>
      </c>
      <c r="M66" s="185">
        <f t="shared" si="30"/>
        <v>2.3468380464086205</v>
      </c>
      <c r="N66" s="185">
        <f t="shared" si="30"/>
        <v>2.3468380464086205</v>
      </c>
      <c r="O66" s="185">
        <f t="shared" si="30"/>
        <v>2.3468380464086205</v>
      </c>
      <c r="P66" s="185">
        <f t="shared" si="30"/>
        <v>2.3468380464086205</v>
      </c>
      <c r="Q66" s="185">
        <f t="shared" si="30"/>
        <v>2.3468380464086205</v>
      </c>
    </row>
    <row r="67" spans="2:17">
      <c r="C67" s="2" t="s">
        <v>353</v>
      </c>
      <c r="D67" s="125" t="s">
        <v>447</v>
      </c>
      <c r="H67" s="18">
        <f>H57+H46+H37-$N$79</f>
        <v>1149.9506427402239</v>
      </c>
      <c r="I67" s="185">
        <f>SUM(I63:I66)</f>
        <v>1108.294267416471</v>
      </c>
      <c r="J67" s="185">
        <f t="shared" ref="J67:Q67" si="31">SUM(J63:J66)</f>
        <v>1057.2945431204539</v>
      </c>
      <c r="K67" s="185">
        <f t="shared" si="31"/>
        <v>1006.1052383135001</v>
      </c>
      <c r="L67" s="185">
        <f t="shared" si="31"/>
        <v>954.72161348283646</v>
      </c>
      <c r="M67" s="185">
        <f t="shared" si="31"/>
        <v>903.13881062787016</v>
      </c>
      <c r="N67" s="185">
        <f t="shared" si="31"/>
        <v>851.35185029799368</v>
      </c>
      <c r="O67" s="185">
        <f t="shared" si="31"/>
        <v>799.3556285563343</v>
      </c>
      <c r="P67" s="185">
        <f t="shared" si="31"/>
        <v>747.14491386759744</v>
      </c>
      <c r="Q67" s="185">
        <f t="shared" si="31"/>
        <v>694.71434390810612</v>
      </c>
    </row>
    <row r="68" spans="2:17">
      <c r="C68" s="2"/>
      <c r="H68" s="18"/>
      <c r="I68" s="185"/>
      <c r="J68" s="185"/>
      <c r="K68" s="185"/>
      <c r="L68" s="185"/>
      <c r="M68" s="185"/>
      <c r="N68" s="185"/>
      <c r="O68" s="185"/>
      <c r="P68" s="185"/>
      <c r="Q68" s="185"/>
    </row>
    <row r="69" spans="2:17">
      <c r="C69" s="1" t="s">
        <v>362</v>
      </c>
      <c r="D69" s="125" t="s">
        <v>447</v>
      </c>
      <c r="I69" s="185">
        <f>-I56</f>
        <v>-2.9335475580107748</v>
      </c>
      <c r="J69" s="185">
        <f t="shared" ref="J69:Q69" si="32">-J56</f>
        <v>-2.9775507713809368</v>
      </c>
      <c r="K69" s="185">
        <f t="shared" si="32"/>
        <v>-2.7879702604444905</v>
      </c>
      <c r="L69" s="185">
        <f t="shared" si="32"/>
        <v>-2.593650236734633</v>
      </c>
      <c r="M69" s="185">
        <f t="shared" si="32"/>
        <v>-2.3944722124320292</v>
      </c>
      <c r="N69" s="185">
        <f t="shared" si="32"/>
        <v>-2.1903147375218603</v>
      </c>
      <c r="O69" s="185">
        <f t="shared" si="32"/>
        <v>-1.9810533257389371</v>
      </c>
      <c r="P69" s="185">
        <f t="shared" si="32"/>
        <v>-1.766560378661441</v>
      </c>
      <c r="Q69" s="185">
        <f t="shared" si="32"/>
        <v>-1.5467051079070071</v>
      </c>
    </row>
    <row r="70" spans="2:17">
      <c r="C70" s="1" t="s">
        <v>365</v>
      </c>
      <c r="D70" s="125" t="s">
        <v>447</v>
      </c>
      <c r="I70" s="185">
        <f>I59+I48+I39</f>
        <v>-72.047928024744635</v>
      </c>
      <c r="J70" s="185">
        <f t="shared" ref="J70:Q70" si="33">J59+J48+J39</f>
        <v>-68.594555839454358</v>
      </c>
      <c r="K70" s="185">
        <f t="shared" si="33"/>
        <v>-64.110775074412786</v>
      </c>
      <c r="L70" s="185">
        <f t="shared" si="33"/>
        <v>-57.962994461106327</v>
      </c>
      <c r="M70" s="185">
        <f t="shared" si="33"/>
        <v>-52.157523553575651</v>
      </c>
      <c r="N70" s="185">
        <f t="shared" si="33"/>
        <v>-49.334312254000842</v>
      </c>
      <c r="O70" s="185">
        <f t="shared" si="33"/>
        <v>-45.515221101188899</v>
      </c>
      <c r="P70" s="185">
        <f t="shared" si="33"/>
        <v>-42.284110579622023</v>
      </c>
      <c r="Q70" s="185">
        <f t="shared" si="33"/>
        <v>-38.690249703739966</v>
      </c>
    </row>
    <row r="71" spans="2:17">
      <c r="C71" s="1" t="s">
        <v>366</v>
      </c>
      <c r="D71" s="125" t="s">
        <v>447</v>
      </c>
      <c r="I71" s="185">
        <f>I70+I69</f>
        <v>-74.981475582755408</v>
      </c>
      <c r="J71" s="185">
        <f t="shared" ref="J71:Q71" si="34">J70+J69</f>
        <v>-71.572106610835291</v>
      </c>
      <c r="K71" s="185">
        <f t="shared" si="34"/>
        <v>-66.898745334857281</v>
      </c>
      <c r="L71" s="185">
        <f t="shared" si="34"/>
        <v>-60.556644697840959</v>
      </c>
      <c r="M71" s="185">
        <f t="shared" si="34"/>
        <v>-54.551995766007678</v>
      </c>
      <c r="N71" s="185">
        <f t="shared" si="34"/>
        <v>-51.524626991522702</v>
      </c>
      <c r="O71" s="185">
        <f t="shared" si="34"/>
        <v>-47.496274426927833</v>
      </c>
      <c r="P71" s="185">
        <f t="shared" si="34"/>
        <v>-44.050670958283462</v>
      </c>
      <c r="Q71" s="185">
        <f t="shared" si="34"/>
        <v>-40.236954811646974</v>
      </c>
    </row>
    <row r="72" spans="2:17">
      <c r="I72" s="130"/>
      <c r="K72" s="131"/>
      <c r="L72" s="131"/>
      <c r="M72" s="131"/>
      <c r="N72" s="156"/>
      <c r="O72" s="157"/>
      <c r="P72" s="157"/>
    </row>
    <row r="73" spans="2:17">
      <c r="B73" s="28" t="s">
        <v>270</v>
      </c>
      <c r="C73" s="28"/>
      <c r="D73" s="283"/>
      <c r="E73" s="28"/>
      <c r="F73" s="28"/>
      <c r="G73" s="28"/>
      <c r="H73" s="28"/>
      <c r="I73" s="28"/>
      <c r="J73" s="28"/>
      <c r="K73" s="26"/>
      <c r="L73" s="28"/>
      <c r="M73" s="28"/>
      <c r="N73" s="28"/>
      <c r="O73" s="28"/>
      <c r="P73" s="28"/>
      <c r="Q73" s="28"/>
    </row>
    <row r="75" spans="2:17">
      <c r="C75" s="146" t="s">
        <v>271</v>
      </c>
      <c r="D75" s="288"/>
      <c r="E75" s="146"/>
      <c r="F75" s="146"/>
      <c r="G75" s="146"/>
      <c r="J75" s="146" t="s">
        <v>272</v>
      </c>
      <c r="K75" s="146"/>
      <c r="L75" s="146"/>
      <c r="M75" s="146"/>
      <c r="N75" s="146"/>
    </row>
    <row r="76" spans="2:17">
      <c r="C76" s="7" t="s">
        <v>273</v>
      </c>
      <c r="G76" s="147">
        <f>K18</f>
        <v>826.72566596097568</v>
      </c>
      <c r="J76" s="7" t="s">
        <v>275</v>
      </c>
      <c r="N76" s="147">
        <f>$D$19</f>
        <v>2450.2904999999996</v>
      </c>
    </row>
    <row r="77" spans="2:17">
      <c r="C77" s="7" t="s">
        <v>274</v>
      </c>
      <c r="G77" s="18">
        <f>K19</f>
        <v>1173.4190232043102</v>
      </c>
      <c r="J77" s="7" t="s">
        <v>276</v>
      </c>
      <c r="N77" s="145">
        <v>0</v>
      </c>
    </row>
    <row r="78" spans="2:17">
      <c r="C78" s="7" t="s">
        <v>268</v>
      </c>
      <c r="G78" s="18">
        <f>K20</f>
        <v>450.14581083471376</v>
      </c>
      <c r="J78" s="7" t="s">
        <v>277</v>
      </c>
      <c r="N78" s="18">
        <f>M6*D20+M8</f>
        <v>38.637804999999993</v>
      </c>
    </row>
    <row r="79" spans="2:17">
      <c r="C79" s="12" t="s">
        <v>280</v>
      </c>
      <c r="D79" s="289"/>
      <c r="E79" s="10"/>
      <c r="F79" s="10"/>
      <c r="G79" s="39">
        <f>N79+N78</f>
        <v>62.106185464086195</v>
      </c>
      <c r="J79" s="12" t="s">
        <v>278</v>
      </c>
      <c r="K79" s="10"/>
      <c r="L79" s="10"/>
      <c r="M79" s="10"/>
      <c r="N79" s="39">
        <f>M7*D29</f>
        <v>23.468380464086206</v>
      </c>
    </row>
    <row r="80" spans="2:17">
      <c r="C80" s="1" t="s">
        <v>281</v>
      </c>
      <c r="G80" s="147">
        <f>SUM(G76:G79)</f>
        <v>2512.3966854640857</v>
      </c>
      <c r="J80" s="1" t="s">
        <v>279</v>
      </c>
      <c r="N80" s="136">
        <f>SUM(N76:N79)</f>
        <v>2512.3966854640857</v>
      </c>
    </row>
    <row r="82" spans="2:17">
      <c r="B82" s="28" t="s">
        <v>282</v>
      </c>
      <c r="C82" s="28"/>
      <c r="D82" s="283"/>
      <c r="E82" s="28"/>
      <c r="F82" s="28"/>
      <c r="G82" s="28"/>
      <c r="H82" s="28"/>
      <c r="I82" s="28"/>
      <c r="J82" s="28"/>
      <c r="K82" s="26"/>
      <c r="L82" s="28"/>
      <c r="M82" s="28"/>
      <c r="N82" s="28"/>
      <c r="O82" s="28"/>
      <c r="P82" s="28"/>
      <c r="Q82" s="28"/>
    </row>
    <row r="84" spans="2:17">
      <c r="C84" s="146" t="s">
        <v>283</v>
      </c>
      <c r="D84" s="288"/>
      <c r="E84" s="146"/>
      <c r="F84" s="146"/>
      <c r="G84" s="146"/>
      <c r="J84" s="146" t="s">
        <v>286</v>
      </c>
      <c r="K84" s="146"/>
      <c r="L84" s="146"/>
      <c r="M84" s="146"/>
      <c r="N84" s="146"/>
    </row>
    <row r="85" spans="2:17">
      <c r="C85" s="2" t="s">
        <v>289</v>
      </c>
      <c r="E85" s="2"/>
      <c r="F85" s="2"/>
      <c r="G85" s="148">
        <f>D19</f>
        <v>2450.2904999999996</v>
      </c>
      <c r="J85" s="1" t="s">
        <v>284</v>
      </c>
      <c r="N85" s="138">
        <v>0.15</v>
      </c>
    </row>
    <row r="86" spans="2:17">
      <c r="C86" s="7" t="s">
        <v>290</v>
      </c>
      <c r="G86" s="18">
        <f>-Aritzia_Financial!H204</f>
        <v>-699.28333556604935</v>
      </c>
      <c r="J86" s="1" t="s">
        <v>285</v>
      </c>
      <c r="N86" s="18">
        <f>N85*Aritzia_Financial!H181</f>
        <v>45.842081381023611</v>
      </c>
    </row>
    <row r="87" spans="2:17">
      <c r="C87" s="12" t="s">
        <v>291</v>
      </c>
      <c r="D87" s="289"/>
      <c r="E87" s="10"/>
      <c r="F87" s="10"/>
      <c r="G87" s="39">
        <f>Aritzia_Financial!H183</f>
        <v>149.1345</v>
      </c>
      <c r="J87" s="1" t="s">
        <v>287</v>
      </c>
      <c r="N87" s="142">
        <v>8</v>
      </c>
    </row>
    <row r="88" spans="2:17">
      <c r="C88" s="2" t="s">
        <v>292</v>
      </c>
      <c r="E88" s="2"/>
      <c r="F88" s="2"/>
      <c r="G88" s="148">
        <f>SUM(G85:G87)</f>
        <v>1900.1416644339502</v>
      </c>
    </row>
    <row r="89" spans="2:17">
      <c r="J89" s="146" t="s">
        <v>288</v>
      </c>
      <c r="K89" s="146"/>
      <c r="L89" s="146"/>
      <c r="M89" s="146"/>
      <c r="N89" s="146"/>
    </row>
    <row r="90" spans="2:17">
      <c r="C90" s="7" t="s">
        <v>299</v>
      </c>
      <c r="G90" s="18">
        <f>-N86</f>
        <v>-45.842081381023611</v>
      </c>
      <c r="J90" s="1" t="s">
        <v>293</v>
      </c>
      <c r="N90" s="147">
        <f>G88</f>
        <v>1900.1416644339502</v>
      </c>
    </row>
    <row r="91" spans="2:17">
      <c r="C91" s="7" t="s">
        <v>300</v>
      </c>
      <c r="G91" s="18">
        <f>-N92-N95</f>
        <v>-1140.0849986603703</v>
      </c>
      <c r="J91" s="1" t="s">
        <v>295</v>
      </c>
      <c r="N91" s="138">
        <v>0.4</v>
      </c>
    </row>
    <row r="92" spans="2:17">
      <c r="C92" s="7" t="s">
        <v>303</v>
      </c>
      <c r="G92" s="18">
        <f>-Aritzia_Financial!H199</f>
        <v>-9.2971488160761897</v>
      </c>
      <c r="J92" s="1" t="s">
        <v>294</v>
      </c>
      <c r="N92" s="44">
        <f>N91*N90</f>
        <v>760.05666577358011</v>
      </c>
      <c r="O92" s="44"/>
    </row>
    <row r="93" spans="2:17">
      <c r="C93" s="12" t="s">
        <v>304</v>
      </c>
      <c r="D93" s="289"/>
      <c r="E93" s="10"/>
      <c r="F93" s="10"/>
      <c r="G93" s="39">
        <f>N98</f>
        <v>425.19428004846043</v>
      </c>
    </row>
    <row r="94" spans="2:17">
      <c r="C94" s="2" t="s">
        <v>283</v>
      </c>
      <c r="E94" s="2"/>
      <c r="F94" s="2"/>
      <c r="G94" s="148">
        <f>SUM(G90:G93)+G88</f>
        <v>1130.1117156249402</v>
      </c>
      <c r="J94" s="62" t="s">
        <v>296</v>
      </c>
      <c r="N94" s="138">
        <v>0.2</v>
      </c>
    </row>
    <row r="95" spans="2:17">
      <c r="J95" s="62" t="s">
        <v>297</v>
      </c>
      <c r="N95" s="44">
        <f>N94*N90</f>
        <v>380.02833288679005</v>
      </c>
    </row>
    <row r="96" spans="2:17">
      <c r="J96" s="62" t="s">
        <v>298</v>
      </c>
      <c r="N96" s="142">
        <v>5</v>
      </c>
    </row>
    <row r="98" spans="2:17">
      <c r="J98" s="1" t="s">
        <v>302</v>
      </c>
      <c r="N98" s="18">
        <f>(N86+N92+N95)*$M$15</f>
        <v>425.19428004846043</v>
      </c>
    </row>
    <row r="100" spans="2:17">
      <c r="B100" s="33" t="s">
        <v>305</v>
      </c>
      <c r="C100" s="32"/>
      <c r="D100" s="31"/>
      <c r="E100" s="30" t="s">
        <v>23</v>
      </c>
      <c r="F100" s="30"/>
      <c r="G100" s="29"/>
      <c r="H100" s="207" t="s">
        <v>22</v>
      </c>
      <c r="I100" s="30"/>
      <c r="J100" s="30"/>
      <c r="K100" s="30"/>
      <c r="L100" s="30"/>
      <c r="M100" s="30"/>
      <c r="N100" s="30"/>
      <c r="O100" s="30"/>
      <c r="P100" s="30"/>
      <c r="Q100" s="29"/>
    </row>
    <row r="101" spans="2:17">
      <c r="B101" s="28" t="s">
        <v>70</v>
      </c>
      <c r="C101" s="27"/>
      <c r="D101" s="26" t="s">
        <v>20</v>
      </c>
      <c r="E101" s="24">
        <f>DATE(2020,12,31)</f>
        <v>44196</v>
      </c>
      <c r="F101" s="24">
        <f t="shared" ref="F101:Q101" si="35">EDATE(E101,12)</f>
        <v>44561</v>
      </c>
      <c r="G101" s="25">
        <f t="shared" si="35"/>
        <v>44926</v>
      </c>
      <c r="H101" s="208">
        <f t="shared" si="35"/>
        <v>45291</v>
      </c>
      <c r="I101" s="24">
        <f t="shared" si="35"/>
        <v>45657</v>
      </c>
      <c r="J101" s="24">
        <f t="shared" si="35"/>
        <v>46022</v>
      </c>
      <c r="K101" s="24">
        <f t="shared" si="35"/>
        <v>46387</v>
      </c>
      <c r="L101" s="24">
        <f t="shared" si="35"/>
        <v>46752</v>
      </c>
      <c r="M101" s="24">
        <f t="shared" si="35"/>
        <v>47118</v>
      </c>
      <c r="N101" s="24">
        <f t="shared" si="35"/>
        <v>47483</v>
      </c>
      <c r="O101" s="24">
        <f t="shared" si="35"/>
        <v>47848</v>
      </c>
      <c r="P101" s="24">
        <f t="shared" si="35"/>
        <v>48213</v>
      </c>
      <c r="Q101" s="24">
        <f t="shared" si="35"/>
        <v>48579</v>
      </c>
    </row>
    <row r="102" spans="2:17">
      <c r="C102" s="7" t="s">
        <v>324</v>
      </c>
      <c r="D102" s="125" t="s">
        <v>447</v>
      </c>
      <c r="H102" s="198"/>
      <c r="I102" s="159">
        <f>LULU_Financial!K110</f>
        <v>12315.384201334075</v>
      </c>
      <c r="J102" s="159">
        <f>LULU_Financial!L110</f>
        <v>15011.537607407337</v>
      </c>
      <c r="K102" s="159">
        <f>LULU_Financial!M110</f>
        <v>18075.273390402894</v>
      </c>
      <c r="L102" s="159">
        <f>LULU_Financial!N110</f>
        <v>21347.365644477301</v>
      </c>
      <c r="M102" s="159">
        <f>LULU_Financial!O110</f>
        <v>24642.874275406306</v>
      </c>
      <c r="N102" s="159">
        <f>LULU_Financial!P110</f>
        <v>28066.06807160379</v>
      </c>
      <c r="O102" s="159">
        <f>LULU_Financial!Q110</f>
        <v>31600.589517459528</v>
      </c>
      <c r="P102" s="159">
        <f>LULU_Financial!R110</f>
        <v>35247.21684176835</v>
      </c>
      <c r="Q102" s="159">
        <f>LULU_Financial!S110</f>
        <v>38965.680844938004</v>
      </c>
    </row>
    <row r="103" spans="2:17">
      <c r="C103" s="7" t="s">
        <v>325</v>
      </c>
      <c r="D103" s="125" t="s">
        <v>447</v>
      </c>
      <c r="H103" s="198"/>
      <c r="I103" s="114">
        <f>Aritzia_Financial!I154</f>
        <v>2498.2498781182799</v>
      </c>
      <c r="J103" s="114">
        <f>Aritzia_Financial!J154</f>
        <v>2959.3190243335407</v>
      </c>
      <c r="K103" s="114">
        <f>Aritzia_Financial!K154</f>
        <v>3247.5473847612434</v>
      </c>
      <c r="L103" s="114">
        <f>Aritzia_Financial!L154</f>
        <v>3571.9750814936906</v>
      </c>
      <c r="M103" s="114">
        <f>Aritzia_Financial!M154</f>
        <v>3928.7925922939648</v>
      </c>
      <c r="N103" s="114">
        <f>Aritzia_Financial!N154</f>
        <v>4274.9192196750628</v>
      </c>
      <c r="O103" s="114">
        <f>Aritzia_Financial!O154</f>
        <v>4595.7856161521195</v>
      </c>
      <c r="P103" s="114">
        <f>Aritzia_Financial!P154</f>
        <v>4928.8800571253869</v>
      </c>
      <c r="Q103" s="114">
        <f>Aritzia_Financial!Q154</f>
        <v>5247.8026184390055</v>
      </c>
    </row>
    <row r="104" spans="2:17">
      <c r="C104" s="160" t="s">
        <v>326</v>
      </c>
      <c r="D104" s="161" t="s">
        <v>447</v>
      </c>
      <c r="E104" s="162"/>
      <c r="F104" s="162"/>
      <c r="G104" s="162"/>
      <c r="H104" s="205"/>
      <c r="I104" s="163">
        <f>I103*Synergy!B6*$M$9</f>
        <v>124.912493905914</v>
      </c>
      <c r="J104" s="163">
        <f>J103*Synergy!C6*$M$9</f>
        <v>295.93190243335408</v>
      </c>
      <c r="K104" s="163">
        <f>K103*Synergy!D6*$M$9</f>
        <v>340.99247539993058</v>
      </c>
      <c r="L104" s="163">
        <f>L103*Synergy!E6*$M$9</f>
        <v>392.91725896430603</v>
      </c>
      <c r="M104" s="163">
        <f>M103*Synergy!F6*$M$9</f>
        <v>451.81114811380604</v>
      </c>
      <c r="N104" s="163">
        <f>N103*Synergy!G6*$M$9</f>
        <v>512.99030636100758</v>
      </c>
      <c r="O104" s="163">
        <f>O103*Synergy!H6*$M$9</f>
        <v>574.47320201901505</v>
      </c>
      <c r="P104" s="163">
        <f>P103*Synergy!I6*$M$9</f>
        <v>616.11000714067347</v>
      </c>
      <c r="Q104" s="163">
        <f>Q103*Synergy!J6*$M$9</f>
        <v>655.9753273048758</v>
      </c>
    </row>
    <row r="105" spans="2:17">
      <c r="C105" s="2" t="s">
        <v>131</v>
      </c>
      <c r="D105" s="125" t="s">
        <v>447</v>
      </c>
      <c r="H105" s="198"/>
      <c r="I105" s="44">
        <f>SUM(I102:I104)</f>
        <v>14938.54657335827</v>
      </c>
      <c r="J105" s="44">
        <f t="shared" ref="J105:Q105" si="36">SUM(J102:J104)</f>
        <v>18266.788534174229</v>
      </c>
      <c r="K105" s="44">
        <f t="shared" si="36"/>
        <v>21663.813250564068</v>
      </c>
      <c r="L105" s="44">
        <f t="shared" si="36"/>
        <v>25312.257984935299</v>
      </c>
      <c r="M105" s="44">
        <f t="shared" si="36"/>
        <v>29023.478015814078</v>
      </c>
      <c r="N105" s="44">
        <f t="shared" si="36"/>
        <v>32853.97759763986</v>
      </c>
      <c r="O105" s="44">
        <f t="shared" si="36"/>
        <v>36770.848335630661</v>
      </c>
      <c r="P105" s="44">
        <f t="shared" si="36"/>
        <v>40792.206906034415</v>
      </c>
      <c r="Q105" s="44">
        <f t="shared" si="36"/>
        <v>44869.458790681885</v>
      </c>
    </row>
    <row r="106" spans="2:17">
      <c r="H106" s="198"/>
    </row>
    <row r="107" spans="2:17">
      <c r="C107" s="7" t="s">
        <v>327</v>
      </c>
      <c r="D107" s="125" t="s">
        <v>447</v>
      </c>
      <c r="H107" s="198"/>
      <c r="I107" s="18">
        <f>LULU_Financial!K111+Aritzia_Financial!I155</f>
        <v>-6775.1093469600892</v>
      </c>
      <c r="J107" s="18">
        <f>LULU_Financial!L111+Aritzia_Financial!J155</f>
        <v>-8197.1251700356042</v>
      </c>
      <c r="K107" s="18">
        <f>LULU_Financial!M111+Aritzia_Financial!K155</f>
        <v>-9684.6842494656012</v>
      </c>
      <c r="L107" s="18">
        <f>LULU_Financial!N111+Aritzia_Financial!L155</f>
        <v>-11280.161040192652</v>
      </c>
      <c r="M107" s="18">
        <f>LULU_Financial!O111+Aritzia_Financial!M155</f>
        <v>-12899.575003200505</v>
      </c>
      <c r="N107" s="18">
        <f>LULU_Financial!P111+Aritzia_Financial!N155</f>
        <v>-14566.143280276861</v>
      </c>
      <c r="O107" s="18">
        <f>LULU_Financial!Q111+Aritzia_Financial!O155</f>
        <v>-16265.380055707445</v>
      </c>
      <c r="P107" s="18">
        <f>LULU_Financial!R111+Aritzia_Financial!P155</f>
        <v>-18013.100481763544</v>
      </c>
      <c r="Q107" s="18">
        <f>LULU_Financial!S111+Aritzia_Financial!Q155</f>
        <v>-19811.888373657726</v>
      </c>
    </row>
    <row r="108" spans="2:17">
      <c r="C108" s="160" t="s">
        <v>328</v>
      </c>
      <c r="D108" s="161" t="s">
        <v>447</v>
      </c>
      <c r="E108" s="162"/>
      <c r="F108" s="162"/>
      <c r="G108" s="162"/>
      <c r="H108" s="205"/>
      <c r="I108" s="163">
        <f>I104*Aritzia_Financial!I155/Aritzia_Financial!I154</f>
        <v>-67.550760750045143</v>
      </c>
      <c r="J108" s="163">
        <f>J104*Aritzia_Financial!J155/Aritzia_Financial!J154</f>
        <v>-158.55577421024614</v>
      </c>
      <c r="K108" s="163">
        <f>K104*Aritzia_Financial!K155/Aritzia_Financial!K154</f>
        <v>-180.99357567291679</v>
      </c>
      <c r="L108" s="163">
        <f>L104*Aritzia_Financial!L155/Aritzia_Financial!L154</f>
        <v>-206.58986805243012</v>
      </c>
      <c r="M108" s="163">
        <f>M104*Aritzia_Financial!M155/Aritzia_Financial!M154</f>
        <v>-235.29631589030009</v>
      </c>
      <c r="N108" s="163">
        <f>N104*Aritzia_Financial!N155/Aritzia_Financial!N154</f>
        <v>-264.5925315849625</v>
      </c>
      <c r="O108" s="163">
        <f>O104*Aritzia_Financial!O155/Aritzia_Financial!O154</f>
        <v>-293.4321001077551</v>
      </c>
      <c r="P108" s="163">
        <f>P104*Aritzia_Financial!P155/Aritzia_Financial!P154</f>
        <v>-311.13555360604005</v>
      </c>
      <c r="Q108" s="163">
        <f>Q104*Aritzia_Financial!Q155/Aritzia_Financial!Q154</f>
        <v>-331.26754028896227</v>
      </c>
    </row>
    <row r="109" spans="2:17" s="2" customFormat="1">
      <c r="C109" s="2" t="s">
        <v>329</v>
      </c>
      <c r="D109" s="125" t="s">
        <v>447</v>
      </c>
      <c r="H109" s="197"/>
      <c r="I109" s="41">
        <f>I108+I107</f>
        <v>-6842.6601077101341</v>
      </c>
      <c r="J109" s="41">
        <f t="shared" ref="J109:Q109" si="37">J108+J107</f>
        <v>-8355.6809442458507</v>
      </c>
      <c r="K109" s="41">
        <f t="shared" si="37"/>
        <v>-9865.6778251385185</v>
      </c>
      <c r="L109" s="41">
        <f t="shared" si="37"/>
        <v>-11486.750908245082</v>
      </c>
      <c r="M109" s="41">
        <f t="shared" si="37"/>
        <v>-13134.871319090806</v>
      </c>
      <c r="N109" s="41">
        <f t="shared" si="37"/>
        <v>-14830.735811861823</v>
      </c>
      <c r="O109" s="41">
        <f t="shared" si="37"/>
        <v>-16558.812155815198</v>
      </c>
      <c r="P109" s="41">
        <f t="shared" si="37"/>
        <v>-18324.236035369584</v>
      </c>
      <c r="Q109" s="41">
        <f t="shared" si="37"/>
        <v>-20143.155913946688</v>
      </c>
    </row>
    <row r="110" spans="2:17" s="2" customFormat="1">
      <c r="D110" s="125"/>
      <c r="H110" s="197"/>
      <c r="I110" s="41"/>
      <c r="J110" s="41"/>
      <c r="K110" s="41"/>
      <c r="L110" s="41"/>
      <c r="M110" s="41"/>
      <c r="N110" s="41"/>
      <c r="O110" s="41"/>
      <c r="P110" s="41"/>
      <c r="Q110" s="41"/>
    </row>
    <row r="111" spans="2:17" s="2" customFormat="1">
      <c r="C111" s="2" t="s">
        <v>190</v>
      </c>
      <c r="D111" s="125" t="s">
        <v>447</v>
      </c>
      <c r="H111" s="197"/>
      <c r="I111" s="41">
        <f>I109+I105</f>
        <v>8095.8864656481355</v>
      </c>
      <c r="J111" s="41">
        <f t="shared" ref="J111:Q111" si="38">J109+J105</f>
        <v>9911.1075899283787</v>
      </c>
      <c r="K111" s="41">
        <f t="shared" si="38"/>
        <v>11798.135425425549</v>
      </c>
      <c r="L111" s="41">
        <f t="shared" si="38"/>
        <v>13825.507076690217</v>
      </c>
      <c r="M111" s="41">
        <f t="shared" si="38"/>
        <v>15888.606696723273</v>
      </c>
      <c r="N111" s="41">
        <f t="shared" si="38"/>
        <v>18023.241785778038</v>
      </c>
      <c r="O111" s="41">
        <f t="shared" si="38"/>
        <v>20212.036179815463</v>
      </c>
      <c r="P111" s="41">
        <f t="shared" si="38"/>
        <v>22467.970870664831</v>
      </c>
      <c r="Q111" s="41">
        <f t="shared" si="38"/>
        <v>24726.302876735197</v>
      </c>
    </row>
    <row r="112" spans="2:17">
      <c r="C112" s="7" t="s">
        <v>337</v>
      </c>
      <c r="D112" s="125" t="s">
        <v>447</v>
      </c>
      <c r="H112" s="198"/>
      <c r="I112" s="57">
        <f>I111/I105</f>
        <v>0.54194606054156003</v>
      </c>
      <c r="J112" s="57">
        <f t="shared" ref="J112:Q112" si="39">J111/J105</f>
        <v>0.54257526282664781</v>
      </c>
      <c r="K112" s="57">
        <f t="shared" si="39"/>
        <v>0.54460104917671215</v>
      </c>
      <c r="L112" s="57">
        <f t="shared" si="39"/>
        <v>0.5461980944141186</v>
      </c>
      <c r="M112" s="57">
        <f t="shared" si="39"/>
        <v>0.54743978954093708</v>
      </c>
      <c r="N112" s="57">
        <f t="shared" si="39"/>
        <v>0.54858629315778129</v>
      </c>
      <c r="O112" s="57">
        <f t="shared" si="39"/>
        <v>0.54967554719780998</v>
      </c>
      <c r="P112" s="57">
        <f t="shared" si="39"/>
        <v>0.55079076556020146</v>
      </c>
      <c r="Q112" s="57">
        <f t="shared" si="39"/>
        <v>0.55107201074308809</v>
      </c>
    </row>
    <row r="113" spans="3:17">
      <c r="H113" s="198"/>
    </row>
    <row r="114" spans="3:17">
      <c r="C114" s="7" t="s">
        <v>332</v>
      </c>
      <c r="D114" s="125" t="s">
        <v>447</v>
      </c>
      <c r="H114" s="198"/>
      <c r="I114" s="18">
        <f>LULU_Financial!K114+LULU_Financial!K115</f>
        <v>-4798.4214342765063</v>
      </c>
      <c r="J114" s="18">
        <f>LULU_Financial!L114+LULU_Financial!L115</f>
        <v>-5858.3656087483323</v>
      </c>
      <c r="K114" s="18">
        <f>LULU_Financial!M114+LULU_Financial!M115</f>
        <v>-7069.6847490691189</v>
      </c>
      <c r="L114" s="18">
        <f>LULU_Financial!N114+LULU_Financial!N115</f>
        <v>-8377.9080455615967</v>
      </c>
      <c r="M114" s="18">
        <f>LULU_Financial!O114+LULU_Financial!O115</f>
        <v>-9715.2729290382413</v>
      </c>
      <c r="N114" s="18">
        <f>LULU_Financial!P114+LULU_Financial!P115</f>
        <v>-11110.881744949969</v>
      </c>
      <c r="O114" s="18">
        <f>LULU_Financial!Q114+LULU_Financial!Q115</f>
        <v>-12557.258706296107</v>
      </c>
      <c r="P114" s="18">
        <f>LULU_Financial!R114+LULU_Financial!R115</f>
        <v>-14053.107301134607</v>
      </c>
      <c r="Q114" s="18">
        <f>LULU_Financial!S114+LULU_Financial!S115</f>
        <v>-15583.485760928314</v>
      </c>
    </row>
    <row r="115" spans="3:17">
      <c r="C115" s="12" t="s">
        <v>331</v>
      </c>
      <c r="D115" s="289" t="s">
        <v>447</v>
      </c>
      <c r="E115" s="10"/>
      <c r="F115" s="10"/>
      <c r="G115" s="10"/>
      <c r="H115" s="204"/>
      <c r="I115" s="39">
        <f>Aritzia_Financial!I158+Aritzia_Financial!I159+Aritzia_Financial!I160</f>
        <v>-838.44637715848762</v>
      </c>
      <c r="J115" s="39">
        <f>Aritzia_Financial!J158+Aritzia_Financial!J159+Aritzia_Financial!J160</f>
        <v>-988.29337819535294</v>
      </c>
      <c r="K115" s="39">
        <f>Aritzia_Financial!K158+Aritzia_Financial!K159+Aritzia_Financial!K160</f>
        <v>-1095.301449325066</v>
      </c>
      <c r="L115" s="39">
        <f>Aritzia_Financial!L158+Aritzia_Financial!L159+Aritzia_Financial!L160</f>
        <v>-1213.1383342246004</v>
      </c>
      <c r="M115" s="39">
        <f>Aritzia_Financial!M158+Aritzia_Financial!M159+Aritzia_Financial!M160</f>
        <v>-1341.3002168904488</v>
      </c>
      <c r="N115" s="39">
        <f>Aritzia_Financial!N158+Aritzia_Financial!N159+Aritzia_Financial!N160</f>
        <v>-1468.2560514597974</v>
      </c>
      <c r="O115" s="39">
        <f>Aritzia_Financial!O158+Aritzia_Financial!O159+Aritzia_Financial!O160</f>
        <v>-1589.4732152930733</v>
      </c>
      <c r="P115" s="39">
        <f>Aritzia_Financial!P158+Aritzia_Financial!P159+Aritzia_Financial!P160</f>
        <v>-1714.624315698914</v>
      </c>
      <c r="Q115" s="39">
        <f>Aritzia_Financial!Q158+Aritzia_Financial!Q159+Aritzia_Financial!Q160</f>
        <v>-1836.5468394049165</v>
      </c>
    </row>
    <row r="116" spans="3:17">
      <c r="C116" s="165" t="s">
        <v>330</v>
      </c>
      <c r="D116" s="166" t="s">
        <v>447</v>
      </c>
      <c r="E116" s="167"/>
      <c r="F116" s="167"/>
      <c r="G116" s="167"/>
      <c r="H116" s="200"/>
      <c r="I116" s="168">
        <f>I104*I115/I103</f>
        <v>-41.922318857924381</v>
      </c>
      <c r="J116" s="168">
        <f t="shared" ref="J116:Q116" si="40">J104*J115/J103</f>
        <v>-98.829337819535311</v>
      </c>
      <c r="K116" s="168">
        <f t="shared" si="40"/>
        <v>-115.00665217913193</v>
      </c>
      <c r="L116" s="168">
        <f t="shared" si="40"/>
        <v>-133.44521676470606</v>
      </c>
      <c r="M116" s="168">
        <f t="shared" si="40"/>
        <v>-154.24952494240165</v>
      </c>
      <c r="N116" s="168">
        <f t="shared" si="40"/>
        <v>-176.19072617517568</v>
      </c>
      <c r="O116" s="168">
        <f t="shared" si="40"/>
        <v>-198.68415191163419</v>
      </c>
      <c r="P116" s="168">
        <f t="shared" si="40"/>
        <v>-214.32803946236427</v>
      </c>
      <c r="Q116" s="168">
        <f t="shared" si="40"/>
        <v>-229.56835492561459</v>
      </c>
    </row>
    <row r="117" spans="3:17">
      <c r="C117" s="165" t="s">
        <v>333</v>
      </c>
      <c r="D117" s="166" t="s">
        <v>447</v>
      </c>
      <c r="E117" s="165"/>
      <c r="F117" s="165"/>
      <c r="G117" s="165"/>
      <c r="H117" s="201"/>
      <c r="I117" s="171">
        <f>Synergy!B11*$M$10*$M$13</f>
        <v>34.544785506553403</v>
      </c>
      <c r="J117" s="171">
        <f>Synergy!C11*$M$10*$M$13</f>
        <v>81.840525110374884</v>
      </c>
      <c r="K117" s="171">
        <f>Synergy!D11*$M$10*$M$13</f>
        <v>134.71730207401711</v>
      </c>
      <c r="L117" s="171">
        <f>Synergy!E11*$M$10*$M$13</f>
        <v>148.17546567987193</v>
      </c>
      <c r="M117" s="171">
        <f>Synergy!F11*$M$10*$M$13</f>
        <v>162.9772489004464</v>
      </c>
      <c r="N117" s="171">
        <f>Synergy!G11*$M$10*$M$13</f>
        <v>177.3355445285757</v>
      </c>
      <c r="O117" s="171">
        <f>Synergy!H11*$M$10*$M$13</f>
        <v>190.64597549024091</v>
      </c>
      <c r="P117" s="171">
        <f>Synergy!I11*$M$10*$M$13</f>
        <v>204.46365976309735</v>
      </c>
      <c r="Q117" s="171">
        <f>Synergy!J11*$M$10*$M$13</f>
        <v>217.69345503331007</v>
      </c>
    </row>
    <row r="118" spans="3:17">
      <c r="C118" s="165" t="s">
        <v>338</v>
      </c>
      <c r="D118" s="166" t="s">
        <v>447</v>
      </c>
      <c r="E118" s="165"/>
      <c r="F118" s="165"/>
      <c r="G118" s="165"/>
      <c r="H118" s="201"/>
      <c r="I118" s="171">
        <f>-MIN($N$86/$N$87,$N$86+SUM($H118:H118))</f>
        <v>-5.7302601726279514</v>
      </c>
      <c r="J118" s="171">
        <f>-MIN($N$86/$N$87,$N$86+SUM($H118:I118))</f>
        <v>-5.7302601726279514</v>
      </c>
      <c r="K118" s="171">
        <f>-MIN($N$86/$N$87,$N$86+SUM($H118:J118))</f>
        <v>-5.7302601726279514</v>
      </c>
      <c r="L118" s="171">
        <f>-MIN($N$86/$N$87,$N$86+SUM($H118:K118))</f>
        <v>-5.7302601726279514</v>
      </c>
      <c r="M118" s="171">
        <f>-MIN($N$86/$N$87,$N$86+SUM($H118:L118))</f>
        <v>-5.7302601726279514</v>
      </c>
      <c r="N118" s="171">
        <f>-MIN($N$86/$N$87,$N$86+SUM($H118:M118))</f>
        <v>-5.7302601726279514</v>
      </c>
      <c r="O118" s="171">
        <f>-MIN($N$86/$N$87,$N$86+SUM($H118:N118))</f>
        <v>-5.7302601726279514</v>
      </c>
      <c r="P118" s="171">
        <f>-MIN($N$86/$N$87,$N$86+SUM($H118:O118))</f>
        <v>-5.7302601726279505</v>
      </c>
      <c r="Q118" s="171">
        <f>-MIN($N$86/$N$87,$N$86+SUM($H118:P118))</f>
        <v>0</v>
      </c>
    </row>
    <row r="119" spans="3:17">
      <c r="C119" s="165" t="s">
        <v>339</v>
      </c>
      <c r="D119" s="166" t="s">
        <v>447</v>
      </c>
      <c r="E119" s="165"/>
      <c r="F119" s="165"/>
      <c r="G119" s="165"/>
      <c r="H119" s="201"/>
      <c r="I119" s="171">
        <f>-MIN($N$95/$N$96,$N$95+SUM($H119:H119))</f>
        <v>-76.005666577358014</v>
      </c>
      <c r="J119" s="171">
        <f>-MIN($N$95/$N$96,$N$95+SUM($H119:I119))</f>
        <v>-76.005666577358014</v>
      </c>
      <c r="K119" s="171">
        <f>-MIN($N$95/$N$96,$N$95+SUM($H119:J119))</f>
        <v>-76.005666577358014</v>
      </c>
      <c r="L119" s="171">
        <f>-MIN($N$95/$N$96,$N$95+SUM($H119:K119))</f>
        <v>-76.005666577358014</v>
      </c>
      <c r="M119" s="171">
        <f>-MIN($N$95/$N$96,$N$95+SUM($H119:L119))</f>
        <v>-76.005666577357999</v>
      </c>
      <c r="N119" s="171">
        <f>-MIN($N$95/$N$96,$N$95+SUM($H119:M119))</f>
        <v>0</v>
      </c>
      <c r="O119" s="171">
        <f>-MIN($N$95/$N$96,$N$95+SUM($H119:N119))</f>
        <v>0</v>
      </c>
      <c r="P119" s="171">
        <f>-MIN($N$95/$N$96,$N$95+SUM($H119:O119))</f>
        <v>0</v>
      </c>
      <c r="Q119" s="171">
        <f>-MIN($N$95/$N$96,$N$95+SUM($H119:P119))</f>
        <v>0</v>
      </c>
    </row>
    <row r="120" spans="3:17">
      <c r="C120" s="164" t="s">
        <v>334</v>
      </c>
      <c r="D120" s="290" t="s">
        <v>447</v>
      </c>
      <c r="E120" s="164"/>
      <c r="F120" s="164"/>
      <c r="G120" s="164"/>
      <c r="H120" s="202"/>
      <c r="I120" s="172">
        <f>-Synergy!B16*$M$10*$M$13</f>
        <v>-60</v>
      </c>
      <c r="J120" s="172">
        <f>-Synergy!C16*$M$10*$M$13</f>
        <v>-60</v>
      </c>
      <c r="K120" s="172">
        <f>-Synergy!D16*$M$10*$M$13</f>
        <v>-60</v>
      </c>
      <c r="L120" s="172">
        <f>-Synergy!E16*$M$10*$M$13</f>
        <v>-60</v>
      </c>
      <c r="M120" s="172">
        <f>-Synergy!F16*$M$10*$M$13</f>
        <v>-60</v>
      </c>
      <c r="N120" s="172">
        <f>-Synergy!G16*$M$10*$M$13</f>
        <v>0</v>
      </c>
      <c r="O120" s="172">
        <f>-Synergy!H16*$M$10*$M$13</f>
        <v>0</v>
      </c>
      <c r="P120" s="172">
        <f>-Synergy!I16*$M$10*$M$13</f>
        <v>0</v>
      </c>
      <c r="Q120" s="172">
        <f>-Synergy!J16*$M$10*$M$13</f>
        <v>0</v>
      </c>
    </row>
    <row r="121" spans="3:17" s="2" customFormat="1">
      <c r="C121" s="2" t="s">
        <v>340</v>
      </c>
      <c r="D121" s="125" t="s">
        <v>447</v>
      </c>
      <c r="H121" s="197"/>
      <c r="I121" s="41">
        <f>SUM(I114:I120)</f>
        <v>-5785.9812715363514</v>
      </c>
      <c r="J121" s="41">
        <f t="shared" ref="J121:Q121" si="41">SUM(J114:J120)</f>
        <v>-7005.3837264028307</v>
      </c>
      <c r="K121" s="41">
        <f t="shared" si="41"/>
        <v>-8287.0114752492846</v>
      </c>
      <c r="L121" s="41">
        <f t="shared" si="41"/>
        <v>-9718.0520576210183</v>
      </c>
      <c r="M121" s="41">
        <f t="shared" si="41"/>
        <v>-11189.581348720631</v>
      </c>
      <c r="N121" s="41">
        <f t="shared" si="41"/>
        <v>-12583.723238228993</v>
      </c>
      <c r="O121" s="41">
        <f t="shared" si="41"/>
        <v>-14160.500358183201</v>
      </c>
      <c r="P121" s="41">
        <f t="shared" si="41"/>
        <v>-15783.326256705413</v>
      </c>
      <c r="Q121" s="41">
        <f t="shared" si="41"/>
        <v>-17431.907500225534</v>
      </c>
    </row>
    <row r="122" spans="3:17">
      <c r="H122" s="198"/>
    </row>
    <row r="123" spans="3:17">
      <c r="C123" s="2" t="s">
        <v>193</v>
      </c>
      <c r="D123" s="125" t="s">
        <v>447</v>
      </c>
      <c r="E123" s="2"/>
      <c r="F123" s="2"/>
      <c r="G123" s="2"/>
      <c r="H123" s="197"/>
      <c r="I123" s="41">
        <f>I121+I111</f>
        <v>2309.9051941117841</v>
      </c>
      <c r="J123" s="41">
        <f t="shared" ref="J123:Q123" si="42">J121+J111</f>
        <v>2905.723863525548</v>
      </c>
      <c r="K123" s="41">
        <f t="shared" si="42"/>
        <v>3511.1239501762648</v>
      </c>
      <c r="L123" s="41">
        <f t="shared" si="42"/>
        <v>4107.4550190691989</v>
      </c>
      <c r="M123" s="41">
        <f t="shared" si="42"/>
        <v>4699.0253480026422</v>
      </c>
      <c r="N123" s="41">
        <f t="shared" si="42"/>
        <v>5439.5185475490453</v>
      </c>
      <c r="O123" s="41">
        <f t="shared" si="42"/>
        <v>6051.535821632262</v>
      </c>
      <c r="P123" s="41">
        <f t="shared" si="42"/>
        <v>6684.6446139594173</v>
      </c>
      <c r="Q123" s="41">
        <f t="shared" si="42"/>
        <v>7294.395376509663</v>
      </c>
    </row>
    <row r="124" spans="3:17">
      <c r="C124" s="173" t="s">
        <v>342</v>
      </c>
      <c r="D124" s="174" t="s">
        <v>447</v>
      </c>
      <c r="E124" s="175"/>
      <c r="F124" s="175"/>
      <c r="G124" s="175"/>
      <c r="H124" s="199"/>
      <c r="I124" s="275">
        <f>I71</f>
        <v>-74.981475582755408</v>
      </c>
      <c r="J124" s="275">
        <f t="shared" ref="J124:Q124" si="43">J71</f>
        <v>-71.572106610835291</v>
      </c>
      <c r="K124" s="275">
        <f t="shared" si="43"/>
        <v>-66.898745334857281</v>
      </c>
      <c r="L124" s="275">
        <f t="shared" si="43"/>
        <v>-60.556644697840959</v>
      </c>
      <c r="M124" s="275">
        <f t="shared" si="43"/>
        <v>-54.551995766007678</v>
      </c>
      <c r="N124" s="275">
        <f t="shared" si="43"/>
        <v>-51.524626991522702</v>
      </c>
      <c r="O124" s="275">
        <f t="shared" si="43"/>
        <v>-47.496274426927833</v>
      </c>
      <c r="P124" s="275">
        <f t="shared" si="43"/>
        <v>-44.050670958283462</v>
      </c>
      <c r="Q124" s="275">
        <f t="shared" si="43"/>
        <v>-40.236954811646974</v>
      </c>
    </row>
    <row r="125" spans="3:17">
      <c r="C125" s="165" t="s">
        <v>341</v>
      </c>
      <c r="D125" s="166" t="s">
        <v>447</v>
      </c>
      <c r="E125" s="165"/>
      <c r="F125" s="165"/>
      <c r="G125" s="165"/>
      <c r="H125" s="201"/>
      <c r="I125" s="276">
        <f>-MIN($N$79/10,$N$79+SUM($H125:H125))</f>
        <v>-2.3468380464086205</v>
      </c>
      <c r="J125" s="276">
        <f>-MIN($N$79/10,$N$79+SUM($H125:I125))</f>
        <v>-2.3468380464086205</v>
      </c>
      <c r="K125" s="276">
        <f>-MIN($N$79/10,$N$79+SUM($H125:J125))</f>
        <v>-2.3468380464086205</v>
      </c>
      <c r="L125" s="276">
        <f>-MIN($N$79/10,$N$79+SUM($H125:K125))</f>
        <v>-2.3468380464086205</v>
      </c>
      <c r="M125" s="276">
        <f>-MIN($N$79/10,$N$79+SUM($H125:L125))</f>
        <v>-2.3468380464086205</v>
      </c>
      <c r="N125" s="276">
        <f>-MIN($N$79/10,$N$79+SUM($H125:M125))</f>
        <v>-2.3468380464086205</v>
      </c>
      <c r="O125" s="276">
        <f>-MIN($N$79/10,$N$79+SUM($H125:N125))</f>
        <v>-2.3468380464086205</v>
      </c>
      <c r="P125" s="276">
        <f>-MIN($N$79/10,$N$79+SUM($H125:O125))</f>
        <v>-2.3468380464086205</v>
      </c>
      <c r="Q125" s="276">
        <f>-MIN($N$79/10,$N$79+SUM($H125:P125))</f>
        <v>-2.3468380464086205</v>
      </c>
    </row>
    <row r="126" spans="3:17">
      <c r="C126" s="164" t="s">
        <v>364</v>
      </c>
      <c r="D126" s="290" t="s">
        <v>447</v>
      </c>
      <c r="E126" s="164"/>
      <c r="F126" s="164"/>
      <c r="G126" s="164"/>
      <c r="H126" s="202"/>
      <c r="I126" s="172">
        <f t="shared" ref="I126:Q126" si="44">-($G$79+$G$76)*$M$18</f>
        <v>-4.4441592571253095</v>
      </c>
      <c r="J126" s="172">
        <f t="shared" si="44"/>
        <v>-4.4441592571253095</v>
      </c>
      <c r="K126" s="172">
        <f t="shared" si="44"/>
        <v>-4.4441592571253095</v>
      </c>
      <c r="L126" s="172">
        <f t="shared" si="44"/>
        <v>-4.4441592571253095</v>
      </c>
      <c r="M126" s="172">
        <f t="shared" si="44"/>
        <v>-4.4441592571253095</v>
      </c>
      <c r="N126" s="172">
        <f t="shared" si="44"/>
        <v>-4.4441592571253095</v>
      </c>
      <c r="O126" s="172">
        <f t="shared" si="44"/>
        <v>-4.4441592571253095</v>
      </c>
      <c r="P126" s="172">
        <f t="shared" si="44"/>
        <v>-4.4441592571253095</v>
      </c>
      <c r="Q126" s="172">
        <f t="shared" si="44"/>
        <v>-4.4441592571253095</v>
      </c>
    </row>
    <row r="127" spans="3:17">
      <c r="C127" s="177" t="s">
        <v>343</v>
      </c>
      <c r="D127" s="291" t="s">
        <v>447</v>
      </c>
      <c r="E127" s="178"/>
      <c r="F127" s="178"/>
      <c r="G127" s="178"/>
      <c r="H127" s="206"/>
      <c r="I127" s="179">
        <f>LULU_Financial!K122+Aritzia_Financial!I163</f>
        <v>200.1609333333333</v>
      </c>
      <c r="J127" s="179">
        <f>LULU_Financial!L122+Aritzia_Financial!J163</f>
        <v>199.61012777777776</v>
      </c>
      <c r="K127" s="179">
        <f>LULU_Financial!M122+Aritzia_Financial!K163</f>
        <v>199.56772037037035</v>
      </c>
      <c r="L127" s="179">
        <f>LULU_Financial!N122+Aritzia_Financial!L163</f>
        <v>199.77959382716048</v>
      </c>
      <c r="M127" s="179">
        <f>LULU_Financial!O122+Aritzia_Financial!M163</f>
        <v>199.65248065843619</v>
      </c>
      <c r="N127" s="179">
        <f>LULU_Financial!P122+Aritzia_Financial!N163</f>
        <v>199.66659828532235</v>
      </c>
      <c r="O127" s="179">
        <f>LULU_Financial!Q122+Aritzia_Financial!O163</f>
        <v>199.69955759030634</v>
      </c>
      <c r="P127" s="179">
        <f>LULU_Financial!R122+Aritzia_Financial!P163</f>
        <v>199.67287884468828</v>
      </c>
      <c r="Q127" s="179">
        <f>LULU_Financial!S122+Aritzia_Financial!Q163</f>
        <v>199.67967824010566</v>
      </c>
    </row>
    <row r="128" spans="3:17" s="2" customFormat="1">
      <c r="C128" s="2" t="s">
        <v>344</v>
      </c>
      <c r="D128" s="125" t="s">
        <v>447</v>
      </c>
      <c r="H128" s="197"/>
      <c r="I128" s="41">
        <f>SUM(I123:I127)</f>
        <v>2428.2936545588277</v>
      </c>
      <c r="J128" s="41">
        <f t="shared" ref="J128:Q128" si="45">SUM(J123:J127)</f>
        <v>3026.9708873889567</v>
      </c>
      <c r="K128" s="41">
        <f t="shared" si="45"/>
        <v>3637.0019279082439</v>
      </c>
      <c r="L128" s="41">
        <f t="shared" si="45"/>
        <v>4239.8869708949842</v>
      </c>
      <c r="M128" s="41">
        <f t="shared" si="45"/>
        <v>4837.3348355915368</v>
      </c>
      <c r="N128" s="41">
        <f t="shared" si="45"/>
        <v>5580.8695215393109</v>
      </c>
      <c r="O128" s="41">
        <f t="shared" si="45"/>
        <v>6196.9481074921068</v>
      </c>
      <c r="P128" s="41">
        <f t="shared" si="45"/>
        <v>6833.4758245422881</v>
      </c>
      <c r="Q128" s="41">
        <f t="shared" si="45"/>
        <v>7447.0471026345876</v>
      </c>
    </row>
    <row r="129" spans="2:17">
      <c r="C129" s="12" t="s">
        <v>345</v>
      </c>
      <c r="D129" s="289" t="s">
        <v>447</v>
      </c>
      <c r="E129" s="10"/>
      <c r="F129" s="10"/>
      <c r="G129" s="10"/>
      <c r="H129" s="204"/>
      <c r="I129" s="39">
        <f t="shared" ref="I129:Q129" si="46">-I128*LULU_TAX_RATE</f>
        <v>-870.62399499330706</v>
      </c>
      <c r="J129" s="39">
        <f t="shared" si="46"/>
        <v>-1085.2696838207569</v>
      </c>
      <c r="K129" s="39">
        <f t="shared" si="46"/>
        <v>-1303.9860901210145</v>
      </c>
      <c r="L129" s="39">
        <f t="shared" si="46"/>
        <v>-1520.1404187630289</v>
      </c>
      <c r="M129" s="39">
        <f t="shared" si="46"/>
        <v>-1734.3453382486975</v>
      </c>
      <c r="N129" s="39">
        <f t="shared" si="46"/>
        <v>-2000.9272392805781</v>
      </c>
      <c r="O129" s="39">
        <f t="shared" si="46"/>
        <v>-2221.8118916475087</v>
      </c>
      <c r="P129" s="39">
        <f t="shared" si="46"/>
        <v>-2450.0282372702054</v>
      </c>
      <c r="Q129" s="39">
        <f t="shared" si="46"/>
        <v>-2670.013936422773</v>
      </c>
    </row>
    <row r="130" spans="2:17" s="2" customFormat="1">
      <c r="C130" s="2" t="s">
        <v>18</v>
      </c>
      <c r="D130" s="125" t="s">
        <v>447</v>
      </c>
      <c r="H130" s="197"/>
      <c r="I130" s="3">
        <f>I129+I128</f>
        <v>1557.6696595655208</v>
      </c>
      <c r="J130" s="3">
        <f t="shared" ref="J130:Q130" si="47">J129+J128</f>
        <v>1941.7012035681998</v>
      </c>
      <c r="K130" s="3">
        <f t="shared" si="47"/>
        <v>2333.0158377872294</v>
      </c>
      <c r="L130" s="3">
        <f t="shared" si="47"/>
        <v>2719.7465521319555</v>
      </c>
      <c r="M130" s="3">
        <f t="shared" si="47"/>
        <v>3102.9894973428391</v>
      </c>
      <c r="N130" s="3">
        <f t="shared" si="47"/>
        <v>3579.942282258733</v>
      </c>
      <c r="O130" s="3">
        <f t="shared" si="47"/>
        <v>3975.1362158445982</v>
      </c>
      <c r="P130" s="3">
        <f t="shared" si="47"/>
        <v>4383.4475872720832</v>
      </c>
      <c r="Q130" s="3">
        <f t="shared" si="47"/>
        <v>4777.0331662118151</v>
      </c>
    </row>
    <row r="131" spans="2:17">
      <c r="H131" s="198"/>
    </row>
    <row r="132" spans="2:17" s="2" customFormat="1">
      <c r="C132" s="2" t="s">
        <v>367</v>
      </c>
      <c r="D132" s="125" t="s">
        <v>449</v>
      </c>
      <c r="H132" s="197"/>
      <c r="I132" s="189">
        <f t="shared" ref="I132:Q132" si="48">$D$12</f>
        <v>128.017</v>
      </c>
      <c r="J132" s="189">
        <f t="shared" si="48"/>
        <v>128.017</v>
      </c>
      <c r="K132" s="189">
        <f t="shared" si="48"/>
        <v>128.017</v>
      </c>
      <c r="L132" s="189">
        <f t="shared" si="48"/>
        <v>128.017</v>
      </c>
      <c r="M132" s="189">
        <f t="shared" si="48"/>
        <v>128.017</v>
      </c>
      <c r="N132" s="189">
        <f t="shared" si="48"/>
        <v>128.017</v>
      </c>
      <c r="O132" s="189">
        <f t="shared" si="48"/>
        <v>128.017</v>
      </c>
      <c r="P132" s="189">
        <f t="shared" si="48"/>
        <v>128.017</v>
      </c>
      <c r="Q132" s="189">
        <f t="shared" si="48"/>
        <v>128.017</v>
      </c>
    </row>
    <row r="133" spans="2:17">
      <c r="C133" s="160" t="s">
        <v>368</v>
      </c>
      <c r="D133" s="161" t="s">
        <v>449</v>
      </c>
      <c r="E133" s="162"/>
      <c r="F133" s="162"/>
      <c r="G133" s="162"/>
      <c r="H133" s="205"/>
      <c r="I133" s="163">
        <f>$K$21</f>
        <v>1.1703954937071677</v>
      </c>
      <c r="J133" s="163">
        <f t="shared" ref="J133:Q133" si="49">$K$21</f>
        <v>1.1703954937071677</v>
      </c>
      <c r="K133" s="163">
        <f t="shared" si="49"/>
        <v>1.1703954937071677</v>
      </c>
      <c r="L133" s="163">
        <f t="shared" si="49"/>
        <v>1.1703954937071677</v>
      </c>
      <c r="M133" s="163">
        <f t="shared" si="49"/>
        <v>1.1703954937071677</v>
      </c>
      <c r="N133" s="163">
        <f t="shared" si="49"/>
        <v>1.1703954937071677</v>
      </c>
      <c r="O133" s="163">
        <f t="shared" si="49"/>
        <v>1.1703954937071677</v>
      </c>
      <c r="P133" s="163">
        <f t="shared" si="49"/>
        <v>1.1703954937071677</v>
      </c>
      <c r="Q133" s="163">
        <f t="shared" si="49"/>
        <v>1.1703954937071677</v>
      </c>
    </row>
    <row r="134" spans="2:17" s="2" customFormat="1">
      <c r="C134" s="2" t="s">
        <v>369</v>
      </c>
      <c r="D134" s="125" t="s">
        <v>449</v>
      </c>
      <c r="H134" s="197"/>
      <c r="I134" s="41">
        <f>I133+I132</f>
        <v>129.18739549370716</v>
      </c>
      <c r="J134" s="41">
        <f t="shared" ref="J134:Q134" si="50">J133+J132</f>
        <v>129.18739549370716</v>
      </c>
      <c r="K134" s="41">
        <f t="shared" si="50"/>
        <v>129.18739549370716</v>
      </c>
      <c r="L134" s="41">
        <f t="shared" si="50"/>
        <v>129.18739549370716</v>
      </c>
      <c r="M134" s="41">
        <f t="shared" si="50"/>
        <v>129.18739549370716</v>
      </c>
      <c r="N134" s="41">
        <f t="shared" si="50"/>
        <v>129.18739549370716</v>
      </c>
      <c r="O134" s="41">
        <f t="shared" si="50"/>
        <v>129.18739549370716</v>
      </c>
      <c r="P134" s="41">
        <f t="shared" si="50"/>
        <v>129.18739549370716</v>
      </c>
      <c r="Q134" s="41">
        <f t="shared" si="50"/>
        <v>129.18739549370716</v>
      </c>
    </row>
    <row r="135" spans="2:17">
      <c r="H135" s="198"/>
    </row>
    <row r="136" spans="2:17" s="2" customFormat="1">
      <c r="C136" s="2" t="s">
        <v>370</v>
      </c>
      <c r="D136" s="125" t="s">
        <v>448</v>
      </c>
      <c r="H136" s="197"/>
      <c r="I136" s="41">
        <f>LULU_Financial!K125</f>
        <v>1468.7094974767547</v>
      </c>
      <c r="J136" s="41">
        <f>LULU_Financial!L125</f>
        <v>1756.5586835796876</v>
      </c>
      <c r="K136" s="41">
        <f>LULU_Financial!M125</f>
        <v>2079.247356771557</v>
      </c>
      <c r="L136" s="41">
        <f>LULU_Financial!N125</f>
        <v>2414.5635441674799</v>
      </c>
      <c r="M136" s="41">
        <f>LULU_Financial!O125</f>
        <v>2739.5915406434879</v>
      </c>
      <c r="N136" s="41">
        <f>LULU_Financial!P125</f>
        <v>3073.0898169877928</v>
      </c>
      <c r="O136" s="41">
        <f>LULU_Financial!Q125</f>
        <v>3413.9824096582033</v>
      </c>
      <c r="P136" s="41">
        <f>LULU_Financial!R125</f>
        <v>3763.3803285391814</v>
      </c>
      <c r="Q136" s="41">
        <f>LULU_Financial!S125</f>
        <v>4116.4138331097529</v>
      </c>
    </row>
    <row r="137" spans="2:17">
      <c r="C137" s="1" t="s">
        <v>372</v>
      </c>
      <c r="D137" s="125" t="s">
        <v>448</v>
      </c>
      <c r="H137" s="198"/>
      <c r="I137" s="18">
        <f>I136/I132</f>
        <v>11.472769221874866</v>
      </c>
      <c r="J137" s="18">
        <f t="shared" ref="J137:Q137" si="51">J136/J132</f>
        <v>13.721292356325234</v>
      </c>
      <c r="K137" s="18">
        <f t="shared" si="51"/>
        <v>16.241962839088224</v>
      </c>
      <c r="L137" s="18">
        <f t="shared" si="51"/>
        <v>18.861272676031152</v>
      </c>
      <c r="M137" s="18">
        <f t="shared" si="51"/>
        <v>21.400216694997447</v>
      </c>
      <c r="N137" s="18">
        <f t="shared" si="51"/>
        <v>24.005325987859369</v>
      </c>
      <c r="O137" s="18">
        <f t="shared" si="51"/>
        <v>26.668195705712549</v>
      </c>
      <c r="P137" s="18">
        <f t="shared" si="51"/>
        <v>29.397504460651174</v>
      </c>
      <c r="Q137" s="18">
        <f t="shared" si="51"/>
        <v>32.155212457015502</v>
      </c>
    </row>
    <row r="138" spans="2:17" s="2" customFormat="1">
      <c r="D138" s="125"/>
      <c r="H138" s="197"/>
      <c r="I138" s="41"/>
      <c r="J138" s="41"/>
      <c r="K138" s="41"/>
      <c r="L138" s="41"/>
      <c r="M138" s="41"/>
      <c r="N138" s="41"/>
      <c r="O138" s="41"/>
      <c r="P138" s="41"/>
      <c r="Q138" s="41"/>
    </row>
    <row r="139" spans="2:17" s="2" customFormat="1">
      <c r="C139" s="2" t="s">
        <v>374</v>
      </c>
      <c r="D139" s="125" t="s">
        <v>448</v>
      </c>
      <c r="H139" s="197"/>
      <c r="I139" s="41">
        <f>I130/I134</f>
        <v>12.057443016113723</v>
      </c>
      <c r="J139" s="41">
        <f t="shared" ref="J139:Q139" si="52">J130/J134</f>
        <v>15.03011339572042</v>
      </c>
      <c r="K139" s="41">
        <f t="shared" si="52"/>
        <v>18.059159942587996</v>
      </c>
      <c r="L139" s="41">
        <f t="shared" si="52"/>
        <v>21.05272377183606</v>
      </c>
      <c r="M139" s="41">
        <f t="shared" si="52"/>
        <v>24.019289850099877</v>
      </c>
      <c r="N139" s="41">
        <f t="shared" si="52"/>
        <v>27.711235051821411</v>
      </c>
      <c r="O139" s="41">
        <f t="shared" si="52"/>
        <v>30.770310065104074</v>
      </c>
      <c r="P139" s="41">
        <f t="shared" si="52"/>
        <v>33.930923140915901</v>
      </c>
      <c r="Q139" s="41">
        <f t="shared" si="52"/>
        <v>36.977548374249167</v>
      </c>
    </row>
    <row r="140" spans="2:17">
      <c r="C140" s="1" t="s">
        <v>371</v>
      </c>
      <c r="D140" s="125" t="s">
        <v>74</v>
      </c>
      <c r="H140" s="198"/>
      <c r="I140" s="18">
        <f>I139-I137</f>
        <v>0.58467379423885646</v>
      </c>
      <c r="J140" s="18">
        <f t="shared" ref="J140:Q140" si="53">J139-J137</f>
        <v>1.3088210393951858</v>
      </c>
      <c r="K140" s="18">
        <f t="shared" si="53"/>
        <v>1.8171971034997725</v>
      </c>
      <c r="L140" s="18">
        <f t="shared" si="53"/>
        <v>2.1914510958049078</v>
      </c>
      <c r="M140" s="18">
        <f t="shared" si="53"/>
        <v>2.6190731551024307</v>
      </c>
      <c r="N140" s="18">
        <f t="shared" si="53"/>
        <v>3.7059090639620429</v>
      </c>
      <c r="O140" s="18">
        <f t="shared" si="53"/>
        <v>4.1021143593915248</v>
      </c>
      <c r="P140" s="18">
        <f t="shared" si="53"/>
        <v>4.5334186802647274</v>
      </c>
      <c r="Q140" s="18">
        <f t="shared" si="53"/>
        <v>4.8223359172336657</v>
      </c>
    </row>
    <row r="141" spans="2:17">
      <c r="C141" s="1" t="s">
        <v>373</v>
      </c>
      <c r="D141" s="125" t="s">
        <v>74</v>
      </c>
      <c r="H141" s="198"/>
      <c r="I141" s="57">
        <f>I140/I137</f>
        <v>5.096187179674741E-2</v>
      </c>
      <c r="J141" s="57">
        <f t="shared" ref="J141:Q141" si="54">J140/J137</f>
        <v>9.5386134586065152E-2</v>
      </c>
      <c r="K141" s="57">
        <f t="shared" si="54"/>
        <v>0.1118828507061025</v>
      </c>
      <c r="L141" s="57">
        <f t="shared" si="54"/>
        <v>0.1161878698986096</v>
      </c>
      <c r="M141" s="57">
        <f t="shared" si="54"/>
        <v>0.12238535676672237</v>
      </c>
      <c r="N141" s="57">
        <f t="shared" si="54"/>
        <v>0.15437861855474477</v>
      </c>
      <c r="O141" s="57">
        <f t="shared" si="54"/>
        <v>0.15382046857083839</v>
      </c>
      <c r="P141" s="57">
        <f t="shared" si="54"/>
        <v>0.1542110040780077</v>
      </c>
      <c r="Q141" s="57">
        <f t="shared" si="54"/>
        <v>0.1499705817114434</v>
      </c>
    </row>
    <row r="142" spans="2:17">
      <c r="H142" s="198"/>
    </row>
    <row r="143" spans="2:17">
      <c r="B143" s="33" t="s">
        <v>305</v>
      </c>
      <c r="C143" s="32"/>
      <c r="D143" s="31"/>
      <c r="E143" s="30" t="s">
        <v>23</v>
      </c>
      <c r="F143" s="30"/>
      <c r="G143" s="29"/>
      <c r="H143" s="207" t="s">
        <v>22</v>
      </c>
      <c r="I143" s="30"/>
      <c r="J143" s="30"/>
      <c r="K143" s="30"/>
      <c r="L143" s="30"/>
      <c r="M143" s="30"/>
      <c r="N143" s="30"/>
      <c r="O143" s="30"/>
      <c r="P143" s="30"/>
      <c r="Q143" s="29"/>
    </row>
    <row r="144" spans="2:17">
      <c r="B144" s="28" t="s">
        <v>375</v>
      </c>
      <c r="C144" s="27"/>
      <c r="D144" s="26" t="s">
        <v>20</v>
      </c>
      <c r="E144" s="24">
        <f>DATE(2020,12,31)</f>
        <v>44196</v>
      </c>
      <c r="F144" s="24">
        <f t="shared" ref="F144:Q144" si="55">EDATE(E144,12)</f>
        <v>44561</v>
      </c>
      <c r="G144" s="25">
        <f t="shared" si="55"/>
        <v>44926</v>
      </c>
      <c r="H144" s="195">
        <f t="shared" si="55"/>
        <v>45291</v>
      </c>
      <c r="I144" s="24">
        <f t="shared" si="55"/>
        <v>45657</v>
      </c>
      <c r="J144" s="24">
        <f t="shared" si="55"/>
        <v>46022</v>
      </c>
      <c r="K144" s="24">
        <f t="shared" si="55"/>
        <v>46387</v>
      </c>
      <c r="L144" s="24">
        <f t="shared" si="55"/>
        <v>46752</v>
      </c>
      <c r="M144" s="24">
        <f t="shared" si="55"/>
        <v>47118</v>
      </c>
      <c r="N144" s="24">
        <f t="shared" si="55"/>
        <v>47483</v>
      </c>
      <c r="O144" s="24">
        <f t="shared" si="55"/>
        <v>47848</v>
      </c>
      <c r="P144" s="24">
        <f t="shared" si="55"/>
        <v>48213</v>
      </c>
      <c r="Q144" s="24">
        <f t="shared" si="55"/>
        <v>48579</v>
      </c>
    </row>
    <row r="145" spans="2:17">
      <c r="B145" s="194" t="s">
        <v>380</v>
      </c>
      <c r="C145" s="191"/>
      <c r="D145" s="284"/>
      <c r="E145" s="192"/>
      <c r="F145" s="192"/>
      <c r="G145" s="193"/>
      <c r="H145" s="196"/>
      <c r="I145" s="192"/>
      <c r="J145" s="192"/>
      <c r="K145" s="192"/>
      <c r="L145" s="192"/>
      <c r="M145" s="192"/>
      <c r="N145" s="192"/>
      <c r="O145" s="192"/>
      <c r="P145" s="192"/>
      <c r="Q145" s="192"/>
    </row>
    <row r="146" spans="2:17" s="2" customFormat="1">
      <c r="C146" s="2" t="s">
        <v>18</v>
      </c>
      <c r="D146" s="125" t="s">
        <v>447</v>
      </c>
      <c r="H146" s="197"/>
      <c r="I146" s="23">
        <f>I130</f>
        <v>1557.6696595655208</v>
      </c>
      <c r="J146" s="23">
        <f t="shared" ref="J146:Q146" si="56">J130</f>
        <v>1941.7012035681998</v>
      </c>
      <c r="K146" s="23">
        <f t="shared" si="56"/>
        <v>2333.0158377872294</v>
      </c>
      <c r="L146" s="23">
        <f t="shared" si="56"/>
        <v>2719.7465521319555</v>
      </c>
      <c r="M146" s="23">
        <f t="shared" si="56"/>
        <v>3102.9894973428391</v>
      </c>
      <c r="N146" s="23">
        <f t="shared" si="56"/>
        <v>3579.942282258733</v>
      </c>
      <c r="O146" s="23">
        <f t="shared" si="56"/>
        <v>3975.1362158445982</v>
      </c>
      <c r="P146" s="23">
        <f t="shared" si="56"/>
        <v>4383.4475872720832</v>
      </c>
      <c r="Q146" s="23">
        <f t="shared" si="56"/>
        <v>4777.0331662118151</v>
      </c>
    </row>
    <row r="147" spans="2:17" s="2" customFormat="1">
      <c r="C147" s="2" t="s">
        <v>17</v>
      </c>
      <c r="D147" s="125"/>
      <c r="H147" s="197"/>
    </row>
    <row r="148" spans="2:17">
      <c r="C148" s="7" t="s">
        <v>376</v>
      </c>
      <c r="D148" s="125" t="s">
        <v>447</v>
      </c>
      <c r="H148" s="198"/>
      <c r="I148" s="18">
        <f>LULU_Financial!K174+Aritzia_Financial!I215</f>
        <v>418.09230028485541</v>
      </c>
      <c r="J148" s="18">
        <f>LULU_Financial!L174+Aritzia_Financial!J215</f>
        <v>428.83883219466708</v>
      </c>
      <c r="K148" s="18">
        <f>LULU_Financial!M174+Aritzia_Financial!K215</f>
        <v>420.09873648059079</v>
      </c>
      <c r="L148" s="18">
        <f>LULU_Financial!N174+Aritzia_Financial!L215</f>
        <v>384.19965226280135</v>
      </c>
      <c r="M148" s="18">
        <f>LULU_Financial!O174+Aritzia_Financial!M215</f>
        <v>429.11006237632529</v>
      </c>
      <c r="N148" s="18">
        <f>LULU_Financial!P174+Aritzia_Financial!N215</f>
        <v>484.18562613612198</v>
      </c>
      <c r="O148" s="18">
        <f>LULU_Financial!Q174+Aritzia_Financial!O215</f>
        <v>540.362779298296</v>
      </c>
      <c r="P148" s="18">
        <f>LULU_Financial!R174+Aritzia_Financial!P215</f>
        <v>598.085101647226</v>
      </c>
      <c r="Q148" s="18">
        <f>LULU_Financial!S174+Aritzia_Financial!Q215</f>
        <v>658.02042006646082</v>
      </c>
    </row>
    <row r="149" spans="2:17">
      <c r="C149" s="7" t="s">
        <v>377</v>
      </c>
      <c r="D149" s="125" t="s">
        <v>447</v>
      </c>
      <c r="H149" s="198"/>
      <c r="I149" s="18">
        <f>LULU_Financial!K175</f>
        <v>0</v>
      </c>
      <c r="J149" s="18">
        <f>LULU_Financial!K175</f>
        <v>0</v>
      </c>
      <c r="K149" s="18">
        <f>LULU_Financial!L175</f>
        <v>0</v>
      </c>
      <c r="L149" s="18">
        <f>LULU_Financial!M175</f>
        <v>0</v>
      </c>
      <c r="M149" s="18">
        <f>LULU_Financial!N175</f>
        <v>0</v>
      </c>
      <c r="N149" s="18">
        <f>LULU_Financial!O175</f>
        <v>0</v>
      </c>
      <c r="O149" s="18">
        <f>LULU_Financial!P175</f>
        <v>0</v>
      </c>
      <c r="P149" s="18">
        <f>LULU_Financial!Q175</f>
        <v>0</v>
      </c>
      <c r="Q149" s="18">
        <f>LULU_Financial!R175</f>
        <v>0</v>
      </c>
    </row>
    <row r="150" spans="2:17">
      <c r="C150" s="7" t="s">
        <v>378</v>
      </c>
      <c r="D150" s="125" t="s">
        <v>447</v>
      </c>
      <c r="H150" s="198"/>
      <c r="I150" s="18">
        <f>LULU_Financial!K176</f>
        <v>0</v>
      </c>
      <c r="J150" s="18">
        <f>LULU_Financial!K176</f>
        <v>0</v>
      </c>
      <c r="K150" s="18">
        <f>LULU_Financial!L176</f>
        <v>0</v>
      </c>
      <c r="L150" s="18">
        <f>LULU_Financial!M176</f>
        <v>0</v>
      </c>
      <c r="M150" s="18">
        <f>LULU_Financial!N176</f>
        <v>0</v>
      </c>
      <c r="N150" s="18">
        <f>LULU_Financial!O176</f>
        <v>0</v>
      </c>
      <c r="O150" s="18">
        <f>LULU_Financial!P176</f>
        <v>0</v>
      </c>
      <c r="P150" s="18">
        <f>LULU_Financial!Q176</f>
        <v>0</v>
      </c>
      <c r="Q150" s="18">
        <f>LULU_Financial!R176</f>
        <v>0</v>
      </c>
    </row>
    <row r="151" spans="2:17">
      <c r="C151" s="7" t="s">
        <v>379</v>
      </c>
      <c r="D151" s="125" t="s">
        <v>447</v>
      </c>
      <c r="H151" s="198"/>
      <c r="I151" s="18">
        <f>LULU_Financial!K177+Aritzia_Financial!I216</f>
        <v>0</v>
      </c>
      <c r="J151" s="18">
        <f>LULU_Financial!L177+Aritzia_Financial!J216</f>
        <v>0</v>
      </c>
      <c r="K151" s="18">
        <f>LULU_Financial!M177+Aritzia_Financial!K216</f>
        <v>0</v>
      </c>
      <c r="L151" s="18">
        <f>LULU_Financial!N177+Aritzia_Financial!L216</f>
        <v>0</v>
      </c>
      <c r="M151" s="18">
        <f>LULU_Financial!O177+Aritzia_Financial!M216</f>
        <v>0</v>
      </c>
      <c r="N151" s="18">
        <f>LULU_Financial!P177+Aritzia_Financial!N216</f>
        <v>0</v>
      </c>
      <c r="O151" s="18">
        <f>LULU_Financial!Q177+Aritzia_Financial!O216</f>
        <v>0</v>
      </c>
      <c r="P151" s="18">
        <f>LULU_Financial!R177+Aritzia_Financial!P216</f>
        <v>0</v>
      </c>
      <c r="Q151" s="18">
        <f>LULU_Financial!S177+Aritzia_Financial!Q216</f>
        <v>0</v>
      </c>
    </row>
    <row r="152" spans="2:17">
      <c r="C152" s="7" t="s">
        <v>4</v>
      </c>
      <c r="D152" s="125" t="s">
        <v>447</v>
      </c>
      <c r="H152" s="198"/>
      <c r="I152" s="18">
        <f>LULU_Financial!K178+Aritzia_Financial!I218</f>
        <v>-33.699138888888889</v>
      </c>
      <c r="J152" s="18">
        <f>LULU_Financial!L178+Aritzia_Financial!J218</f>
        <v>-41.415101851851851</v>
      </c>
      <c r="K152" s="18">
        <f>LULU_Financial!M178+Aritzia_Financial!K218</f>
        <v>-34.581635802469137</v>
      </c>
      <c r="L152" s="18">
        <f>LULU_Financial!N178+Aritzia_Financial!L218</f>
        <v>-36.565292181069964</v>
      </c>
      <c r="M152" s="18">
        <f>LULU_Financial!O178+Aritzia_Financial!M218</f>
        <v>-37.520676611796986</v>
      </c>
      <c r="N152" s="18">
        <f>LULU_Financial!P178+Aritzia_Financial!N218</f>
        <v>-36.222534865112031</v>
      </c>
      <c r="O152" s="18">
        <f>LULU_Financial!Q178+Aritzia_Financial!O218</f>
        <v>-36.769501219326322</v>
      </c>
      <c r="P152" s="18">
        <f>LULU_Financial!R178+Aritzia_Financial!P218</f>
        <v>-36.837570898745113</v>
      </c>
      <c r="Q152" s="18">
        <f>LULU_Financial!S178+Aritzia_Financial!Q218</f>
        <v>-36.609868994394489</v>
      </c>
    </row>
    <row r="153" spans="2:17">
      <c r="C153" s="7" t="s">
        <v>218</v>
      </c>
      <c r="D153" s="125" t="s">
        <v>447</v>
      </c>
      <c r="H153" s="198"/>
      <c r="I153" s="18">
        <f>LULU_Financial!K179+Aritzia_Financial!I217</f>
        <v>-0.94690544126846676</v>
      </c>
      <c r="J153" s="18">
        <f>LULU_Financial!L179+Aritzia_Financial!J217</f>
        <v>-1.1113869537255949</v>
      </c>
      <c r="K153" s="18">
        <f>LULU_Financial!M179+Aritzia_Financial!K217</f>
        <v>-2.5717392003630835</v>
      </c>
      <c r="L153" s="18">
        <f>LULU_Financial!N179+Aritzia_Financial!L217</f>
        <v>-2.2126122347630535</v>
      </c>
      <c r="M153" s="18">
        <f>LULU_Financial!O179+Aritzia_Financial!M217</f>
        <v>-1.7042906233992001</v>
      </c>
      <c r="N153" s="18">
        <f>LULU_Financial!P179+Aritzia_Financial!N217</f>
        <v>-1.3505483453552953</v>
      </c>
      <c r="O153" s="18">
        <f>LULU_Financial!Q179+Aritzia_Financial!O217</f>
        <v>-0.92943219868074145</v>
      </c>
      <c r="P153" s="18">
        <f>LULU_Financial!R179+Aritzia_Financial!P217</f>
        <v>0.15487610468133539</v>
      </c>
      <c r="Q153" s="18">
        <f>LULU_Financial!S179+Aritzia_Financial!Q217</f>
        <v>-0.10537941576616916</v>
      </c>
    </row>
    <row r="154" spans="2:17">
      <c r="C154" s="173" t="s">
        <v>382</v>
      </c>
      <c r="D154" s="174" t="s">
        <v>447</v>
      </c>
      <c r="E154" s="175"/>
      <c r="F154" s="175"/>
      <c r="G154" s="175"/>
      <c r="H154" s="199"/>
      <c r="I154" s="176">
        <f>-I118</f>
        <v>5.7302601726279514</v>
      </c>
      <c r="J154" s="176">
        <f t="shared" ref="J154:Q154" si="57">-J118</f>
        <v>5.7302601726279514</v>
      </c>
      <c r="K154" s="176">
        <f t="shared" si="57"/>
        <v>5.7302601726279514</v>
      </c>
      <c r="L154" s="176">
        <f t="shared" si="57"/>
        <v>5.7302601726279514</v>
      </c>
      <c r="M154" s="176">
        <f t="shared" si="57"/>
        <v>5.7302601726279514</v>
      </c>
      <c r="N154" s="176">
        <f t="shared" si="57"/>
        <v>5.7302601726279514</v>
      </c>
      <c r="O154" s="176">
        <f t="shared" si="57"/>
        <v>5.7302601726279514</v>
      </c>
      <c r="P154" s="176">
        <f t="shared" si="57"/>
        <v>5.7302601726279505</v>
      </c>
      <c r="Q154" s="176">
        <f t="shared" si="57"/>
        <v>0</v>
      </c>
    </row>
    <row r="155" spans="2:17">
      <c r="C155" s="165" t="s">
        <v>383</v>
      </c>
      <c r="D155" s="166" t="s">
        <v>447</v>
      </c>
      <c r="E155" s="167"/>
      <c r="F155" s="167"/>
      <c r="G155" s="167"/>
      <c r="H155" s="200"/>
      <c r="I155" s="168">
        <f>-I119</f>
        <v>76.005666577358014</v>
      </c>
      <c r="J155" s="168">
        <f t="shared" ref="J155:Q155" si="58">-J119</f>
        <v>76.005666577358014</v>
      </c>
      <c r="K155" s="168">
        <f t="shared" si="58"/>
        <v>76.005666577358014</v>
      </c>
      <c r="L155" s="168">
        <f t="shared" si="58"/>
        <v>76.005666577358014</v>
      </c>
      <c r="M155" s="168">
        <f t="shared" si="58"/>
        <v>76.005666577357999</v>
      </c>
      <c r="N155" s="168">
        <f t="shared" si="58"/>
        <v>0</v>
      </c>
      <c r="O155" s="168">
        <f t="shared" si="58"/>
        <v>0</v>
      </c>
      <c r="P155" s="168">
        <f t="shared" si="58"/>
        <v>0</v>
      </c>
      <c r="Q155" s="168">
        <f t="shared" si="58"/>
        <v>0</v>
      </c>
    </row>
    <row r="156" spans="2:17">
      <c r="C156" s="165" t="s">
        <v>384</v>
      </c>
      <c r="D156" s="166" t="s">
        <v>447</v>
      </c>
      <c r="E156" s="167"/>
      <c r="F156" s="167"/>
      <c r="G156" s="167"/>
      <c r="H156" s="200"/>
      <c r="I156" s="277">
        <f>-I69</f>
        <v>2.9335475580107748</v>
      </c>
      <c r="J156" s="277">
        <f t="shared" ref="J156:Q156" si="59">-J69</f>
        <v>2.9775507713809368</v>
      </c>
      <c r="K156" s="277">
        <f t="shared" si="59"/>
        <v>2.7879702604444905</v>
      </c>
      <c r="L156" s="277">
        <f t="shared" si="59"/>
        <v>2.593650236734633</v>
      </c>
      <c r="M156" s="277">
        <f t="shared" si="59"/>
        <v>2.3944722124320292</v>
      </c>
      <c r="N156" s="277">
        <f t="shared" si="59"/>
        <v>2.1903147375218603</v>
      </c>
      <c r="O156" s="277">
        <f t="shared" si="59"/>
        <v>1.9810533257389371</v>
      </c>
      <c r="P156" s="277">
        <f t="shared" si="59"/>
        <v>1.766560378661441</v>
      </c>
      <c r="Q156" s="277">
        <f t="shared" si="59"/>
        <v>1.5467051079070071</v>
      </c>
    </row>
    <row r="157" spans="2:17">
      <c r="C157" s="165" t="s">
        <v>385</v>
      </c>
      <c r="D157" s="166" t="s">
        <v>447</v>
      </c>
      <c r="E157" s="165"/>
      <c r="F157" s="165"/>
      <c r="G157" s="165"/>
      <c r="H157" s="201"/>
      <c r="I157" s="276">
        <f>-I125</f>
        <v>2.3468380464086205</v>
      </c>
      <c r="J157" s="276">
        <f t="shared" ref="J157:Q157" si="60">-J125</f>
        <v>2.3468380464086205</v>
      </c>
      <c r="K157" s="276">
        <f t="shared" si="60"/>
        <v>2.3468380464086205</v>
      </c>
      <c r="L157" s="276">
        <f t="shared" si="60"/>
        <v>2.3468380464086205</v>
      </c>
      <c r="M157" s="276">
        <f t="shared" si="60"/>
        <v>2.3468380464086205</v>
      </c>
      <c r="N157" s="276">
        <f t="shared" si="60"/>
        <v>2.3468380464086205</v>
      </c>
      <c r="O157" s="276">
        <f t="shared" si="60"/>
        <v>2.3468380464086205</v>
      </c>
      <c r="P157" s="276">
        <f t="shared" si="60"/>
        <v>2.3468380464086205</v>
      </c>
      <c r="Q157" s="276">
        <f t="shared" si="60"/>
        <v>2.3468380464086205</v>
      </c>
    </row>
    <row r="158" spans="2:17">
      <c r="C158" s="164" t="s">
        <v>386</v>
      </c>
      <c r="D158" s="290" t="s">
        <v>447</v>
      </c>
      <c r="E158" s="164"/>
      <c r="F158" s="164"/>
      <c r="G158" s="164"/>
      <c r="H158" s="202"/>
      <c r="I158" s="172">
        <f>-(I154+I155+I156)*$M$15</f>
        <v>-30.356821069651016</v>
      </c>
      <c r="J158" s="172">
        <f t="shared" ref="J158:Q158" si="61">-(J154+J155+J156)*$M$15</f>
        <v>-30.37259768437179</v>
      </c>
      <c r="K158" s="172">
        <f t="shared" si="61"/>
        <v>-30.304626769283129</v>
      </c>
      <c r="L158" s="172">
        <f t="shared" si="61"/>
        <v>-30.234956581317245</v>
      </c>
      <c r="M158" s="172">
        <f t="shared" si="61"/>
        <v>-30.163544638652215</v>
      </c>
      <c r="N158" s="172">
        <f t="shared" si="61"/>
        <v>-2.8397893961351306</v>
      </c>
      <c r="O158" s="172">
        <f t="shared" si="61"/>
        <v>-2.7647622238726854</v>
      </c>
      <c r="P158" s="172">
        <f t="shared" si="61"/>
        <v>-2.6878593723036786</v>
      </c>
      <c r="Q158" s="172">
        <f t="shared" si="61"/>
        <v>-0.55454519579807682</v>
      </c>
    </row>
    <row r="159" spans="2:17" s="2" customFormat="1">
      <c r="C159" s="22" t="s">
        <v>387</v>
      </c>
      <c r="D159" s="289" t="s">
        <v>447</v>
      </c>
      <c r="E159" s="22"/>
      <c r="F159" s="22"/>
      <c r="G159" s="22"/>
      <c r="H159" s="203"/>
      <c r="I159" s="20">
        <f>LULU_Financial!K180+Aritzia_Financial!I219</f>
        <v>-100.5294508312772</v>
      </c>
      <c r="J159" s="20">
        <f>LULU_Financial!L180+Aritzia_Financial!J219</f>
        <v>-99.67206338541213</v>
      </c>
      <c r="K159" s="20">
        <f>LULU_Financial!M180+Aritzia_Financial!K219</f>
        <v>-82.424926824393907</v>
      </c>
      <c r="L159" s="20">
        <f>LULU_Financial!N180+Aritzia_Financial!L219</f>
        <v>-69.976513168253092</v>
      </c>
      <c r="M159" s="20">
        <f>LULU_Financial!O180+Aritzia_Financial!M219</f>
        <v>-48.674303436501106</v>
      </c>
      <c r="N159" s="20">
        <f>LULU_Financial!P180+Aritzia_Financial!N219</f>
        <v>-31.835974127539259</v>
      </c>
      <c r="O159" s="20">
        <f>LULU_Financial!Q180+Aritzia_Financial!O219</f>
        <v>4.0491631520024498</v>
      </c>
      <c r="P159" s="20">
        <f>LULU_Financial!R180+Aritzia_Financial!P219</f>
        <v>39.603881202762665</v>
      </c>
      <c r="Q159" s="20">
        <f>LULU_Financial!S180+Aritzia_Financial!Q219</f>
        <v>-119.97238586010781</v>
      </c>
    </row>
    <row r="160" spans="2:17" s="2" customFormat="1">
      <c r="C160" s="2" t="s">
        <v>10</v>
      </c>
      <c r="D160" s="125" t="s">
        <v>447</v>
      </c>
      <c r="H160" s="197"/>
      <c r="I160" s="41">
        <f>SUM(I146:I159)</f>
        <v>1897.245955973696</v>
      </c>
      <c r="J160" s="41">
        <f t="shared" ref="J160:Q160" si="62">SUM(J146:J159)</f>
        <v>2285.0292014552811</v>
      </c>
      <c r="K160" s="41">
        <f t="shared" si="62"/>
        <v>2690.1023807281504</v>
      </c>
      <c r="L160" s="41">
        <f t="shared" si="62"/>
        <v>3051.6332452624824</v>
      </c>
      <c r="M160" s="41">
        <f t="shared" si="62"/>
        <v>3500.5139814176414</v>
      </c>
      <c r="N160" s="41">
        <f t="shared" si="62"/>
        <v>4002.1464746172715</v>
      </c>
      <c r="O160" s="41">
        <f t="shared" si="62"/>
        <v>4489.1426141977918</v>
      </c>
      <c r="P160" s="41">
        <f t="shared" si="62"/>
        <v>4991.6096745534023</v>
      </c>
      <c r="Q160" s="41">
        <f t="shared" si="62"/>
        <v>5281.7049499665245</v>
      </c>
    </row>
    <row r="161" spans="2:17">
      <c r="H161" s="198"/>
    </row>
    <row r="162" spans="2:17">
      <c r="B162" s="194" t="s">
        <v>381</v>
      </c>
      <c r="C162" s="191"/>
      <c r="D162" s="284"/>
      <c r="E162" s="192"/>
      <c r="F162" s="192"/>
      <c r="G162" s="193"/>
      <c r="H162" s="196"/>
      <c r="I162" s="192"/>
      <c r="J162" s="192"/>
      <c r="K162" s="192"/>
      <c r="L162" s="192"/>
      <c r="M162" s="192"/>
      <c r="N162" s="192"/>
      <c r="O162" s="192"/>
      <c r="P162" s="192"/>
      <c r="Q162" s="192"/>
    </row>
    <row r="163" spans="2:17">
      <c r="C163" s="7" t="s">
        <v>220</v>
      </c>
      <c r="D163" s="125" t="s">
        <v>447</v>
      </c>
      <c r="H163" s="198"/>
      <c r="I163" s="18">
        <f>LULU_Financial!K184+Aritzia_Financial!I223</f>
        <v>-850.65504264147603</v>
      </c>
      <c r="J163" s="18">
        <f>LULU_Financial!L184+Aritzia_Financial!J223</f>
        <v>-867.60168397063728</v>
      </c>
      <c r="K163" s="18">
        <f>LULU_Financial!M184+Aritzia_Financial!K223</f>
        <v>-833.18463401985923</v>
      </c>
      <c r="L163" s="18">
        <f>LULU_Financial!N184+Aritzia_Financial!L223</f>
        <v>-741.89971604564346</v>
      </c>
      <c r="M163" s="18">
        <f>LULU_Financial!O184+Aritzia_Financial!M223</f>
        <v>-583.36890617451286</v>
      </c>
      <c r="N163" s="18">
        <f>LULU_Financial!P184+Aritzia_Financial!N223</f>
        <v>-559.83840532962324</v>
      </c>
      <c r="O163" s="18">
        <f>LULU_Financial!Q184+Aritzia_Financial!O223</f>
        <v>-624.70575978735019</v>
      </c>
      <c r="P163" s="18">
        <f>LULU_Financial!R184+Aritzia_Financial!P223</f>
        <v>-691.68368887608358</v>
      </c>
      <c r="Q163" s="18">
        <f>LULU_Financial!S184+Aritzia_Financial!Q223</f>
        <v>-759.44375122463452</v>
      </c>
    </row>
    <row r="164" spans="2:17">
      <c r="C164" s="7" t="s">
        <v>388</v>
      </c>
      <c r="D164" s="125" t="s">
        <v>447</v>
      </c>
      <c r="H164" s="198"/>
      <c r="I164" s="18">
        <f>Aritzia_Financial!I224</f>
        <v>-2.1157500000000002</v>
      </c>
      <c r="J164" s="18">
        <f>Aritzia_Financial!J224</f>
        <v>-2.1157500000000002</v>
      </c>
      <c r="K164" s="18">
        <f>Aritzia_Financial!K224</f>
        <v>-2.1157500000000002</v>
      </c>
      <c r="L164" s="18">
        <f>Aritzia_Financial!L224</f>
        <v>-2.1157500000000002</v>
      </c>
      <c r="M164" s="18">
        <f>Aritzia_Financial!M224</f>
        <v>-2.1157500000000002</v>
      </c>
      <c r="N164" s="18">
        <f>Aritzia_Financial!N224</f>
        <v>-2.1157500000000002</v>
      </c>
      <c r="O164" s="18">
        <f>Aritzia_Financial!O224</f>
        <v>-2.1157500000000002</v>
      </c>
      <c r="P164" s="18">
        <f>Aritzia_Financial!P224</f>
        <v>-2.1157500000000002</v>
      </c>
      <c r="Q164" s="18">
        <f>Aritzia_Financial!Q224</f>
        <v>-2.1157500000000002</v>
      </c>
    </row>
    <row r="165" spans="2:17">
      <c r="C165" s="7" t="s">
        <v>222</v>
      </c>
      <c r="D165" s="125" t="s">
        <v>447</v>
      </c>
      <c r="H165" s="198"/>
      <c r="I165" s="18">
        <f>Aritzia_Financial!I225</f>
        <v>0</v>
      </c>
      <c r="J165" s="18">
        <f>Aritzia_Financial!J225</f>
        <v>0</v>
      </c>
      <c r="K165" s="18">
        <f>Aritzia_Financial!K225</f>
        <v>0</v>
      </c>
      <c r="L165" s="18">
        <f>Aritzia_Financial!L225</f>
        <v>0</v>
      </c>
      <c r="M165" s="18">
        <f>Aritzia_Financial!M225</f>
        <v>0</v>
      </c>
      <c r="N165" s="18">
        <f>Aritzia_Financial!N225</f>
        <v>0</v>
      </c>
      <c r="O165" s="18">
        <f>Aritzia_Financial!O225</f>
        <v>0</v>
      </c>
      <c r="P165" s="18">
        <f>Aritzia_Financial!P225</f>
        <v>0</v>
      </c>
      <c r="Q165" s="18">
        <f>Aritzia_Financial!Q225</f>
        <v>0</v>
      </c>
    </row>
    <row r="166" spans="2:17">
      <c r="C166" s="12" t="s">
        <v>4</v>
      </c>
      <c r="D166" s="289" t="s">
        <v>447</v>
      </c>
      <c r="E166" s="10"/>
      <c r="F166" s="10"/>
      <c r="G166" s="10"/>
      <c r="H166" s="204"/>
      <c r="I166" s="39">
        <f>LULU_Financial!K185</f>
        <v>-143.65833333333333</v>
      </c>
      <c r="J166" s="39">
        <f>LULU_Financial!L185</f>
        <v>-143.65833333333333</v>
      </c>
      <c r="K166" s="39">
        <f>LULU_Financial!M185</f>
        <v>-143.65833333333333</v>
      </c>
      <c r="L166" s="39">
        <f>LULU_Financial!N185</f>
        <v>-143.65833333333333</v>
      </c>
      <c r="M166" s="39">
        <f>LULU_Financial!O185</f>
        <v>-143.65833333333333</v>
      </c>
      <c r="N166" s="39">
        <f>LULU_Financial!P185</f>
        <v>-143.65833333333333</v>
      </c>
      <c r="O166" s="39">
        <f>LULU_Financial!Q185</f>
        <v>-143.65833333333333</v>
      </c>
      <c r="P166" s="39">
        <f>LULU_Financial!R185</f>
        <v>-143.65833333333333</v>
      </c>
      <c r="Q166" s="39">
        <f>LULU_Financial!S185</f>
        <v>-143.65833333333333</v>
      </c>
    </row>
    <row r="167" spans="2:17" s="2" customFormat="1">
      <c r="C167" s="2" t="s">
        <v>389</v>
      </c>
      <c r="D167" s="125" t="s">
        <v>447</v>
      </c>
      <c r="H167" s="197"/>
      <c r="I167" s="41">
        <f>SUM(I163:I166)</f>
        <v>-996.42912597480938</v>
      </c>
      <c r="J167" s="41">
        <f t="shared" ref="J167:Q167" si="63">SUM(J163:J166)</f>
        <v>-1013.3757673039706</v>
      </c>
      <c r="K167" s="41">
        <f t="shared" si="63"/>
        <v>-978.95871735319258</v>
      </c>
      <c r="L167" s="41">
        <f t="shared" si="63"/>
        <v>-887.67379937897681</v>
      </c>
      <c r="M167" s="41">
        <f t="shared" si="63"/>
        <v>-729.14298950784621</v>
      </c>
      <c r="N167" s="41">
        <f t="shared" si="63"/>
        <v>-705.61248866295659</v>
      </c>
      <c r="O167" s="41">
        <f t="shared" si="63"/>
        <v>-770.47984312068354</v>
      </c>
      <c r="P167" s="41">
        <f t="shared" si="63"/>
        <v>-837.45777220941693</v>
      </c>
      <c r="Q167" s="41">
        <f t="shared" si="63"/>
        <v>-905.21783455796788</v>
      </c>
    </row>
    <row r="168" spans="2:17">
      <c r="H168" s="198"/>
    </row>
    <row r="169" spans="2:17">
      <c r="B169" s="194" t="s">
        <v>390</v>
      </c>
      <c r="C169" s="191"/>
      <c r="D169" s="284"/>
      <c r="E169" s="192"/>
      <c r="F169" s="192"/>
      <c r="G169" s="193"/>
      <c r="H169" s="196"/>
      <c r="I169" s="192"/>
      <c r="J169" s="192"/>
      <c r="K169" s="192"/>
      <c r="L169" s="192"/>
      <c r="M169" s="192"/>
      <c r="N169" s="192"/>
      <c r="O169" s="192"/>
      <c r="P169" s="192"/>
      <c r="Q169" s="192"/>
    </row>
    <row r="170" spans="2:17">
      <c r="C170" s="7" t="s">
        <v>5</v>
      </c>
      <c r="D170" s="125" t="s">
        <v>447</v>
      </c>
      <c r="H170" s="198"/>
      <c r="I170" s="18">
        <f>LULU_Financial!K189+Aritzia_Financial!I230</f>
        <v>0</v>
      </c>
      <c r="J170" s="18">
        <f>LULU_Financial!L189+Aritzia_Financial!J230</f>
        <v>0</v>
      </c>
      <c r="K170" s="18">
        <f>LULU_Financial!M189+Aritzia_Financial!K230</f>
        <v>0</v>
      </c>
      <c r="L170" s="18">
        <f>LULU_Financial!N189+Aritzia_Financial!L230</f>
        <v>0</v>
      </c>
      <c r="M170" s="18">
        <f>LULU_Financial!O189+Aritzia_Financial!M230</f>
        <v>0</v>
      </c>
      <c r="N170" s="18">
        <f>LULU_Financial!P189+Aritzia_Financial!N230</f>
        <v>0</v>
      </c>
      <c r="O170" s="18">
        <f>LULU_Financial!Q189+Aritzia_Financial!O230</f>
        <v>0</v>
      </c>
      <c r="P170" s="18">
        <f>LULU_Financial!R189+Aritzia_Financial!P230</f>
        <v>0</v>
      </c>
      <c r="Q170" s="18">
        <f>LULU_Financial!S189+Aritzia_Financial!Q230</f>
        <v>0</v>
      </c>
    </row>
    <row r="171" spans="2:17">
      <c r="C171" s="160" t="s">
        <v>391</v>
      </c>
      <c r="D171" s="161" t="s">
        <v>447</v>
      </c>
      <c r="E171" s="162"/>
      <c r="F171" s="162"/>
      <c r="G171" s="162"/>
      <c r="H171" s="205"/>
      <c r="I171" s="163">
        <f>I64</f>
        <v>-46.936760928172404</v>
      </c>
      <c r="J171" s="163">
        <f t="shared" ref="J171:Q171" si="64">J64</f>
        <v>-56.324113113806888</v>
      </c>
      <c r="K171" s="163">
        <f t="shared" si="64"/>
        <v>-56.324113113806888</v>
      </c>
      <c r="L171" s="163">
        <f t="shared" si="64"/>
        <v>-56.324113113806888</v>
      </c>
      <c r="M171" s="163">
        <f t="shared" si="64"/>
        <v>-56.324113113806888</v>
      </c>
      <c r="N171" s="163">
        <f t="shared" si="64"/>
        <v>-56.324113113806888</v>
      </c>
      <c r="O171" s="163">
        <f t="shared" si="64"/>
        <v>-56.324113113806888</v>
      </c>
      <c r="P171" s="163">
        <f t="shared" si="64"/>
        <v>-56.324113113806888</v>
      </c>
      <c r="Q171" s="163">
        <f t="shared" si="64"/>
        <v>-56.324113113806888</v>
      </c>
    </row>
    <row r="172" spans="2:17">
      <c r="C172" s="177" t="s">
        <v>4</v>
      </c>
      <c r="D172" s="291" t="s">
        <v>447</v>
      </c>
      <c r="E172" s="178"/>
      <c r="F172" s="178"/>
      <c r="G172" s="178"/>
      <c r="H172" s="206"/>
      <c r="I172" s="179">
        <f>LULU_Financial!K190+Aritzia_Financial!I231</f>
        <v>-6.6885833333333444</v>
      </c>
      <c r="J172" s="179">
        <f>LULU_Financial!L190+Aritzia_Financial!J231</f>
        <v>-7.1164444444444541</v>
      </c>
      <c r="K172" s="179">
        <f>LULU_Financial!M190+Aritzia_Financial!K231</f>
        <v>-7.5901759259259372</v>
      </c>
      <c r="L172" s="179">
        <f>LULU_Financial!N190+Aritzia_Financial!L231</f>
        <v>-7.131734567901244</v>
      </c>
      <c r="M172" s="179">
        <f>LULU_Financial!O190+Aritzia_Financial!M231</f>
        <v>-7.2794516460905463</v>
      </c>
      <c r="N172" s="179">
        <f>LULU_Financial!P190+Aritzia_Financial!N231</f>
        <v>-7.333787379972577</v>
      </c>
      <c r="O172" s="179">
        <f>LULU_Financial!Q190+Aritzia_Financial!O231</f>
        <v>-7.2483245313214582</v>
      </c>
      <c r="P172" s="179">
        <f>LULU_Financial!R190+Aritzia_Financial!P231</f>
        <v>-7.2871878524615283</v>
      </c>
      <c r="Q172" s="179">
        <f>LULU_Financial!S190+Aritzia_Financial!Q231</f>
        <v>-7.2897665879185212</v>
      </c>
    </row>
    <row r="173" spans="2:17" s="2" customFormat="1">
      <c r="C173" s="2" t="s">
        <v>3</v>
      </c>
      <c r="D173" s="125" t="s">
        <v>447</v>
      </c>
      <c r="H173" s="197"/>
      <c r="I173" s="41">
        <f>SUM(I170:I172)</f>
        <v>-53.625344261505745</v>
      </c>
      <c r="J173" s="41">
        <f t="shared" ref="J173:Q173" si="65">SUM(J170:J172)</f>
        <v>-63.440557558251342</v>
      </c>
      <c r="K173" s="41">
        <f t="shared" si="65"/>
        <v>-63.914289039732822</v>
      </c>
      <c r="L173" s="41">
        <f t="shared" si="65"/>
        <v>-63.455847681708136</v>
      </c>
      <c r="M173" s="41">
        <f t="shared" si="65"/>
        <v>-63.603564759897438</v>
      </c>
      <c r="N173" s="41">
        <f t="shared" si="65"/>
        <v>-63.657900493779465</v>
      </c>
      <c r="O173" s="41">
        <f t="shared" si="65"/>
        <v>-63.572437645128346</v>
      </c>
      <c r="P173" s="41">
        <f t="shared" si="65"/>
        <v>-63.611300966268416</v>
      </c>
      <c r="Q173" s="41">
        <f t="shared" si="65"/>
        <v>-63.613879701725409</v>
      </c>
    </row>
    <row r="174" spans="2:17">
      <c r="H174" s="198"/>
    </row>
    <row r="175" spans="2:17">
      <c r="C175" s="7" t="s">
        <v>392</v>
      </c>
      <c r="D175" s="125" t="s">
        <v>447</v>
      </c>
      <c r="H175" s="198"/>
      <c r="I175" s="18">
        <f>LULU_Financial!K193</f>
        <v>0</v>
      </c>
      <c r="J175" s="18">
        <f>LULU_Financial!L193</f>
        <v>0</v>
      </c>
      <c r="K175" s="18">
        <f>LULU_Financial!M193</f>
        <v>0</v>
      </c>
      <c r="L175" s="18">
        <f>LULU_Financial!N193</f>
        <v>0</v>
      </c>
      <c r="M175" s="18">
        <f>LULU_Financial!O193</f>
        <v>0</v>
      </c>
      <c r="N175" s="18">
        <f>LULU_Financial!P193</f>
        <v>0</v>
      </c>
      <c r="O175" s="18">
        <f>LULU_Financial!Q193</f>
        <v>0</v>
      </c>
      <c r="P175" s="18">
        <f>LULU_Financial!R193</f>
        <v>0</v>
      </c>
      <c r="Q175" s="18">
        <f>LULU_Financial!S193</f>
        <v>0</v>
      </c>
    </row>
    <row r="176" spans="2:17">
      <c r="H176" s="198"/>
    </row>
    <row r="177" spans="1:18" s="2" customFormat="1">
      <c r="C177" s="2" t="s">
        <v>393</v>
      </c>
      <c r="D177" s="125" t="s">
        <v>447</v>
      </c>
      <c r="H177" s="197"/>
      <c r="I177" s="3">
        <f>I175+I173+I167+I160</f>
        <v>847.19148573738084</v>
      </c>
      <c r="J177" s="3">
        <f t="shared" ref="J177:Q177" si="66">J175+J173+J167+J160</f>
        <v>1208.212876593059</v>
      </c>
      <c r="K177" s="3">
        <f t="shared" si="66"/>
        <v>1647.229374335225</v>
      </c>
      <c r="L177" s="3">
        <f t="shared" si="66"/>
        <v>2100.5035982017976</v>
      </c>
      <c r="M177" s="3">
        <f t="shared" si="66"/>
        <v>2707.7674271498977</v>
      </c>
      <c r="N177" s="3">
        <f t="shared" si="66"/>
        <v>3232.8760854605353</v>
      </c>
      <c r="O177" s="3">
        <f t="shared" si="66"/>
        <v>3655.0903334319801</v>
      </c>
      <c r="P177" s="3">
        <f t="shared" si="66"/>
        <v>4090.5406013777169</v>
      </c>
      <c r="Q177" s="3">
        <f t="shared" si="66"/>
        <v>4312.8732357068311</v>
      </c>
    </row>
    <row r="179" spans="1:18">
      <c r="B179" s="33" t="s">
        <v>305</v>
      </c>
      <c r="C179" s="32"/>
      <c r="D179" s="31"/>
      <c r="E179" s="209" t="s">
        <v>395</v>
      </c>
      <c r="F179" s="210" t="s">
        <v>396</v>
      </c>
      <c r="G179" s="30" t="s">
        <v>399</v>
      </c>
      <c r="H179" s="29"/>
      <c r="I179" s="30" t="s">
        <v>305</v>
      </c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1:18">
      <c r="B180" s="28" t="s">
        <v>394</v>
      </c>
      <c r="C180" s="27"/>
      <c r="D180" s="26" t="s">
        <v>20</v>
      </c>
      <c r="E180" s="105">
        <f>H144</f>
        <v>45291</v>
      </c>
      <c r="F180" s="211">
        <f>H144</f>
        <v>45291</v>
      </c>
      <c r="G180" s="190" t="s">
        <v>398</v>
      </c>
      <c r="H180" s="211" t="s">
        <v>397</v>
      </c>
      <c r="I180" s="105">
        <f>H144</f>
        <v>45291</v>
      </c>
      <c r="J180" s="105">
        <f t="shared" ref="J180:R180" si="67">I144</f>
        <v>45657</v>
      </c>
      <c r="K180" s="105">
        <f t="shared" si="67"/>
        <v>46022</v>
      </c>
      <c r="L180" s="105">
        <f t="shared" si="67"/>
        <v>46387</v>
      </c>
      <c r="M180" s="105">
        <f t="shared" si="67"/>
        <v>46752</v>
      </c>
      <c r="N180" s="105">
        <f t="shared" si="67"/>
        <v>47118</v>
      </c>
      <c r="O180" s="105">
        <f t="shared" si="67"/>
        <v>47483</v>
      </c>
      <c r="P180" s="105">
        <f t="shared" si="67"/>
        <v>47848</v>
      </c>
      <c r="Q180" s="105">
        <f t="shared" si="67"/>
        <v>48213</v>
      </c>
      <c r="R180" s="105">
        <f t="shared" si="67"/>
        <v>48579</v>
      </c>
    </row>
    <row r="181" spans="1:18">
      <c r="B181" s="17" t="s">
        <v>55</v>
      </c>
      <c r="C181" s="16"/>
      <c r="D181" s="15"/>
      <c r="E181" s="15"/>
      <c r="F181" s="1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s="2" customFormat="1">
      <c r="C182" s="2" t="s">
        <v>197</v>
      </c>
      <c r="D182" s="125"/>
      <c r="F182" s="212"/>
      <c r="G182" s="237"/>
      <c r="H182" s="240"/>
    </row>
    <row r="183" spans="1:18">
      <c r="C183" s="220" t="s">
        <v>198</v>
      </c>
      <c r="D183" s="292" t="s">
        <v>447</v>
      </c>
      <c r="E183" s="221">
        <f>LULU_Financial!J133</f>
        <v>2039.6640159852864</v>
      </c>
      <c r="F183" s="222">
        <f>Aritzia_Financial!H174</f>
        <v>187.06164997568948</v>
      </c>
      <c r="G183" s="224">
        <v>0</v>
      </c>
      <c r="H183" s="230">
        <f>-K18-G79</f>
        <v>-888.83185142506181</v>
      </c>
      <c r="I183" s="221">
        <f>E183+F183+G183+H183</f>
        <v>1337.8938145359139</v>
      </c>
      <c r="J183" s="221">
        <f>I183+I177</f>
        <v>2185.0853002732947</v>
      </c>
      <c r="K183" s="221">
        <f t="shared" ref="K183:R183" si="68">J183+J177</f>
        <v>3393.298176866354</v>
      </c>
      <c r="L183" s="221">
        <f t="shared" si="68"/>
        <v>5040.5275512015787</v>
      </c>
      <c r="M183" s="221">
        <f t="shared" si="68"/>
        <v>7141.0311494033758</v>
      </c>
      <c r="N183" s="221">
        <f t="shared" si="68"/>
        <v>9848.798576553274</v>
      </c>
      <c r="O183" s="221">
        <f t="shared" si="68"/>
        <v>13081.674662013809</v>
      </c>
      <c r="P183" s="221">
        <f t="shared" si="68"/>
        <v>16736.764995445788</v>
      </c>
      <c r="Q183" s="221">
        <f t="shared" si="68"/>
        <v>20827.305596823506</v>
      </c>
      <c r="R183" s="221">
        <f t="shared" si="68"/>
        <v>25140.178832530335</v>
      </c>
    </row>
    <row r="184" spans="1:18">
      <c r="C184" s="7" t="s">
        <v>199</v>
      </c>
      <c r="D184" s="125" t="s">
        <v>447</v>
      </c>
      <c r="E184" s="114">
        <f>LULU_Financial!J134</f>
        <v>164.2780704448044</v>
      </c>
      <c r="F184" s="272">
        <f>Aritzia_Financial!H175</f>
        <v>14.431233586707933</v>
      </c>
      <c r="G184" s="237"/>
      <c r="H184" s="238"/>
      <c r="I184" s="18">
        <f t="shared" ref="I184:I186" si="69">E184+F184+G184+H184</f>
        <v>178.70930403151232</v>
      </c>
      <c r="J184" s="18">
        <f>LULU_Financial!K134+Aritzia_Financial!I175</f>
        <v>219.27077803941864</v>
      </c>
      <c r="K184" s="18">
        <f>LULU_Financial!L134+Aritzia_Financial!J175</f>
        <v>259.16891999087449</v>
      </c>
      <c r="L184" s="18">
        <f>LULU_Financial!M134+Aritzia_Financial!K175</f>
        <v>300.81887216108106</v>
      </c>
      <c r="M184" s="18">
        <f>LULU_Financial!N134+Aritzia_Financial!L175</f>
        <v>342.75986008527718</v>
      </c>
      <c r="N184" s="18">
        <f>LULU_Financial!O134+Aritzia_Financial!M175</f>
        <v>381.99201543415279</v>
      </c>
      <c r="O184" s="18">
        <f>LULU_Financial!P134+Aritzia_Financial!N175</f>
        <v>419.62709115401577</v>
      </c>
      <c r="P184" s="18">
        <f>LULU_Financial!Q134+Aritzia_Financial!O175</f>
        <v>455.15275889078185</v>
      </c>
      <c r="Q184" s="18">
        <f>LULU_Financial!R134+Aritzia_Financial!P175</f>
        <v>488.67406039852602</v>
      </c>
      <c r="R184" s="18">
        <f>LULU_Financial!S134+Aritzia_Financial!Q175</f>
        <v>519.3395193577478</v>
      </c>
    </row>
    <row r="185" spans="1:18">
      <c r="C185" s="7" t="s">
        <v>200</v>
      </c>
      <c r="D185" s="125" t="s">
        <v>447</v>
      </c>
      <c r="E185" s="114">
        <f>LULU_Financial!J135</f>
        <v>1612.9678042911041</v>
      </c>
      <c r="F185" s="272">
        <f>Aritzia_Financial!H176</f>
        <v>378.87601968919114</v>
      </c>
      <c r="G185" s="237"/>
      <c r="H185" s="238"/>
      <c r="I185" s="18">
        <f t="shared" si="69"/>
        <v>1991.8438239802954</v>
      </c>
      <c r="J185" s="18">
        <f>LULU_Financial!K135+Aritzia_Financial!I176</f>
        <v>2435.6800214571895</v>
      </c>
      <c r="K185" s="18">
        <f>LULU_Financial!L135+Aritzia_Financial!J176</f>
        <v>2948.3281186734876</v>
      </c>
      <c r="L185" s="18">
        <f>LULU_Financial!M135+Aritzia_Financial!K176</f>
        <v>3487.7257294401861</v>
      </c>
      <c r="M185" s="18">
        <f>LULU_Financial!N135+Aritzia_Financial!L176</f>
        <v>4066.0765543593948</v>
      </c>
      <c r="N185" s="18">
        <f>LULU_Financial!O135+Aritzia_Financial!M176</f>
        <v>4652.775157802118</v>
      </c>
      <c r="O185" s="18">
        <f>LULU_Financial!P135+Aritzia_Financial!N176</f>
        <v>5256.9642397001844</v>
      </c>
      <c r="P185" s="18">
        <f>LULU_Financial!Q135+Aritzia_Financial!O176</f>
        <v>5873.5640115446267</v>
      </c>
      <c r="Q185" s="18">
        <f>LULU_Financial!R135+Aritzia_Financial!P176</f>
        <v>6507.9013567589973</v>
      </c>
      <c r="R185" s="18">
        <f>LULU_Financial!S135+Aritzia_Financial!Q176</f>
        <v>7160.3284485149888</v>
      </c>
    </row>
    <row r="186" spans="1:18">
      <c r="A186" s="10"/>
      <c r="B186" s="10"/>
      <c r="C186" s="12" t="s">
        <v>201</v>
      </c>
      <c r="D186" s="289" t="s">
        <v>447</v>
      </c>
      <c r="E186" s="273">
        <f>LULU_Financial!J136</f>
        <v>524.47083581362983</v>
      </c>
      <c r="F186" s="274">
        <f>Aritzia_Financial!H177</f>
        <v>53.434323308237985</v>
      </c>
      <c r="G186" s="235"/>
      <c r="H186" s="236"/>
      <c r="I186" s="39">
        <f t="shared" si="69"/>
        <v>577.90515912186777</v>
      </c>
      <c r="J186" s="39">
        <f>LULU_Financial!K136+Aritzia_Financial!I177</f>
        <v>647.3690634966141</v>
      </c>
      <c r="K186" s="39">
        <f>LULU_Financial!L136+Aritzia_Financial!J177</f>
        <v>711.81513655924141</v>
      </c>
      <c r="L186" s="39">
        <f>LULU_Financial!M136+Aritzia_Financial!K177</f>
        <v>758.54375728665116</v>
      </c>
      <c r="M186" s="39">
        <f>LULU_Financial!N136+Aritzia_Financial!L177</f>
        <v>782.30511305864286</v>
      </c>
      <c r="N186" s="39">
        <f>LULU_Financial!O136+Aritzia_Financial!M177</f>
        <v>774.82337897629725</v>
      </c>
      <c r="O186" s="39">
        <f>LULU_Financial!P136+Aritzia_Financial!N177</f>
        <v>736.95937206401982</v>
      </c>
      <c r="P186" s="39">
        <f>LULU_Financial!Q136+Aritzia_Financial!O177</f>
        <v>666.13753697692562</v>
      </c>
      <c r="Q186" s="39">
        <f>LULU_Financial!R136+Aritzia_Financial!P177</f>
        <v>561.66766351561694</v>
      </c>
      <c r="R186" s="39">
        <f>LULU_Financial!S136+Aritzia_Financial!Q177</f>
        <v>615.71876685186385</v>
      </c>
    </row>
    <row r="187" spans="1:18" s="2" customFormat="1">
      <c r="C187" s="2" t="s">
        <v>202</v>
      </c>
      <c r="D187" s="125" t="s">
        <v>447</v>
      </c>
      <c r="E187" s="41">
        <f>SUM(E183:E186)</f>
        <v>4341.380726534825</v>
      </c>
      <c r="F187" s="213">
        <f>SUM(F183:F186)</f>
        <v>633.8032265598265</v>
      </c>
      <c r="G187" s="237"/>
      <c r="H187" s="238"/>
      <c r="I187" s="41">
        <f>SUM(I183:I186)</f>
        <v>4086.3521016695895</v>
      </c>
      <c r="J187" s="41">
        <f>SUM(J183:J186)</f>
        <v>5487.4051632665169</v>
      </c>
      <c r="K187" s="41">
        <f t="shared" ref="K187:R187" si="70">SUM(K183:K186)</f>
        <v>7312.6103520899569</v>
      </c>
      <c r="L187" s="41">
        <f t="shared" si="70"/>
        <v>9587.6159100894965</v>
      </c>
      <c r="M187" s="41">
        <f t="shared" si="70"/>
        <v>12332.17267690669</v>
      </c>
      <c r="N187" s="41">
        <f t="shared" si="70"/>
        <v>15658.389128765843</v>
      </c>
      <c r="O187" s="41">
        <f t="shared" si="70"/>
        <v>19495.225364932026</v>
      </c>
      <c r="P187" s="41">
        <f t="shared" si="70"/>
        <v>23731.619302858122</v>
      </c>
      <c r="Q187" s="41">
        <f t="shared" si="70"/>
        <v>28385.548677496648</v>
      </c>
      <c r="R187" s="41">
        <f t="shared" si="70"/>
        <v>33435.56556725494</v>
      </c>
    </row>
    <row r="188" spans="1:18">
      <c r="F188" s="198"/>
      <c r="G188" s="237"/>
      <c r="H188" s="23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1:18">
      <c r="C189" s="2" t="s">
        <v>48</v>
      </c>
      <c r="F189" s="198"/>
      <c r="G189" s="237"/>
      <c r="H189" s="238"/>
    </row>
    <row r="190" spans="1:18">
      <c r="C190" s="220" t="s">
        <v>47</v>
      </c>
      <c r="D190" s="292" t="s">
        <v>447</v>
      </c>
      <c r="E190" s="231">
        <f>LULU_Financial!J140</f>
        <v>1598.8178661370991</v>
      </c>
      <c r="F190" s="232">
        <f>Aritzia_Financial!H181</f>
        <v>305.61387587349077</v>
      </c>
      <c r="G190" s="282">
        <f>N86</f>
        <v>45.842081381023611</v>
      </c>
      <c r="H190" s="223">
        <v>0</v>
      </c>
      <c r="I190" s="231">
        <f t="shared" ref="I190:I195" si="71">E190+F190+G190+H190</f>
        <v>1950.2738233916136</v>
      </c>
      <c r="J190" s="231">
        <f>I190-I148-I154-I163</f>
        <v>2377.1063055756063</v>
      </c>
      <c r="K190" s="231">
        <f t="shared" ref="K190:R190" si="72">J190-J148-J154-J163</f>
        <v>2810.1388971789484</v>
      </c>
      <c r="L190" s="231">
        <f t="shared" si="72"/>
        <v>3217.494534545589</v>
      </c>
      <c r="M190" s="231">
        <f t="shared" si="72"/>
        <v>3569.464338155803</v>
      </c>
      <c r="N190" s="231">
        <f t="shared" si="72"/>
        <v>3717.9929217813624</v>
      </c>
      <c r="O190" s="231">
        <f t="shared" si="72"/>
        <v>3787.9154408022359</v>
      </c>
      <c r="P190" s="231">
        <f t="shared" si="72"/>
        <v>3866.528161118662</v>
      </c>
      <c r="Q190" s="231">
        <f t="shared" si="72"/>
        <v>3954.3964881748916</v>
      </c>
      <c r="R190" s="231">
        <f t="shared" si="72"/>
        <v>4055.8198193330654</v>
      </c>
    </row>
    <row r="191" spans="1:18">
      <c r="C191" s="7" t="s">
        <v>400</v>
      </c>
      <c r="D191" s="125" t="s">
        <v>447</v>
      </c>
      <c r="E191" s="114">
        <f>LULU_Financial!J141</f>
        <v>1231.5263270529058</v>
      </c>
      <c r="F191" s="272">
        <f>Aritzia_Financial!H184</f>
        <v>535.88446660191516</v>
      </c>
      <c r="G191" s="237"/>
      <c r="H191" s="238"/>
      <c r="I191" s="18">
        <f t="shared" si="71"/>
        <v>1767.410793654821</v>
      </c>
      <c r="J191" s="18">
        <f>LULU_Financial!K141+Aritzia_Financial!I184</f>
        <v>2182.0562244860962</v>
      </c>
      <c r="K191" s="18">
        <f>LULU_Financial!L141+Aritzia_Financial!J184</f>
        <v>2679.0834092783739</v>
      </c>
      <c r="L191" s="18">
        <f>LULU_Financial!M141+Aritzia_Financial!K184</f>
        <v>3242.0246604364884</v>
      </c>
      <c r="M191" s="18">
        <f>LULU_Financial!N141+Aritzia_Financial!L184</f>
        <v>3864.1664843066192</v>
      </c>
      <c r="N191" s="18">
        <f>LULU_Financial!O141+Aritzia_Financial!M184</f>
        <v>4529.3582045162721</v>
      </c>
      <c r="O191" s="18">
        <f>LULU_Financial!P141+Aritzia_Financial!N184</f>
        <v>5230.8106254488403</v>
      </c>
      <c r="P191" s="18">
        <f>LULU_Financial!Q141+Aritzia_Financial!O184</f>
        <v>5961.4826127240412</v>
      </c>
      <c r="Q191" s="18">
        <f>LULU_Financial!R141+Aritzia_Financial!P184</f>
        <v>6719.5226996930214</v>
      </c>
      <c r="R191" s="18">
        <f>LULU_Financial!S141+Aritzia_Financial!Q184</f>
        <v>7499.0220017198217</v>
      </c>
    </row>
    <row r="192" spans="1:18">
      <c r="C192" s="7" t="s">
        <v>401</v>
      </c>
      <c r="D192" s="125" t="s">
        <v>447</v>
      </c>
      <c r="E192" s="114">
        <f>LULU_Financial!J143</f>
        <v>21.960999999999999</v>
      </c>
      <c r="F192" s="272">
        <f>Aritzia_Financial!H182</f>
        <v>66.902250000000009</v>
      </c>
      <c r="G192" s="237"/>
      <c r="H192" s="238"/>
      <c r="I192" s="18">
        <f t="shared" si="71"/>
        <v>88.863250000000008</v>
      </c>
      <c r="J192" s="18">
        <f>I192-I164</f>
        <v>90.979000000000013</v>
      </c>
      <c r="K192" s="18">
        <f t="shared" ref="K192:R192" si="73">J192-J164</f>
        <v>93.094750000000019</v>
      </c>
      <c r="L192" s="18">
        <f t="shared" si="73"/>
        <v>95.210500000000025</v>
      </c>
      <c r="M192" s="18">
        <f t="shared" si="73"/>
        <v>97.32625000000003</v>
      </c>
      <c r="N192" s="18">
        <f t="shared" si="73"/>
        <v>99.442000000000036</v>
      </c>
      <c r="O192" s="18">
        <f t="shared" si="73"/>
        <v>101.55775000000004</v>
      </c>
      <c r="P192" s="18">
        <f t="shared" si="73"/>
        <v>103.67350000000005</v>
      </c>
      <c r="Q192" s="18">
        <f t="shared" si="73"/>
        <v>105.78925000000005</v>
      </c>
      <c r="R192" s="18">
        <f t="shared" si="73"/>
        <v>107.90500000000006</v>
      </c>
    </row>
    <row r="193" spans="1:18" s="18" customFormat="1">
      <c r="C193" s="241" t="s">
        <v>45</v>
      </c>
      <c r="D193" s="293" t="s">
        <v>447</v>
      </c>
      <c r="E193" s="234">
        <f>LULU_Financial!J142</f>
        <v>24.143999999999998</v>
      </c>
      <c r="F193" s="233">
        <f>Aritzia_Financial!H183</f>
        <v>149.1345</v>
      </c>
      <c r="G193" s="278">
        <f>G94</f>
        <v>1130.1117156249402</v>
      </c>
      <c r="H193" s="279">
        <f>-G87</f>
        <v>-149.1345</v>
      </c>
      <c r="I193" s="234">
        <f t="shared" si="71"/>
        <v>1154.25571562494</v>
      </c>
      <c r="J193" s="234">
        <f>I193</f>
        <v>1154.25571562494</v>
      </c>
      <c r="K193" s="234">
        <f t="shared" ref="K193:R193" si="74">J193</f>
        <v>1154.25571562494</v>
      </c>
      <c r="L193" s="234">
        <f t="shared" si="74"/>
        <v>1154.25571562494</v>
      </c>
      <c r="M193" s="234">
        <f t="shared" si="74"/>
        <v>1154.25571562494</v>
      </c>
      <c r="N193" s="234">
        <f t="shared" si="74"/>
        <v>1154.25571562494</v>
      </c>
      <c r="O193" s="234">
        <f t="shared" si="74"/>
        <v>1154.25571562494</v>
      </c>
      <c r="P193" s="234">
        <f t="shared" si="74"/>
        <v>1154.25571562494</v>
      </c>
      <c r="Q193" s="234">
        <f t="shared" si="74"/>
        <v>1154.25571562494</v>
      </c>
      <c r="R193" s="234">
        <f t="shared" si="74"/>
        <v>1154.25571562494</v>
      </c>
    </row>
    <row r="194" spans="1:18" s="18" customFormat="1">
      <c r="C194" s="242" t="s">
        <v>409</v>
      </c>
      <c r="D194" s="294" t="s">
        <v>447</v>
      </c>
      <c r="E194" s="243">
        <v>0</v>
      </c>
      <c r="F194" s="244">
        <v>0</v>
      </c>
      <c r="G194" s="280">
        <f>-G91</f>
        <v>1140.0849986603703</v>
      </c>
      <c r="H194" s="229">
        <v>0</v>
      </c>
      <c r="I194" s="243">
        <f t="shared" si="71"/>
        <v>1140.0849986603703</v>
      </c>
      <c r="J194" s="243">
        <f>I194-I155</f>
        <v>1064.0793320830123</v>
      </c>
      <c r="K194" s="243">
        <f t="shared" ref="K194:R194" si="75">J194-J155</f>
        <v>988.07366550565428</v>
      </c>
      <c r="L194" s="243">
        <f t="shared" si="75"/>
        <v>912.06799892829622</v>
      </c>
      <c r="M194" s="243">
        <f t="shared" si="75"/>
        <v>836.06233235093816</v>
      </c>
      <c r="N194" s="243">
        <f t="shared" si="75"/>
        <v>760.05666577358011</v>
      </c>
      <c r="O194" s="243">
        <f t="shared" si="75"/>
        <v>760.05666577358011</v>
      </c>
      <c r="P194" s="243">
        <f t="shared" si="75"/>
        <v>760.05666577358011</v>
      </c>
      <c r="Q194" s="243">
        <f t="shared" si="75"/>
        <v>760.05666577358011</v>
      </c>
      <c r="R194" s="243">
        <f t="shared" si="75"/>
        <v>760.05666577358011</v>
      </c>
    </row>
    <row r="195" spans="1:18">
      <c r="A195" s="10"/>
      <c r="B195" s="10"/>
      <c r="C195" s="12" t="s">
        <v>205</v>
      </c>
      <c r="D195" s="289" t="s">
        <v>447</v>
      </c>
      <c r="E195" s="273">
        <f>LULU_Financial!J144</f>
        <v>156.04499999999999</v>
      </c>
      <c r="F195" s="274">
        <f>Aritzia_Financial!H185</f>
        <v>2.8725000000000001</v>
      </c>
      <c r="G195" s="235"/>
      <c r="H195" s="236"/>
      <c r="I195" s="39">
        <f t="shared" si="71"/>
        <v>158.91749999999999</v>
      </c>
      <c r="J195" s="39">
        <f>LULU_Financial!K144+Aritzia_Financial!I185</f>
        <v>158.91749999999999</v>
      </c>
      <c r="K195" s="39">
        <f>LULU_Financial!L144+Aritzia_Financial!J185</f>
        <v>158.91749999999999</v>
      </c>
      <c r="L195" s="39">
        <f>LULU_Financial!M144+Aritzia_Financial!K185</f>
        <v>158.91749999999999</v>
      </c>
      <c r="M195" s="39">
        <f>LULU_Financial!N144+Aritzia_Financial!L185</f>
        <v>158.91749999999999</v>
      </c>
      <c r="N195" s="39">
        <f>LULU_Financial!O144+Aritzia_Financial!M185</f>
        <v>158.91749999999999</v>
      </c>
      <c r="O195" s="39">
        <f>LULU_Financial!P144+Aritzia_Financial!N185</f>
        <v>158.91749999999999</v>
      </c>
      <c r="P195" s="39">
        <f>LULU_Financial!Q144+Aritzia_Financial!O185</f>
        <v>158.91749999999999</v>
      </c>
      <c r="Q195" s="39">
        <f>LULU_Financial!R144+Aritzia_Financial!P185</f>
        <v>158.91749999999999</v>
      </c>
      <c r="R195" s="39">
        <f>LULU_Financial!S144+Aritzia_Financial!Q185</f>
        <v>158.91749999999999</v>
      </c>
    </row>
    <row r="196" spans="1:18" s="2" customFormat="1">
      <c r="C196" s="2" t="s">
        <v>42</v>
      </c>
      <c r="D196" s="125" t="s">
        <v>447</v>
      </c>
      <c r="E196" s="41">
        <f>SUM(E190:E195)</f>
        <v>3032.4941931900048</v>
      </c>
      <c r="F196" s="213">
        <f>SUM(F190:F195)</f>
        <v>1060.4075924754059</v>
      </c>
      <c r="G196" s="246"/>
      <c r="H196" s="240"/>
      <c r="I196" s="41">
        <f>SUM(I190:I195)</f>
        <v>6259.8060813317443</v>
      </c>
      <c r="J196" s="41">
        <f>SUM(J190:J195)</f>
        <v>7027.3940777696553</v>
      </c>
      <c r="K196" s="41">
        <f t="shared" ref="K196:R196" si="76">SUM(K190:K195)</f>
        <v>7883.5639375879173</v>
      </c>
      <c r="L196" s="41">
        <f t="shared" si="76"/>
        <v>8779.9709095353137</v>
      </c>
      <c r="M196" s="41">
        <f t="shared" si="76"/>
        <v>9680.1926204383017</v>
      </c>
      <c r="N196" s="41">
        <f t="shared" si="76"/>
        <v>10420.023007696156</v>
      </c>
      <c r="O196" s="41">
        <f t="shared" si="76"/>
        <v>11193.513697649596</v>
      </c>
      <c r="P196" s="41">
        <f t="shared" si="76"/>
        <v>12004.914155241224</v>
      </c>
      <c r="Q196" s="41">
        <f t="shared" si="76"/>
        <v>12852.938319266432</v>
      </c>
      <c r="R196" s="41">
        <f t="shared" si="76"/>
        <v>13735.976702451408</v>
      </c>
    </row>
    <row r="197" spans="1:18">
      <c r="F197" s="198"/>
      <c r="G197" s="246"/>
      <c r="H197" s="238"/>
    </row>
    <row r="198" spans="1:18" s="2" customFormat="1">
      <c r="C198" s="2" t="s">
        <v>41</v>
      </c>
      <c r="D198" s="125" t="s">
        <v>447</v>
      </c>
      <c r="E198" s="3">
        <f>E196+E187</f>
        <v>7373.8749197248299</v>
      </c>
      <c r="F198" s="214">
        <f>F196+F187</f>
        <v>1694.2108190352324</v>
      </c>
      <c r="G198" s="237"/>
      <c r="H198" s="238"/>
      <c r="I198" s="3">
        <f>I196+I187</f>
        <v>10346.158183001335</v>
      </c>
      <c r="J198" s="3">
        <f>J196+J187</f>
        <v>12514.799241036173</v>
      </c>
      <c r="K198" s="3">
        <f t="shared" ref="K198:R198" si="77">K196+K187</f>
        <v>15196.174289677874</v>
      </c>
      <c r="L198" s="3">
        <f t="shared" si="77"/>
        <v>18367.586819624812</v>
      </c>
      <c r="M198" s="3">
        <f t="shared" si="77"/>
        <v>22012.365297344993</v>
      </c>
      <c r="N198" s="3">
        <f t="shared" si="77"/>
        <v>26078.412136462</v>
      </c>
      <c r="O198" s="3">
        <f t="shared" si="77"/>
        <v>30688.739062581622</v>
      </c>
      <c r="P198" s="3">
        <f t="shared" si="77"/>
        <v>35736.533458099344</v>
      </c>
      <c r="Q198" s="3">
        <f t="shared" si="77"/>
        <v>41238.48699676308</v>
      </c>
      <c r="R198" s="3">
        <f t="shared" si="77"/>
        <v>47171.542269706348</v>
      </c>
    </row>
    <row r="199" spans="1:18">
      <c r="F199" s="198"/>
      <c r="G199" s="237"/>
      <c r="H199" s="238"/>
    </row>
    <row r="200" spans="1:18">
      <c r="B200" s="17" t="s">
        <v>402</v>
      </c>
      <c r="C200" s="16"/>
      <c r="D200" s="15"/>
      <c r="E200" s="15"/>
      <c r="F200" s="15"/>
      <c r="G200" s="15"/>
      <c r="H200" s="15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 s="2" customFormat="1">
      <c r="C201" s="2" t="s">
        <v>404</v>
      </c>
      <c r="D201" s="125"/>
      <c r="F201" s="212"/>
      <c r="G201" s="237"/>
      <c r="H201" s="238"/>
    </row>
    <row r="202" spans="1:18">
      <c r="C202" s="7" t="s">
        <v>38</v>
      </c>
      <c r="D202" s="125" t="s">
        <v>447</v>
      </c>
      <c r="E202" s="114">
        <f>LULU_Financial!J150</f>
        <v>361.05932449528541</v>
      </c>
      <c r="F202" s="272">
        <f>Aritzia_Financial!H192</f>
        <v>209.02416642471422</v>
      </c>
      <c r="G202" s="237"/>
      <c r="H202" s="238"/>
      <c r="I202" s="18">
        <f t="shared" ref="I202:I206" si="78">E202+F202+G202+H202</f>
        <v>570.08349091999958</v>
      </c>
      <c r="J202" s="18">
        <f>LULU_Financial!K150+Aritzia_Financial!I192</f>
        <v>694.12949207732527</v>
      </c>
      <c r="K202" s="18">
        <f>LULU_Financial!L150+Aritzia_Financial!J192</f>
        <v>834.73574288007649</v>
      </c>
      <c r="L202" s="18">
        <f>LULU_Financial!M150+Aritzia_Financial!K192</f>
        <v>970.70998019885303</v>
      </c>
      <c r="M202" s="18">
        <f>LULU_Financial!N150+Aritzia_Financial!L192</f>
        <v>1117.1839349176723</v>
      </c>
      <c r="N202" s="18">
        <f>LULU_Financial!O150+Aritzia_Financial!M192</f>
        <v>1267.0281307121647</v>
      </c>
      <c r="O202" s="18">
        <f>LULU_Financial!P150+Aritzia_Financial!N192</f>
        <v>1419.7864804237138</v>
      </c>
      <c r="P202" s="18">
        <f>LULU_Financial!Q150+Aritzia_Financial!O192</f>
        <v>1573.519330340155</v>
      </c>
      <c r="Q202" s="18">
        <f>LULU_Financial!R150+Aritzia_Financial!P192</f>
        <v>1731.1244468919115</v>
      </c>
      <c r="R202" s="18">
        <f>LULU_Financial!S150+Aritzia_Financial!Q192</f>
        <v>1894.9202818580998</v>
      </c>
    </row>
    <row r="203" spans="1:18">
      <c r="C203" s="7" t="s">
        <v>37</v>
      </c>
      <c r="D203" s="125" t="s">
        <v>447</v>
      </c>
      <c r="E203" s="114">
        <f>LULU_Financial!J151</f>
        <v>808.32995029470692</v>
      </c>
      <c r="F203" s="272">
        <v>0</v>
      </c>
      <c r="G203" s="237"/>
      <c r="H203" s="238"/>
      <c r="I203" s="18">
        <f t="shared" si="78"/>
        <v>808.32995029470692</v>
      </c>
      <c r="J203" s="18">
        <f>LULU_Financial!K151</f>
        <v>993.00866341814799</v>
      </c>
      <c r="K203" s="18">
        <f>LULU_Financial!L151</f>
        <v>1210.4037236425033</v>
      </c>
      <c r="L203" s="18">
        <f>LULU_Financial!M151</f>
        <v>1457.4375250410185</v>
      </c>
      <c r="M203" s="18">
        <f>LULU_Financial!N151</f>
        <v>1721.271434132326</v>
      </c>
      <c r="N203" s="18">
        <f>LULU_Financial!O151</f>
        <v>1986.9934422632043</v>
      </c>
      <c r="O203" s="18">
        <f>LULU_Financial!P151</f>
        <v>2263.0109046997504</v>
      </c>
      <c r="P203" s="18">
        <f>LULU_Financial!Q151</f>
        <v>2548.0048894096858</v>
      </c>
      <c r="Q203" s="18">
        <f>LULU_Financial!R151</f>
        <v>2842.0381461962456</v>
      </c>
      <c r="R203" s="18">
        <f>LULU_Financial!S151</f>
        <v>3141.8637066002811</v>
      </c>
    </row>
    <row r="204" spans="1:18">
      <c r="C204" s="7" t="s">
        <v>173</v>
      </c>
      <c r="D204" s="125" t="s">
        <v>447</v>
      </c>
      <c r="E204" s="114">
        <f>LULU_Financial!J152</f>
        <v>246.90221066090885</v>
      </c>
      <c r="F204" s="272">
        <f>Aritzia_Financial!H193</f>
        <v>0</v>
      </c>
      <c r="G204" s="237"/>
      <c r="H204" s="238"/>
      <c r="I204" s="18">
        <f t="shared" si="78"/>
        <v>246.90221066090885</v>
      </c>
      <c r="J204" s="18">
        <f>LULU_Financial!K152+Aritzia_Financial!I193</f>
        <v>287.94729754199022</v>
      </c>
      <c r="K204" s="18">
        <f>LULU_Financial!L152+Aritzia_Financial!J193</f>
        <v>327.21883702783725</v>
      </c>
      <c r="L204" s="18">
        <f>LULU_Financial!M152+Aritzia_Financial!K193</f>
        <v>362.08327627299764</v>
      </c>
      <c r="M204" s="18">
        <f>LULU_Financial!N152+Aritzia_Financial!L193</f>
        <v>389.07458275546003</v>
      </c>
      <c r="N204" s="18">
        <f>LULU_Financial!O152+Aritzia_Financial!M193</f>
        <v>404.38690598855294</v>
      </c>
      <c r="O204" s="18">
        <f>LULU_Financial!P152+Aritzia_Financial!N193</f>
        <v>404.38690598855294</v>
      </c>
      <c r="P204" s="18">
        <f>LULU_Financial!Q152+Aritzia_Financial!O193</f>
        <v>404.38690598855294</v>
      </c>
      <c r="Q204" s="18">
        <f>LULU_Financial!R152+Aritzia_Financial!P193</f>
        <v>404.38690598855294</v>
      </c>
      <c r="R204" s="18">
        <f>LULU_Financial!S152+Aritzia_Financial!Q193</f>
        <v>404.38690598855294</v>
      </c>
    </row>
    <row r="205" spans="1:18">
      <c r="C205" s="7" t="s">
        <v>405</v>
      </c>
      <c r="D205" s="125" t="s">
        <v>447</v>
      </c>
      <c r="E205" s="114">
        <v>0</v>
      </c>
      <c r="F205" s="272">
        <f>Aritzia_Financial!H194</f>
        <v>78.278451626477477</v>
      </c>
      <c r="G205" s="237"/>
      <c r="H205" s="238"/>
      <c r="I205" s="18">
        <f t="shared" si="78"/>
        <v>78.278451626477477</v>
      </c>
      <c r="J205" s="18">
        <f>Aritzia_Financial!I194</f>
        <v>94.708202750991106</v>
      </c>
      <c r="K205" s="18">
        <f>Aritzia_Financial!J194</f>
        <v>112.18725100971531</v>
      </c>
      <c r="L205" s="18">
        <f>Aritzia_Financial!K194</f>
        <v>123.11393622125772</v>
      </c>
      <c r="M205" s="18">
        <f>Aritzia_Financial!L194</f>
        <v>135.41293174980626</v>
      </c>
      <c r="N205" s="18">
        <f>Aritzia_Financial!M194</f>
        <v>148.93981929374968</v>
      </c>
      <c r="O205" s="18">
        <f>Aritzia_Financial!N194</f>
        <v>162.06141737352903</v>
      </c>
      <c r="P205" s="18">
        <f>Aritzia_Financial!O194</f>
        <v>174.22540465106195</v>
      </c>
      <c r="Q205" s="18">
        <f>Aritzia_Financial!P194</f>
        <v>186.85295489222747</v>
      </c>
      <c r="R205" s="18">
        <f>Aritzia_Financial!Q194</f>
        <v>198.94325172894989</v>
      </c>
    </row>
    <row r="206" spans="1:18">
      <c r="C206" s="12" t="s">
        <v>403</v>
      </c>
      <c r="D206" s="289" t="s">
        <v>447</v>
      </c>
      <c r="E206" s="273">
        <f>LULU_Financial!J153</f>
        <v>381.37512982581217</v>
      </c>
      <c r="F206" s="274">
        <v>0</v>
      </c>
      <c r="G206" s="239"/>
      <c r="H206" s="236"/>
      <c r="I206" s="39">
        <f t="shared" si="78"/>
        <v>381.37512982581217</v>
      </c>
      <c r="J206" s="39">
        <f>LULU_Financial!K153</f>
        <v>468.50770256771995</v>
      </c>
      <c r="K206" s="39">
        <f>LULU_Financial!L153</f>
        <v>571.07605264101153</v>
      </c>
      <c r="L206" s="39">
        <f>LULU_Financial!M153</f>
        <v>687.62814630693822</v>
      </c>
      <c r="M206" s="39">
        <f>LULU_Financial!N153</f>
        <v>812.10663593294339</v>
      </c>
      <c r="N206" s="39">
        <f>LULU_Financial!O153</f>
        <v>937.47594250328882</v>
      </c>
      <c r="O206" s="39">
        <f>LULU_Financial!P153</f>
        <v>1067.7027088535276</v>
      </c>
      <c r="P206" s="39">
        <f>LULU_Financial!Q153</f>
        <v>1202.164654595734</v>
      </c>
      <c r="Q206" s="39">
        <f>LULU_Financial!R153</f>
        <v>1340.8913854798202</v>
      </c>
      <c r="R206" s="39">
        <f>LULU_Financial!S153</f>
        <v>1482.3509614642271</v>
      </c>
    </row>
    <row r="207" spans="1:18" s="2" customFormat="1">
      <c r="C207" s="2" t="s">
        <v>34</v>
      </c>
      <c r="D207" s="125" t="s">
        <v>447</v>
      </c>
      <c r="E207" s="41">
        <f>SUM(E202:E206)</f>
        <v>1797.6666152767132</v>
      </c>
      <c r="F207" s="213">
        <f>SUM(F202:F206)</f>
        <v>287.3026180511917</v>
      </c>
      <c r="G207" s="237"/>
      <c r="H207" s="238"/>
      <c r="I207" s="41">
        <f>SUM(I202:I206)</f>
        <v>2084.9692333279049</v>
      </c>
      <c r="J207" s="41">
        <f>SUM(J202:J206)</f>
        <v>2538.3013583561747</v>
      </c>
      <c r="K207" s="41">
        <f t="shared" ref="K207:R207" si="79">SUM(K202:K206)</f>
        <v>3055.6216072011439</v>
      </c>
      <c r="L207" s="41">
        <f t="shared" si="79"/>
        <v>3600.9728640410644</v>
      </c>
      <c r="M207" s="41">
        <f t="shared" si="79"/>
        <v>4175.0495194882078</v>
      </c>
      <c r="N207" s="41">
        <f t="shared" si="79"/>
        <v>4744.8242407609605</v>
      </c>
      <c r="O207" s="41">
        <f t="shared" si="79"/>
        <v>5316.9484173390738</v>
      </c>
      <c r="P207" s="41">
        <f t="shared" si="79"/>
        <v>5902.3011849851891</v>
      </c>
      <c r="Q207" s="41">
        <f t="shared" si="79"/>
        <v>6505.2938394487583</v>
      </c>
      <c r="R207" s="41">
        <f t="shared" si="79"/>
        <v>7122.4651076401105</v>
      </c>
    </row>
    <row r="208" spans="1:18">
      <c r="F208" s="198"/>
      <c r="G208" s="237"/>
      <c r="H208" s="238"/>
    </row>
    <row r="209" spans="3:18" s="2" customFormat="1">
      <c r="C209" s="2" t="s">
        <v>33</v>
      </c>
      <c r="D209" s="125" t="s">
        <v>447</v>
      </c>
      <c r="F209" s="197"/>
      <c r="G209" s="237"/>
      <c r="H209" s="238"/>
    </row>
    <row r="210" spans="3:18">
      <c r="C210" s="7" t="s">
        <v>32</v>
      </c>
      <c r="D210" s="125" t="s">
        <v>447</v>
      </c>
      <c r="E210" s="114">
        <f>LULU_Financial!J157</f>
        <v>1332.441327052906</v>
      </c>
      <c r="F210" s="272">
        <f>Aritzia_Financial!H198</f>
        <v>654.34321660191517</v>
      </c>
      <c r="G210" s="237"/>
      <c r="H210" s="238"/>
      <c r="I210" s="18">
        <f t="shared" ref="I210:I213" si="80">E210+F210+G210+H210</f>
        <v>1986.7845436548212</v>
      </c>
      <c r="J210" s="18">
        <f>LULU_Financial!K157+Aritzia_Financial!I198</f>
        <v>2401.4299744860964</v>
      </c>
      <c r="K210" s="18">
        <f>LULU_Financial!L157+Aritzia_Financial!J198</f>
        <v>2898.4571592783736</v>
      </c>
      <c r="L210" s="18">
        <f>LULU_Financial!M157+Aritzia_Financial!K198</f>
        <v>3461.3984104364881</v>
      </c>
      <c r="M210" s="18">
        <f>LULU_Financial!N157+Aritzia_Financial!L198</f>
        <v>4083.5402343066194</v>
      </c>
      <c r="N210" s="18">
        <f>LULU_Financial!O157+Aritzia_Financial!M198</f>
        <v>4748.7319545162718</v>
      </c>
      <c r="O210" s="18">
        <f>LULU_Financial!P157+Aritzia_Financial!N198</f>
        <v>5450.18437544884</v>
      </c>
      <c r="P210" s="18">
        <f>LULU_Financial!Q157+Aritzia_Financial!O198</f>
        <v>6180.8563627240419</v>
      </c>
      <c r="Q210" s="18">
        <f>LULU_Financial!R157+Aritzia_Financial!P198</f>
        <v>6938.8964496930221</v>
      </c>
      <c r="R210" s="18">
        <f>LULU_Financial!S157+Aritzia_Financial!Q198</f>
        <v>7718.3957517198232</v>
      </c>
    </row>
    <row r="211" spans="3:18">
      <c r="C211" s="225" t="s">
        <v>406</v>
      </c>
      <c r="D211" s="295" t="s">
        <v>447</v>
      </c>
      <c r="E211" s="234">
        <f>LULU_Financial!J158</f>
        <v>45.159203555831894</v>
      </c>
      <c r="F211" s="233">
        <f>Aritzia_Financial!H199</f>
        <v>9.2971488160761897</v>
      </c>
      <c r="G211" s="278">
        <f>-F211</f>
        <v>-9.2971488160761897</v>
      </c>
      <c r="H211" s="279">
        <f>N98</f>
        <v>425.19428004846043</v>
      </c>
      <c r="I211" s="234">
        <f t="shared" si="80"/>
        <v>470.35348360429231</v>
      </c>
      <c r="J211" s="226">
        <f>I211+I158+I153</f>
        <v>439.04975709337282</v>
      </c>
      <c r="K211" s="226">
        <f t="shared" ref="K211:R211" si="81">J211+J158+J153</f>
        <v>407.56577245527546</v>
      </c>
      <c r="L211" s="226">
        <f t="shared" si="81"/>
        <v>374.68940648562926</v>
      </c>
      <c r="M211" s="226">
        <f t="shared" si="81"/>
        <v>342.24183766954894</v>
      </c>
      <c r="N211" s="226">
        <f t="shared" si="81"/>
        <v>310.37400240749753</v>
      </c>
      <c r="O211" s="226">
        <f t="shared" si="81"/>
        <v>306.18366466600708</v>
      </c>
      <c r="P211" s="226">
        <f t="shared" si="81"/>
        <v>302.48947024345364</v>
      </c>
      <c r="Q211" s="226">
        <f t="shared" si="81"/>
        <v>299.95648697583124</v>
      </c>
      <c r="R211" s="226">
        <f t="shared" si="81"/>
        <v>299.296562364267</v>
      </c>
    </row>
    <row r="212" spans="3:18">
      <c r="C212" s="227" t="s">
        <v>410</v>
      </c>
      <c r="D212" s="296" t="s">
        <v>447</v>
      </c>
      <c r="E212" s="243">
        <v>0</v>
      </c>
      <c r="F212" s="244">
        <v>0</v>
      </c>
      <c r="G212" s="280">
        <f>-N79</f>
        <v>-23.468380464086206</v>
      </c>
      <c r="H212" s="281">
        <f>K19</f>
        <v>1173.4190232043102</v>
      </c>
      <c r="I212" s="243">
        <f t="shared" si="80"/>
        <v>1149.9506427402239</v>
      </c>
      <c r="J212" s="228">
        <f>I212+I171+I156+I157</f>
        <v>1108.294267416471</v>
      </c>
      <c r="K212" s="228">
        <f t="shared" ref="K212:R212" si="82">J212+J171+J156+J157</f>
        <v>1057.2945431204539</v>
      </c>
      <c r="L212" s="228">
        <f t="shared" si="82"/>
        <v>1006.1052383135001</v>
      </c>
      <c r="M212" s="228">
        <f t="shared" si="82"/>
        <v>954.72161348283646</v>
      </c>
      <c r="N212" s="228">
        <f t="shared" si="82"/>
        <v>903.13881062787016</v>
      </c>
      <c r="O212" s="228">
        <f t="shared" si="82"/>
        <v>851.35185029799368</v>
      </c>
      <c r="P212" s="228">
        <f t="shared" si="82"/>
        <v>799.3556285563343</v>
      </c>
      <c r="Q212" s="228">
        <f t="shared" si="82"/>
        <v>747.14491386759744</v>
      </c>
      <c r="R212" s="228">
        <f t="shared" si="82"/>
        <v>694.71434390810612</v>
      </c>
    </row>
    <row r="213" spans="3:18">
      <c r="C213" s="7" t="s">
        <v>407</v>
      </c>
      <c r="D213" s="125" t="s">
        <v>447</v>
      </c>
      <c r="E213" s="114">
        <f>LULU_Financial!J159</f>
        <v>-148.52000000000001</v>
      </c>
      <c r="F213" s="272">
        <f>Aritzia_Financial!H201</f>
        <v>43.984500000000004</v>
      </c>
      <c r="G213" s="239"/>
      <c r="H213" s="236"/>
      <c r="I213" s="18">
        <f t="shared" si="80"/>
        <v>-104.53550000000001</v>
      </c>
      <c r="J213" s="18">
        <f>LULU_Financial!K159+Aritzia_Financial!I201</f>
        <v>-281.89297222222223</v>
      </c>
      <c r="K213" s="18">
        <f>LULU_Financial!L159+Aritzia_Financial!J201</f>
        <v>-466.96640740740742</v>
      </c>
      <c r="L213" s="18">
        <f>LULU_Financial!M159+Aritzia_Financial!K201</f>
        <v>-645.2063765432099</v>
      </c>
      <c r="M213" s="18">
        <f>LULU_Financial!N159+Aritzia_Financial!L201</f>
        <v>-825.43000205761314</v>
      </c>
      <c r="N213" s="18">
        <f>LULU_Financial!O159+Aritzia_Financial!M201</f>
        <v>-1006.6090120027434</v>
      </c>
      <c r="O213" s="18">
        <f>LULU_Financial!P159+Aritzia_Financial!N201</f>
        <v>-1186.4898802011885</v>
      </c>
      <c r="P213" s="18">
        <f>LULU_Financial!Q159+Aritzia_Financial!O201</f>
        <v>-1366.9177147538483</v>
      </c>
      <c r="Q213" s="18">
        <f>LULU_Financial!R159+Aritzia_Financial!P201</f>
        <v>-1547.4136189859266</v>
      </c>
      <c r="R213" s="18">
        <f>LULU_Financial!S159+Aritzia_Financial!Q201</f>
        <v>-1727.6818213136546</v>
      </c>
    </row>
    <row r="214" spans="3:18" s="2" customFormat="1">
      <c r="C214" s="215" t="s">
        <v>408</v>
      </c>
      <c r="D214" s="297" t="s">
        <v>447</v>
      </c>
      <c r="E214" s="216">
        <f>SUM(E210:E213)</f>
        <v>1229.0805306087379</v>
      </c>
      <c r="F214" s="218">
        <f>SUM(F210:F213)</f>
        <v>707.62486541799137</v>
      </c>
      <c r="G214" s="237"/>
      <c r="H214" s="238"/>
      <c r="I214" s="216">
        <f>SUM(I210:I213)</f>
        <v>3502.5531699993376</v>
      </c>
      <c r="J214" s="216">
        <f>SUM(J210:J213)</f>
        <v>3666.8810267737181</v>
      </c>
      <c r="K214" s="216">
        <f t="shared" ref="K214:R214" si="83">SUM(K210:K213)</f>
        <v>3896.3510674466947</v>
      </c>
      <c r="L214" s="216">
        <f t="shared" si="83"/>
        <v>4196.9866786924067</v>
      </c>
      <c r="M214" s="216">
        <f t="shared" si="83"/>
        <v>4555.0736834013924</v>
      </c>
      <c r="N214" s="216">
        <f t="shared" si="83"/>
        <v>4955.6357555488958</v>
      </c>
      <c r="O214" s="216">
        <f t="shared" si="83"/>
        <v>5421.2300102116515</v>
      </c>
      <c r="P214" s="216">
        <f t="shared" si="83"/>
        <v>5915.7837467699819</v>
      </c>
      <c r="Q214" s="216">
        <f t="shared" si="83"/>
        <v>6438.5842315505242</v>
      </c>
      <c r="R214" s="216">
        <f t="shared" si="83"/>
        <v>6984.7248366785416</v>
      </c>
    </row>
    <row r="215" spans="3:18">
      <c r="F215" s="198"/>
      <c r="G215" s="237"/>
      <c r="H215" s="238"/>
    </row>
    <row r="216" spans="3:18" s="122" customFormat="1">
      <c r="C216" s="253" t="s">
        <v>28</v>
      </c>
      <c r="D216" s="285" t="s">
        <v>447</v>
      </c>
      <c r="E216" s="254">
        <f>LULU_Financial!J164</f>
        <v>4347.1277738393783</v>
      </c>
      <c r="F216" s="251">
        <f>Aritzia_Financial!H204</f>
        <v>699.28333556604935</v>
      </c>
      <c r="G216" s="254">
        <f>G86-N78</f>
        <v>-737.9211405660493</v>
      </c>
      <c r="H216" s="251">
        <f>G78</f>
        <v>450.14581083471376</v>
      </c>
      <c r="I216" s="252">
        <f t="shared" ref="I216" si="84">E216+F216+G216+H216</f>
        <v>4758.6357796740922</v>
      </c>
      <c r="J216" s="252">
        <f>I216+I146+I151+I170+I172</f>
        <v>6309.6168559062799</v>
      </c>
      <c r="K216" s="252">
        <f t="shared" ref="K216:R216" si="85">J216+J146+J151+J170+J172</f>
        <v>8244.2016150300351</v>
      </c>
      <c r="L216" s="252">
        <f t="shared" si="85"/>
        <v>10569.627276891339</v>
      </c>
      <c r="M216" s="252">
        <f t="shared" si="85"/>
        <v>13282.242094455392</v>
      </c>
      <c r="N216" s="252">
        <f t="shared" si="85"/>
        <v>16377.95214015214</v>
      </c>
      <c r="O216" s="252">
        <f t="shared" si="85"/>
        <v>19950.560635030899</v>
      </c>
      <c r="P216" s="252">
        <f t="shared" si="85"/>
        <v>23918.448526344178</v>
      </c>
      <c r="Q216" s="252">
        <f t="shared" si="85"/>
        <v>28294.608925763801</v>
      </c>
      <c r="R216" s="122">
        <f t="shared" si="85"/>
        <v>33064.352325387699</v>
      </c>
    </row>
    <row r="217" spans="3:18">
      <c r="F217" s="198"/>
      <c r="G217" s="237"/>
      <c r="H217" s="238"/>
      <c r="I217" s="44"/>
    </row>
    <row r="218" spans="3:18" s="2" customFormat="1">
      <c r="C218" s="2" t="s">
        <v>25</v>
      </c>
      <c r="D218" s="125" t="s">
        <v>447</v>
      </c>
      <c r="E218" s="3">
        <f>E216+E207+E214</f>
        <v>7373.8749197248289</v>
      </c>
      <c r="F218" s="214">
        <f>F216+F207+F214</f>
        <v>1694.2108190352324</v>
      </c>
      <c r="G218" s="237"/>
      <c r="H218" s="238"/>
      <c r="I218" s="3">
        <f>I216+I214+I207</f>
        <v>10346.158183001335</v>
      </c>
      <c r="J218" s="3">
        <f>J216+J214+J207</f>
        <v>12514.799241036173</v>
      </c>
      <c r="K218" s="3">
        <f t="shared" ref="K218:R218" si="86">K216+K214+K207</f>
        <v>15196.174289677874</v>
      </c>
      <c r="L218" s="3">
        <f t="shared" si="86"/>
        <v>18367.586819624808</v>
      </c>
      <c r="M218" s="3">
        <f t="shared" si="86"/>
        <v>22012.365297344993</v>
      </c>
      <c r="N218" s="3">
        <f t="shared" si="86"/>
        <v>26078.412136461997</v>
      </c>
      <c r="O218" s="3">
        <f t="shared" si="86"/>
        <v>30688.739062581626</v>
      </c>
      <c r="P218" s="3">
        <f t="shared" si="86"/>
        <v>35736.533458099351</v>
      </c>
      <c r="Q218" s="3">
        <f t="shared" si="86"/>
        <v>41238.48699676308</v>
      </c>
      <c r="R218" s="3">
        <f t="shared" si="86"/>
        <v>47171.542269706355</v>
      </c>
    </row>
    <row r="219" spans="3:18">
      <c r="F219" s="198"/>
      <c r="G219" s="237"/>
      <c r="H219" s="238"/>
    </row>
    <row r="220" spans="3:18" s="2" customFormat="1">
      <c r="C220" s="2" t="s">
        <v>24</v>
      </c>
      <c r="D220" s="125"/>
      <c r="E220" s="217">
        <f>E218-E198</f>
        <v>0</v>
      </c>
      <c r="F220" s="219">
        <f>F218-F198</f>
        <v>0</v>
      </c>
      <c r="G220" s="247"/>
      <c r="H220" s="245"/>
      <c r="I220" s="217">
        <f>I218-I198</f>
        <v>0</v>
      </c>
      <c r="J220" s="248">
        <f>J218-J198</f>
        <v>0</v>
      </c>
      <c r="K220" s="248">
        <f t="shared" ref="K220:R220" si="87">K218-K198</f>
        <v>0</v>
      </c>
      <c r="L220" s="248">
        <f t="shared" si="87"/>
        <v>0</v>
      </c>
      <c r="M220" s="248">
        <f t="shared" si="87"/>
        <v>0</v>
      </c>
      <c r="N220" s="248">
        <f t="shared" si="87"/>
        <v>0</v>
      </c>
      <c r="O220" s="248">
        <f t="shared" si="87"/>
        <v>0</v>
      </c>
      <c r="P220" s="248">
        <f t="shared" si="87"/>
        <v>0</v>
      </c>
      <c r="Q220" s="248">
        <f t="shared" si="87"/>
        <v>0</v>
      </c>
      <c r="R220" s="248">
        <f t="shared" si="87"/>
        <v>0</v>
      </c>
    </row>
    <row r="224" spans="3:18">
      <c r="C224" s="139"/>
      <c r="D224" s="298" t="s">
        <v>413</v>
      </c>
      <c r="E224" s="249"/>
      <c r="F224" s="249"/>
      <c r="G224" s="249"/>
    </row>
    <row r="225" spans="3:7">
      <c r="C225" s="250" t="s">
        <v>414</v>
      </c>
      <c r="D225" s="286">
        <f>M141</f>
        <v>0.12238535676672237</v>
      </c>
      <c r="E225" s="19" t="str">
        <f>D226</f>
        <v>Upside</v>
      </c>
      <c r="F225" s="19" t="str">
        <f>D227</f>
        <v>Base</v>
      </c>
      <c r="G225" s="19" t="str">
        <f>D228</f>
        <v>Downside</v>
      </c>
    </row>
    <row r="226" spans="3:7">
      <c r="C226" s="249"/>
      <c r="D226" s="125" t="s">
        <v>108</v>
      </c>
      <c r="E226" s="57">
        <f t="dataTable" ref="E226:G228" dt2D="1" dtr="1" r1="Q6" r2="Q7"/>
        <v>0.29966369970399664</v>
      </c>
      <c r="F226" s="57">
        <v>0.52274181626941907</v>
      </c>
      <c r="G226" s="57">
        <v>0.83555154555863975</v>
      </c>
    </row>
    <row r="227" spans="3:7">
      <c r="C227" s="249"/>
      <c r="D227" s="125" t="s">
        <v>107</v>
      </c>
      <c r="E227" s="57">
        <v>6.8359247006754359E-2</v>
      </c>
      <c r="F227" s="57">
        <v>0.12238535676672237</v>
      </c>
      <c r="G227" s="57">
        <v>0.19954471596932341</v>
      </c>
    </row>
    <row r="228" spans="3:7">
      <c r="C228" s="249"/>
      <c r="D228" s="125" t="s">
        <v>106</v>
      </c>
      <c r="E228" s="57">
        <v>2.89270688911357E-2</v>
      </c>
      <c r="F228" s="57">
        <v>5.4213761132795926E-2</v>
      </c>
      <c r="G228" s="57">
        <v>9.1311300446259902E-2</v>
      </c>
    </row>
  </sheetData>
  <dataValidations disablePrompts="1" count="2">
    <dataValidation type="decimal" allowBlank="1" showInputMessage="1" showErrorMessage="1" sqref="M13" xr:uid="{F2791A23-E34E-46DA-B465-E7F0190EFD50}">
      <formula1>0</formula1>
      <formula2>2</formula2>
    </dataValidation>
    <dataValidation type="whole" allowBlank="1" showInputMessage="1" showErrorMessage="1" sqref="M9:M10 Q9" xr:uid="{E1590BD4-1AC4-4791-B5FB-28CC9A8E5CF3}">
      <formula1>0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101F30D-79BD-4FFB-BBD0-27258DB09734}">
          <x14:formula1>
            <xm:f>LULU_Financial!$C$43:$C$45</xm:f>
          </x14:formula1>
          <xm:sqref>Q6:Q7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72F7-A325-411F-A37F-5C297A5B6143}">
  <dimension ref="B2:N16"/>
  <sheetViews>
    <sheetView showGridLines="0" workbookViewId="0">
      <selection activeCell="A14" sqref="A14"/>
    </sheetView>
  </sheetViews>
  <sheetFormatPr defaultRowHeight="14.4"/>
  <cols>
    <col min="1" max="1" width="1.77734375" customWidth="1"/>
    <col min="2" max="10" width="13.77734375" customWidth="1"/>
    <col min="12" max="12" width="19" bestFit="1" customWidth="1"/>
  </cols>
  <sheetData>
    <row r="2" spans="2:14" ht="15.6">
      <c r="B2" s="2" t="s">
        <v>450</v>
      </c>
    </row>
    <row r="4" spans="2:14" ht="15.6">
      <c r="B4" s="30" t="s">
        <v>306</v>
      </c>
      <c r="C4" s="30"/>
      <c r="D4" s="30"/>
      <c r="E4" s="30"/>
      <c r="F4" s="30"/>
      <c r="G4" s="30"/>
      <c r="H4" s="30"/>
      <c r="I4" s="30"/>
      <c r="J4" s="29"/>
    </row>
    <row r="5" spans="2:14" ht="15.6">
      <c r="B5" s="24">
        <v>45657</v>
      </c>
      <c r="C5" s="24">
        <v>46022</v>
      </c>
      <c r="D5" s="24">
        <v>46387</v>
      </c>
      <c r="E5" s="24">
        <v>46752</v>
      </c>
      <c r="F5" s="24">
        <v>47118</v>
      </c>
      <c r="G5" s="24">
        <v>47483</v>
      </c>
      <c r="H5" s="24">
        <v>47848</v>
      </c>
      <c r="I5" s="24">
        <v>48213</v>
      </c>
      <c r="J5" s="24">
        <v>48579</v>
      </c>
    </row>
    <row r="6" spans="2:14" ht="15.6">
      <c r="B6" s="138">
        <v>0.05</v>
      </c>
      <c r="C6" s="138">
        <v>0.1</v>
      </c>
      <c r="D6" s="138">
        <f>C6+0.5%</f>
        <v>0.10500000000000001</v>
      </c>
      <c r="E6" s="138">
        <f t="shared" ref="E6:H6" si="0">D6+0.5%</f>
        <v>0.11000000000000001</v>
      </c>
      <c r="F6" s="138">
        <f t="shared" si="0"/>
        <v>0.11500000000000002</v>
      </c>
      <c r="G6" s="138">
        <f t="shared" si="0"/>
        <v>0.12000000000000002</v>
      </c>
      <c r="H6" s="138">
        <f t="shared" si="0"/>
        <v>0.12500000000000003</v>
      </c>
      <c r="I6" s="138">
        <f>H6</f>
        <v>0.12500000000000003</v>
      </c>
      <c r="J6" s="138">
        <f>I6</f>
        <v>0.12500000000000003</v>
      </c>
    </row>
    <row r="9" spans="2:14" ht="15.6">
      <c r="B9" s="30" t="s">
        <v>307</v>
      </c>
      <c r="C9" s="30"/>
      <c r="D9" s="30"/>
      <c r="E9" s="30"/>
      <c r="F9" s="30"/>
      <c r="G9" s="30"/>
      <c r="H9" s="30"/>
      <c r="I9" s="30"/>
      <c r="J9" s="29"/>
    </row>
    <row r="10" spans="2:14" ht="15.6">
      <c r="B10" s="24">
        <v>45657</v>
      </c>
      <c r="C10" s="24">
        <v>46022</v>
      </c>
      <c r="D10" s="24">
        <v>46387</v>
      </c>
      <c r="E10" s="24">
        <v>46752</v>
      </c>
      <c r="F10" s="24">
        <v>47118</v>
      </c>
      <c r="G10" s="24">
        <v>47483</v>
      </c>
      <c r="H10" s="24">
        <v>47848</v>
      </c>
      <c r="I10" s="24">
        <v>48213</v>
      </c>
      <c r="J10" s="24">
        <v>48579</v>
      </c>
    </row>
    <row r="11" spans="2:14" ht="15.6">
      <c r="B11" s="169">
        <f>-Aritzia_Financial!I158*5%</f>
        <v>34.544785506553403</v>
      </c>
      <c r="C11" s="169">
        <f>-Aritzia_Financial!J158*10%</f>
        <v>81.840525110374884</v>
      </c>
      <c r="D11" s="169">
        <f>-Aritzia_Financial!K158*15%</f>
        <v>134.71730207401711</v>
      </c>
      <c r="E11" s="169">
        <f>-Aritzia_Financial!L158*15%</f>
        <v>148.17546567987193</v>
      </c>
      <c r="F11" s="169">
        <f>-Aritzia_Financial!M158*15%</f>
        <v>162.9772489004464</v>
      </c>
      <c r="G11" s="169">
        <f>-Aritzia_Financial!N158*15%</f>
        <v>177.3355445285757</v>
      </c>
      <c r="H11" s="169">
        <f>-Aritzia_Financial!O158*15%</f>
        <v>190.64597549024091</v>
      </c>
      <c r="I11" s="169">
        <f>-Aritzia_Financial!P158*15%</f>
        <v>204.46365976309735</v>
      </c>
      <c r="J11" s="169">
        <f>-Aritzia_Financial!Q158*15%</f>
        <v>217.69345503331007</v>
      </c>
    </row>
    <row r="13" spans="2:14" ht="15.6">
      <c r="B13" s="30" t="s">
        <v>335</v>
      </c>
      <c r="C13" s="30"/>
      <c r="D13" s="30"/>
      <c r="E13" s="30"/>
      <c r="F13" s="30"/>
      <c r="G13" s="30"/>
      <c r="H13" s="30"/>
      <c r="I13" s="30"/>
      <c r="J13" s="29"/>
    </row>
    <row r="14" spans="2:14" ht="15.6">
      <c r="B14" s="24">
        <v>45657</v>
      </c>
      <c r="C14" s="24">
        <v>46022</v>
      </c>
      <c r="D14" s="24">
        <v>46387</v>
      </c>
      <c r="E14" s="24">
        <v>46752</v>
      </c>
      <c r="F14" s="24">
        <v>47118</v>
      </c>
      <c r="G14" s="24">
        <v>47483</v>
      </c>
      <c r="H14" s="24">
        <v>47848</v>
      </c>
      <c r="I14" s="24">
        <v>48213</v>
      </c>
      <c r="J14" s="24">
        <v>48579</v>
      </c>
      <c r="L14" s="299" t="s">
        <v>336</v>
      </c>
      <c r="N14" s="169">
        <v>300</v>
      </c>
    </row>
    <row r="15" spans="2:14" ht="15.6">
      <c r="B15" s="138">
        <v>0.2</v>
      </c>
      <c r="C15" s="138">
        <v>0.2</v>
      </c>
      <c r="D15" s="138">
        <v>0.2</v>
      </c>
      <c r="E15" s="138">
        <v>0.2</v>
      </c>
      <c r="F15" s="138">
        <v>0.2</v>
      </c>
      <c r="G15" s="138">
        <v>0</v>
      </c>
      <c r="H15" s="138">
        <v>0</v>
      </c>
      <c r="I15" s="138">
        <v>0</v>
      </c>
      <c r="J15" s="138">
        <v>0</v>
      </c>
    </row>
    <row r="16" spans="2:14">
      <c r="B16" s="170">
        <f>B15*$N$14</f>
        <v>60</v>
      </c>
      <c r="C16" s="170">
        <f t="shared" ref="C16:J16" si="1">C15*$N$14</f>
        <v>60</v>
      </c>
      <c r="D16" s="170">
        <f t="shared" si="1"/>
        <v>60</v>
      </c>
      <c r="E16" s="170">
        <f t="shared" si="1"/>
        <v>60</v>
      </c>
      <c r="F16" s="170">
        <f t="shared" si="1"/>
        <v>60</v>
      </c>
      <c r="G16" s="170">
        <f t="shared" si="1"/>
        <v>0</v>
      </c>
      <c r="H16" s="170">
        <f t="shared" si="1"/>
        <v>0</v>
      </c>
      <c r="I16" s="170">
        <f t="shared" si="1"/>
        <v>0</v>
      </c>
      <c r="J16" s="170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DC30-7857-43FC-B194-AA07E7FE405D}">
  <dimension ref="A1:XFA202"/>
  <sheetViews>
    <sheetView showGridLines="0" topLeftCell="A23" zoomScale="85" zoomScaleNormal="85" workbookViewId="0">
      <selection activeCell="D1" sqref="D1"/>
    </sheetView>
  </sheetViews>
  <sheetFormatPr defaultRowHeight="15.6" outlineLevelRow="1" outlineLevelCol="2"/>
  <cols>
    <col min="1" max="2" width="1.77734375" style="1" customWidth="1"/>
    <col min="3" max="3" width="43.33203125" style="1" bestFit="1" customWidth="1"/>
    <col min="4" max="4" width="15.77734375" style="1" customWidth="1"/>
    <col min="5" max="6" width="15.77734375" style="1" customWidth="1" outlineLevel="2"/>
    <col min="7" max="9" width="15.77734375" style="1" customWidth="1" outlineLevel="1"/>
    <col min="10" max="19" width="15.77734375" style="1" customWidth="1"/>
    <col min="20" max="16384" width="8.88671875" style="1"/>
  </cols>
  <sheetData>
    <row r="1" spans="1:20" ht="18">
      <c r="A1" s="99" t="s">
        <v>152</v>
      </c>
    </row>
    <row r="2" spans="1:20">
      <c r="A2" s="1" t="s">
        <v>151</v>
      </c>
    </row>
    <row r="3" spans="1:20">
      <c r="B3" s="33" t="s">
        <v>150</v>
      </c>
      <c r="C3" s="32"/>
      <c r="D3" s="32"/>
      <c r="E3" s="98"/>
      <c r="F3" s="98"/>
      <c r="G3" s="98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>
      <c r="C4" s="1" t="s">
        <v>149</v>
      </c>
      <c r="D4" s="96" t="s">
        <v>148</v>
      </c>
      <c r="G4" s="1" t="s">
        <v>147</v>
      </c>
      <c r="I4" s="97">
        <v>3.1E-2</v>
      </c>
    </row>
    <row r="5" spans="1:20">
      <c r="C5" s="1" t="s">
        <v>146</v>
      </c>
      <c r="D5" s="96" t="s">
        <v>145</v>
      </c>
      <c r="G5" s="1" t="s">
        <v>144</v>
      </c>
      <c r="I5" s="94">
        <f>AVERAGE(F60:I60)</f>
        <v>0.14799804098919045</v>
      </c>
    </row>
    <row r="6" spans="1:20">
      <c r="C6" s="92" t="s">
        <v>143</v>
      </c>
      <c r="D6" s="96">
        <f>-I124/I123</f>
        <v>0.35853324138075959</v>
      </c>
      <c r="G6" s="1" t="s">
        <v>142</v>
      </c>
      <c r="I6" s="94">
        <f>AVERAGE(H28:I28)</f>
        <v>0.45038202531012272</v>
      </c>
    </row>
    <row r="7" spans="1:20">
      <c r="C7" s="92" t="s">
        <v>141</v>
      </c>
      <c r="D7" s="95">
        <f>10^3</f>
        <v>1000</v>
      </c>
      <c r="G7" s="1" t="s">
        <v>140</v>
      </c>
      <c r="I7" s="94">
        <f>AVERAGE(H30:I30)</f>
        <v>0.45008647026434345</v>
      </c>
    </row>
    <row r="8" spans="1:20">
      <c r="C8" s="92" t="s">
        <v>139</v>
      </c>
      <c r="D8" s="93">
        <v>384.61</v>
      </c>
    </row>
    <row r="9" spans="1:20">
      <c r="C9" s="92" t="s">
        <v>138</v>
      </c>
      <c r="D9" s="91">
        <f>128017/Conversion_Unit</f>
        <v>128.017</v>
      </c>
      <c r="G9" s="133" t="s">
        <v>242</v>
      </c>
      <c r="H9" s="133"/>
      <c r="I9" s="134">
        <v>49236.618370000004</v>
      </c>
    </row>
    <row r="10" spans="1:20">
      <c r="C10" s="89" t="s">
        <v>137</v>
      </c>
      <c r="D10" s="90">
        <v>1</v>
      </c>
      <c r="G10" s="7" t="s">
        <v>244</v>
      </c>
      <c r="I10" s="18">
        <v>-1154.867</v>
      </c>
    </row>
    <row r="11" spans="1:20">
      <c r="C11" s="89"/>
      <c r="D11" s="89"/>
      <c r="G11" s="7" t="s">
        <v>245</v>
      </c>
      <c r="I11" s="18">
        <v>0</v>
      </c>
    </row>
    <row r="12" spans="1:20">
      <c r="C12" s="89" t="s">
        <v>136</v>
      </c>
      <c r="D12" s="56" t="str">
        <f>Merger_Model!$Q$6</f>
        <v>Base</v>
      </c>
      <c r="G12" s="133" t="s">
        <v>246</v>
      </c>
      <c r="H12" s="133"/>
      <c r="I12" s="134">
        <v>48081.751370000005</v>
      </c>
    </row>
    <row r="13" spans="1:20">
      <c r="C13" s="89" t="s">
        <v>135</v>
      </c>
      <c r="D13" s="56">
        <v>1.7000000000000001E-2</v>
      </c>
    </row>
    <row r="14" spans="1:20">
      <c r="C14" s="89" t="s">
        <v>134</v>
      </c>
      <c r="D14" s="56">
        <v>2.5000000000000001E-2</v>
      </c>
    </row>
    <row r="16" spans="1:20">
      <c r="B16" s="33"/>
      <c r="C16" s="32"/>
      <c r="D16" s="31"/>
      <c r="E16" s="30"/>
      <c r="F16" s="30"/>
      <c r="G16" s="30" t="s">
        <v>23</v>
      </c>
      <c r="H16" s="30"/>
      <c r="I16" s="29"/>
      <c r="J16" s="29" t="s">
        <v>22</v>
      </c>
      <c r="K16" s="30"/>
      <c r="L16" s="30"/>
      <c r="M16" s="30"/>
      <c r="N16" s="30"/>
      <c r="O16" s="30"/>
      <c r="P16" s="30"/>
      <c r="Q16" s="30"/>
      <c r="R16" s="30"/>
      <c r="S16" s="29"/>
    </row>
    <row r="17" spans="1:1021 1025:2045 2049:3069 3073:4093 4097:5117 5121:6141 6145:7165 7169:8189 8193:9213 9217:10237 10241:11261 11265:12285 12289:13309 13313:14333 14337:15357 15361:16381" s="88" customFormat="1">
      <c r="A17" s="1"/>
      <c r="B17" s="28" t="s">
        <v>133</v>
      </c>
      <c r="C17" s="27"/>
      <c r="D17" s="26" t="s">
        <v>20</v>
      </c>
      <c r="E17" s="24">
        <f>DATE(2018,12,31)</f>
        <v>43465</v>
      </c>
      <c r="F17" s="24">
        <f t="shared" ref="F17:S17" si="0">EDATE(E17,12)</f>
        <v>43830</v>
      </c>
      <c r="G17" s="24">
        <f t="shared" si="0"/>
        <v>44196</v>
      </c>
      <c r="H17" s="24">
        <f t="shared" si="0"/>
        <v>44561</v>
      </c>
      <c r="I17" s="25">
        <f t="shared" si="0"/>
        <v>44926</v>
      </c>
      <c r="J17" s="24">
        <f t="shared" si="0"/>
        <v>45291</v>
      </c>
      <c r="K17" s="24">
        <f t="shared" si="0"/>
        <v>45657</v>
      </c>
      <c r="L17" s="24">
        <f t="shared" si="0"/>
        <v>46022</v>
      </c>
      <c r="M17" s="24">
        <f t="shared" si="0"/>
        <v>46387</v>
      </c>
      <c r="N17" s="24">
        <f t="shared" si="0"/>
        <v>46752</v>
      </c>
      <c r="O17" s="24">
        <f t="shared" si="0"/>
        <v>47118</v>
      </c>
      <c r="P17" s="24">
        <f t="shared" si="0"/>
        <v>47483</v>
      </c>
      <c r="Q17" s="24">
        <f t="shared" si="0"/>
        <v>47848</v>
      </c>
      <c r="R17" s="24">
        <f t="shared" si="0"/>
        <v>48213</v>
      </c>
      <c r="S17" s="24">
        <f t="shared" si="0"/>
        <v>48579</v>
      </c>
    </row>
    <row r="18" spans="1:1021 1025:2045 2049:3069 3073:4093 4097:5117 5121:6141 6145:7165 7169:8189 8193:9213 9217:10237 10241:11261 11265:12285 12289:13309 13313:14333 14337:15357 15361:16381" outlineLevel="1">
      <c r="B18" s="17" t="s">
        <v>132</v>
      </c>
      <c r="C18" s="16"/>
      <c r="D18" s="15"/>
      <c r="E18" s="15"/>
      <c r="F18" s="15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021 1025:2045 2049:3069 3073:4093 4097:5117 5121:6141 6145:7165 7169:8189 8193:9213 9217:10237 10241:11261 11265:12285 12289:13309 13313:14333 14337:15357 15361:16381" s="2" customFormat="1" outlineLevel="1">
      <c r="C19" s="64" t="s">
        <v>131</v>
      </c>
      <c r="D19" s="4" t="s">
        <v>0</v>
      </c>
      <c r="E19" s="86">
        <f>SUM(E22:E25)</f>
        <v>3288.319</v>
      </c>
      <c r="F19" s="86">
        <f>SUM(F22:F25)</f>
        <v>3979.2960000000003</v>
      </c>
      <c r="G19" s="86">
        <v>4401.8789999999999</v>
      </c>
      <c r="H19" s="86">
        <v>6256.6170000000002</v>
      </c>
      <c r="I19" s="86">
        <v>8110.518</v>
      </c>
      <c r="J19" s="41">
        <f t="shared" ref="J19:S19" si="1">SUM(J22:J25)</f>
        <v>10024.98192216946</v>
      </c>
      <c r="K19" s="41">
        <f t="shared" si="1"/>
        <v>12315.384201334075</v>
      </c>
      <c r="L19" s="41">
        <f t="shared" si="1"/>
        <v>15011.537607407337</v>
      </c>
      <c r="M19" s="41">
        <f t="shared" si="1"/>
        <v>18075.273390402894</v>
      </c>
      <c r="N19" s="41">
        <f t="shared" si="1"/>
        <v>21347.365644477301</v>
      </c>
      <c r="O19" s="41">
        <f t="shared" si="1"/>
        <v>24642.874275406306</v>
      </c>
      <c r="P19" s="41">
        <f t="shared" si="1"/>
        <v>28066.06807160379</v>
      </c>
      <c r="Q19" s="41">
        <f t="shared" si="1"/>
        <v>31600.589517459528</v>
      </c>
      <c r="R19" s="41">
        <f t="shared" si="1"/>
        <v>35247.21684176835</v>
      </c>
      <c r="S19" s="41">
        <f t="shared" si="1"/>
        <v>38965.680844938004</v>
      </c>
    </row>
    <row r="20" spans="1:1021 1025:2045 2049:3069 3073:4093 4097:5117 5121:6141 6145:7165 7169:8189 8193:9213 9217:10237 10241:11261 11265:12285 12289:13309 13313:14333 14337:15357 15361:16381" outlineLevel="1">
      <c r="C20" s="49" t="s">
        <v>130</v>
      </c>
      <c r="D20" s="4" t="s">
        <v>74</v>
      </c>
      <c r="E20" s="87" t="str">
        <f t="shared" ref="E20:S20" si="2">IFERROR(E19/D19-1,"NA")</f>
        <v>NA</v>
      </c>
      <c r="F20" s="87">
        <f t="shared" si="2"/>
        <v>0.21013076894303762</v>
      </c>
      <c r="G20" s="87">
        <f t="shared" si="2"/>
        <v>0.10619541748088102</v>
      </c>
      <c r="H20" s="87">
        <f t="shared" si="2"/>
        <v>0.42135142742451581</v>
      </c>
      <c r="I20" s="87">
        <f t="shared" si="2"/>
        <v>0.29631045020016411</v>
      </c>
      <c r="J20" s="87">
        <f t="shared" si="2"/>
        <v>0.23604705916064295</v>
      </c>
      <c r="K20" s="87">
        <f t="shared" si="2"/>
        <v>0.22846946727151396</v>
      </c>
      <c r="L20" s="87">
        <f t="shared" si="2"/>
        <v>0.21892564308153695</v>
      </c>
      <c r="M20" s="87">
        <f t="shared" si="2"/>
        <v>0.20409206992119033</v>
      </c>
      <c r="N20" s="87">
        <f t="shared" si="2"/>
        <v>0.18102587902276102</v>
      </c>
      <c r="O20" s="87">
        <f t="shared" si="2"/>
        <v>0.15437542438785989</v>
      </c>
      <c r="P20" s="87">
        <f t="shared" si="2"/>
        <v>0.13891211544319915</v>
      </c>
      <c r="Q20" s="87">
        <f t="shared" si="2"/>
        <v>0.12593575405141411</v>
      </c>
      <c r="R20" s="87">
        <f t="shared" si="2"/>
        <v>0.11539744606011348</v>
      </c>
      <c r="S20" s="87">
        <f t="shared" si="2"/>
        <v>0.1054966699885147</v>
      </c>
    </row>
    <row r="21" spans="1:1021 1025:2045 2049:3069 3073:4093 4097:5117 5121:6141 6145:7165 7169:8189 8193:9213 9217:10237 10241:11261 11265:12285 12289:13309 13313:14333 14337:15357 15361:16381" s="2" customFormat="1" outlineLevel="1">
      <c r="C21" s="65" t="s">
        <v>129</v>
      </c>
      <c r="D21" s="4"/>
      <c r="E21" s="86"/>
      <c r="F21" s="86"/>
      <c r="G21" s="86"/>
      <c r="H21" s="86"/>
      <c r="I21" s="86"/>
    </row>
    <row r="22" spans="1:1021 1025:2045 2049:3069 3073:4093 4097:5117 5121:6141 6145:7165 7169:8189 8193:9213 9217:10237 10241:11261 11265:12285 12289:13309 13313:14333 14337:15357 15361:16381" outlineLevel="1">
      <c r="C22" s="63" t="s">
        <v>119</v>
      </c>
      <c r="D22" s="4" t="s">
        <v>0</v>
      </c>
      <c r="E22" s="6">
        <v>2363.3739999999998</v>
      </c>
      <c r="F22" s="6">
        <v>2854.364</v>
      </c>
      <c r="G22" s="6">
        <v>3105.1329999999998</v>
      </c>
      <c r="H22" s="6">
        <v>4345.6869999999999</v>
      </c>
      <c r="I22" s="6">
        <v>5654.3429999999998</v>
      </c>
      <c r="J22" s="18">
        <f t="shared" ref="J22:S22" si="3">J35/Company_Store_per_Total_Sale</f>
        <v>5108.7687733571693</v>
      </c>
      <c r="K22" s="18">
        <f t="shared" si="3"/>
        <v>6034.8955248139118</v>
      </c>
      <c r="L22" s="18">
        <f t="shared" si="3"/>
        <v>7128.5725712567692</v>
      </c>
      <c r="M22" s="18">
        <f t="shared" si="3"/>
        <v>8343.1515310130708</v>
      </c>
      <c r="N22" s="18">
        <f t="shared" si="3"/>
        <v>9540.8684630596308</v>
      </c>
      <c r="O22" s="18">
        <f t="shared" si="3"/>
        <v>10757.991784684467</v>
      </c>
      <c r="P22" s="18">
        <f t="shared" si="3"/>
        <v>11959.465825400197</v>
      </c>
      <c r="Q22" s="18">
        <f t="shared" si="3"/>
        <v>13106.313449885127</v>
      </c>
      <c r="R22" s="18">
        <f t="shared" si="3"/>
        <v>14157.532908453828</v>
      </c>
      <c r="S22" s="18">
        <f t="shared" si="3"/>
        <v>15072.387833823084</v>
      </c>
    </row>
    <row r="23" spans="1:1021 1025:2045 2049:3069 3073:4093 4097:5117 5121:6141 6145:7165 7169:8189 8193:9213 9217:10237 10241:11261 11265:12285 12289:13309 13313:14333 14337:15357 15361:16381" s="84" customFormat="1" outlineLevel="1">
      <c r="C23" s="63" t="s">
        <v>117</v>
      </c>
      <c r="D23" s="4" t="s">
        <v>0</v>
      </c>
      <c r="E23" s="6">
        <v>565.10500000000002</v>
      </c>
      <c r="F23" s="6">
        <v>649.11400000000003</v>
      </c>
      <c r="G23" s="48">
        <v>672.60699999999997</v>
      </c>
      <c r="H23" s="48">
        <v>954.21900000000005</v>
      </c>
      <c r="I23" s="48">
        <v>1163.1110000000001</v>
      </c>
      <c r="J23" s="18">
        <f t="shared" ref="J23:S23" si="4">J36/Company_Store_per_Total_Sale</f>
        <v>1016.4398279684025</v>
      </c>
      <c r="K23" s="18">
        <f t="shared" si="4"/>
        <v>1200.7018601114291</v>
      </c>
      <c r="L23" s="18">
        <f t="shared" si="4"/>
        <v>1405.347164047763</v>
      </c>
      <c r="M23" s="18">
        <f t="shared" si="4"/>
        <v>1622.1579680547693</v>
      </c>
      <c r="N23" s="18">
        <f t="shared" si="4"/>
        <v>1846.3615657170592</v>
      </c>
      <c r="O23" s="18">
        <f t="shared" si="4"/>
        <v>2072.0806039226391</v>
      </c>
      <c r="P23" s="18">
        <f t="shared" si="4"/>
        <v>2292.5256879269746</v>
      </c>
      <c r="Q23" s="18">
        <f t="shared" si="4"/>
        <v>2474.9729273460694</v>
      </c>
      <c r="R23" s="18">
        <f t="shared" si="4"/>
        <v>2659.2616511532651</v>
      </c>
      <c r="S23" s="18">
        <f t="shared" si="4"/>
        <v>2843.650334686507</v>
      </c>
    </row>
    <row r="24" spans="1:1021 1025:2045 2049:3069 3073:4093 4097:5117 5121:6141 6145:7165 7169:8189 8193:9213 9217:10237 10241:11261 11265:12285 12289:13309 13313:14333 14337:15357 15361:16381" s="85" customFormat="1" outlineLevel="1">
      <c r="A24" s="84"/>
      <c r="C24" s="63" t="s">
        <v>115</v>
      </c>
      <c r="D24" s="4" t="s">
        <v>0</v>
      </c>
      <c r="E24" s="6">
        <v>143.93600000000001</v>
      </c>
      <c r="F24" s="6">
        <v>190.3272</v>
      </c>
      <c r="G24" s="48">
        <v>297.69</v>
      </c>
      <c r="H24" s="48">
        <v>520.37199999999996</v>
      </c>
      <c r="I24" s="48">
        <v>681.63300000000004</v>
      </c>
      <c r="J24" s="18">
        <f t="shared" ref="J24:S24" si="5">J37/Company_Store_per_Total_Sale</f>
        <v>2061.9380905660391</v>
      </c>
      <c r="K24" s="18">
        <f t="shared" si="5"/>
        <v>2793.2682567847883</v>
      </c>
      <c r="L24" s="18">
        <f t="shared" si="5"/>
        <v>3646.0004363915655</v>
      </c>
      <c r="M24" s="18">
        <f t="shared" si="5"/>
        <v>4619.551168008943</v>
      </c>
      <c r="N24" s="18">
        <f t="shared" si="5"/>
        <v>5677.6892811780808</v>
      </c>
      <c r="O24" s="18">
        <f t="shared" si="5"/>
        <v>6583.1773347233375</v>
      </c>
      <c r="P24" s="18">
        <f t="shared" si="5"/>
        <v>7457.7978375999728</v>
      </c>
      <c r="Q24" s="18">
        <f t="shared" si="5"/>
        <v>8330.1323326712209</v>
      </c>
      <c r="R24" s="18">
        <f t="shared" si="5"/>
        <v>9172.991784073467</v>
      </c>
      <c r="S24" s="18">
        <f t="shared" si="5"/>
        <v>9957.2326125206873</v>
      </c>
      <c r="U24" s="84"/>
      <c r="Y24" s="84"/>
      <c r="AC24" s="84"/>
      <c r="AG24" s="84"/>
      <c r="AK24" s="84"/>
      <c r="AO24" s="84"/>
      <c r="AS24" s="84"/>
      <c r="AW24" s="84"/>
      <c r="BA24" s="84"/>
      <c r="BE24" s="84"/>
      <c r="BI24" s="84"/>
      <c r="BM24" s="84"/>
      <c r="BQ24" s="84"/>
      <c r="BU24" s="84"/>
      <c r="BY24" s="84"/>
      <c r="CC24" s="84"/>
      <c r="CG24" s="84"/>
      <c r="CK24" s="84"/>
      <c r="CO24" s="84"/>
      <c r="CS24" s="84"/>
      <c r="CW24" s="84"/>
      <c r="DA24" s="84"/>
      <c r="DE24" s="84"/>
      <c r="DI24" s="84"/>
      <c r="DM24" s="84"/>
      <c r="DQ24" s="84"/>
      <c r="DU24" s="84"/>
      <c r="DY24" s="84"/>
      <c r="EC24" s="84"/>
      <c r="EG24" s="84"/>
      <c r="EK24" s="84"/>
      <c r="EO24" s="84"/>
      <c r="ES24" s="84"/>
      <c r="EW24" s="84"/>
      <c r="FA24" s="84"/>
      <c r="FE24" s="84"/>
      <c r="FI24" s="84"/>
      <c r="FM24" s="84"/>
      <c r="FQ24" s="84"/>
      <c r="FU24" s="84"/>
      <c r="FY24" s="84"/>
      <c r="GC24" s="84"/>
      <c r="GG24" s="84"/>
      <c r="GK24" s="84"/>
      <c r="GO24" s="84"/>
      <c r="GS24" s="84"/>
      <c r="GW24" s="84"/>
      <c r="HA24" s="84"/>
      <c r="HE24" s="84"/>
      <c r="HI24" s="84"/>
      <c r="HM24" s="84"/>
      <c r="HQ24" s="84"/>
      <c r="HU24" s="84"/>
      <c r="HY24" s="84"/>
      <c r="IC24" s="84"/>
      <c r="IG24" s="84"/>
      <c r="IK24" s="84"/>
      <c r="IO24" s="84"/>
      <c r="IS24" s="84"/>
      <c r="IW24" s="84"/>
      <c r="JA24" s="84"/>
      <c r="JE24" s="84"/>
      <c r="JI24" s="84"/>
      <c r="JM24" s="84"/>
      <c r="JQ24" s="84"/>
      <c r="JU24" s="84"/>
      <c r="JY24" s="84"/>
      <c r="KC24" s="84"/>
      <c r="KG24" s="84"/>
      <c r="KK24" s="84"/>
      <c r="KO24" s="84"/>
      <c r="KS24" s="84"/>
      <c r="KW24" s="84"/>
      <c r="LA24" s="84"/>
      <c r="LE24" s="84"/>
      <c r="LI24" s="84"/>
      <c r="LM24" s="84"/>
      <c r="LQ24" s="84"/>
      <c r="LU24" s="84"/>
      <c r="LY24" s="84"/>
      <c r="MC24" s="84"/>
      <c r="MG24" s="84"/>
      <c r="MK24" s="84"/>
      <c r="MO24" s="84"/>
      <c r="MS24" s="84"/>
      <c r="MW24" s="84"/>
      <c r="NA24" s="84"/>
      <c r="NE24" s="84"/>
      <c r="NI24" s="84"/>
      <c r="NM24" s="84"/>
      <c r="NQ24" s="84"/>
      <c r="NU24" s="84"/>
      <c r="NY24" s="84"/>
      <c r="OC24" s="84"/>
      <c r="OG24" s="84"/>
      <c r="OK24" s="84"/>
      <c r="OO24" s="84"/>
      <c r="OS24" s="84"/>
      <c r="OW24" s="84"/>
      <c r="PA24" s="84"/>
      <c r="PE24" s="84"/>
      <c r="PI24" s="84"/>
      <c r="PM24" s="84"/>
      <c r="PQ24" s="84"/>
      <c r="PU24" s="84"/>
      <c r="PY24" s="84"/>
      <c r="QC24" s="84"/>
      <c r="QG24" s="84"/>
      <c r="QK24" s="84"/>
      <c r="QO24" s="84"/>
      <c r="QS24" s="84"/>
      <c r="QW24" s="84"/>
      <c r="RA24" s="84"/>
      <c r="RE24" s="84"/>
      <c r="RI24" s="84"/>
      <c r="RM24" s="84"/>
      <c r="RQ24" s="84"/>
      <c r="RU24" s="84"/>
      <c r="RY24" s="84"/>
      <c r="SC24" s="84"/>
      <c r="SG24" s="84"/>
      <c r="SK24" s="84"/>
      <c r="SO24" s="84"/>
      <c r="SS24" s="84"/>
      <c r="SW24" s="84"/>
      <c r="TA24" s="84"/>
      <c r="TE24" s="84"/>
      <c r="TI24" s="84"/>
      <c r="TM24" s="84"/>
      <c r="TQ24" s="84"/>
      <c r="TU24" s="84"/>
      <c r="TY24" s="84"/>
      <c r="UC24" s="84"/>
      <c r="UG24" s="84"/>
      <c r="UK24" s="84"/>
      <c r="UO24" s="84"/>
      <c r="US24" s="84"/>
      <c r="UW24" s="84"/>
      <c r="VA24" s="84"/>
      <c r="VE24" s="84"/>
      <c r="VI24" s="84"/>
      <c r="VM24" s="84"/>
      <c r="VQ24" s="84"/>
      <c r="VU24" s="84"/>
      <c r="VY24" s="84"/>
      <c r="WC24" s="84"/>
      <c r="WG24" s="84"/>
      <c r="WK24" s="84"/>
      <c r="WO24" s="84"/>
      <c r="WS24" s="84"/>
      <c r="WW24" s="84"/>
      <c r="XA24" s="84"/>
      <c r="XE24" s="84"/>
      <c r="XI24" s="84"/>
      <c r="XM24" s="84"/>
      <c r="XQ24" s="84"/>
      <c r="XU24" s="84"/>
      <c r="XY24" s="84"/>
      <c r="YC24" s="84"/>
      <c r="YG24" s="84"/>
      <c r="YK24" s="84"/>
      <c r="YO24" s="84"/>
      <c r="YS24" s="84"/>
      <c r="YW24" s="84"/>
      <c r="ZA24" s="84"/>
      <c r="ZE24" s="84"/>
      <c r="ZI24" s="84"/>
      <c r="ZM24" s="84"/>
      <c r="ZQ24" s="84"/>
      <c r="ZU24" s="84"/>
      <c r="ZY24" s="84"/>
      <c r="AAC24" s="84"/>
      <c r="AAG24" s="84"/>
      <c r="AAK24" s="84"/>
      <c r="AAO24" s="84"/>
      <c r="AAS24" s="84"/>
      <c r="AAW24" s="84"/>
      <c r="ABA24" s="84"/>
      <c r="ABE24" s="84"/>
      <c r="ABI24" s="84"/>
      <c r="ABM24" s="84"/>
      <c r="ABQ24" s="84"/>
      <c r="ABU24" s="84"/>
      <c r="ABY24" s="84"/>
      <c r="ACC24" s="84"/>
      <c r="ACG24" s="84"/>
      <c r="ACK24" s="84"/>
      <c r="ACO24" s="84"/>
      <c r="ACS24" s="84"/>
      <c r="ACW24" s="84"/>
      <c r="ADA24" s="84"/>
      <c r="ADE24" s="84"/>
      <c r="ADI24" s="84"/>
      <c r="ADM24" s="84"/>
      <c r="ADQ24" s="84"/>
      <c r="ADU24" s="84"/>
      <c r="ADY24" s="84"/>
      <c r="AEC24" s="84"/>
      <c r="AEG24" s="84"/>
      <c r="AEK24" s="84"/>
      <c r="AEO24" s="84"/>
      <c r="AES24" s="84"/>
      <c r="AEW24" s="84"/>
      <c r="AFA24" s="84"/>
      <c r="AFE24" s="84"/>
      <c r="AFI24" s="84"/>
      <c r="AFM24" s="84"/>
      <c r="AFQ24" s="84"/>
      <c r="AFU24" s="84"/>
      <c r="AFY24" s="84"/>
      <c r="AGC24" s="84"/>
      <c r="AGG24" s="84"/>
      <c r="AGK24" s="84"/>
      <c r="AGO24" s="84"/>
      <c r="AGS24" s="84"/>
      <c r="AGW24" s="84"/>
      <c r="AHA24" s="84"/>
      <c r="AHE24" s="84"/>
      <c r="AHI24" s="84"/>
      <c r="AHM24" s="84"/>
      <c r="AHQ24" s="84"/>
      <c r="AHU24" s="84"/>
      <c r="AHY24" s="84"/>
      <c r="AIC24" s="84"/>
      <c r="AIG24" s="84"/>
      <c r="AIK24" s="84"/>
      <c r="AIO24" s="84"/>
      <c r="AIS24" s="84"/>
      <c r="AIW24" s="84"/>
      <c r="AJA24" s="84"/>
      <c r="AJE24" s="84"/>
      <c r="AJI24" s="84"/>
      <c r="AJM24" s="84"/>
      <c r="AJQ24" s="84"/>
      <c r="AJU24" s="84"/>
      <c r="AJY24" s="84"/>
      <c r="AKC24" s="84"/>
      <c r="AKG24" s="84"/>
      <c r="AKK24" s="84"/>
      <c r="AKO24" s="84"/>
      <c r="AKS24" s="84"/>
      <c r="AKW24" s="84"/>
      <c r="ALA24" s="84"/>
      <c r="ALE24" s="84"/>
      <c r="ALI24" s="84"/>
      <c r="ALM24" s="84"/>
      <c r="ALQ24" s="84"/>
      <c r="ALU24" s="84"/>
      <c r="ALY24" s="84"/>
      <c r="AMC24" s="84"/>
      <c r="AMG24" s="84"/>
      <c r="AMK24" s="84"/>
      <c r="AMO24" s="84"/>
      <c r="AMS24" s="84"/>
      <c r="AMW24" s="84"/>
      <c r="ANA24" s="84"/>
      <c r="ANE24" s="84"/>
      <c r="ANI24" s="84"/>
      <c r="ANM24" s="84"/>
      <c r="ANQ24" s="84"/>
      <c r="ANU24" s="84"/>
      <c r="ANY24" s="84"/>
      <c r="AOC24" s="84"/>
      <c r="AOG24" s="84"/>
      <c r="AOK24" s="84"/>
      <c r="AOO24" s="84"/>
      <c r="AOS24" s="84"/>
      <c r="AOW24" s="84"/>
      <c r="APA24" s="84"/>
      <c r="APE24" s="84"/>
      <c r="API24" s="84"/>
      <c r="APM24" s="84"/>
      <c r="APQ24" s="84"/>
      <c r="APU24" s="84"/>
      <c r="APY24" s="84"/>
      <c r="AQC24" s="84"/>
      <c r="AQG24" s="84"/>
      <c r="AQK24" s="84"/>
      <c r="AQO24" s="84"/>
      <c r="AQS24" s="84"/>
      <c r="AQW24" s="84"/>
      <c r="ARA24" s="84"/>
      <c r="ARE24" s="84"/>
      <c r="ARI24" s="84"/>
      <c r="ARM24" s="84"/>
      <c r="ARQ24" s="84"/>
      <c r="ARU24" s="84"/>
      <c r="ARY24" s="84"/>
      <c r="ASC24" s="84"/>
      <c r="ASG24" s="84"/>
      <c r="ASK24" s="84"/>
      <c r="ASO24" s="84"/>
      <c r="ASS24" s="84"/>
      <c r="ASW24" s="84"/>
      <c r="ATA24" s="84"/>
      <c r="ATE24" s="84"/>
      <c r="ATI24" s="84"/>
      <c r="ATM24" s="84"/>
      <c r="ATQ24" s="84"/>
      <c r="ATU24" s="84"/>
      <c r="ATY24" s="84"/>
      <c r="AUC24" s="84"/>
      <c r="AUG24" s="84"/>
      <c r="AUK24" s="84"/>
      <c r="AUO24" s="84"/>
      <c r="AUS24" s="84"/>
      <c r="AUW24" s="84"/>
      <c r="AVA24" s="84"/>
      <c r="AVE24" s="84"/>
      <c r="AVI24" s="84"/>
      <c r="AVM24" s="84"/>
      <c r="AVQ24" s="84"/>
      <c r="AVU24" s="84"/>
      <c r="AVY24" s="84"/>
      <c r="AWC24" s="84"/>
      <c r="AWG24" s="84"/>
      <c r="AWK24" s="84"/>
      <c r="AWO24" s="84"/>
      <c r="AWS24" s="84"/>
      <c r="AWW24" s="84"/>
      <c r="AXA24" s="84"/>
      <c r="AXE24" s="84"/>
      <c r="AXI24" s="84"/>
      <c r="AXM24" s="84"/>
      <c r="AXQ24" s="84"/>
      <c r="AXU24" s="84"/>
      <c r="AXY24" s="84"/>
      <c r="AYC24" s="84"/>
      <c r="AYG24" s="84"/>
      <c r="AYK24" s="84"/>
      <c r="AYO24" s="84"/>
      <c r="AYS24" s="84"/>
      <c r="AYW24" s="84"/>
      <c r="AZA24" s="84"/>
      <c r="AZE24" s="84"/>
      <c r="AZI24" s="84"/>
      <c r="AZM24" s="84"/>
      <c r="AZQ24" s="84"/>
      <c r="AZU24" s="84"/>
      <c r="AZY24" s="84"/>
      <c r="BAC24" s="84"/>
      <c r="BAG24" s="84"/>
      <c r="BAK24" s="84"/>
      <c r="BAO24" s="84"/>
      <c r="BAS24" s="84"/>
      <c r="BAW24" s="84"/>
      <c r="BBA24" s="84"/>
      <c r="BBE24" s="84"/>
      <c r="BBI24" s="84"/>
      <c r="BBM24" s="84"/>
      <c r="BBQ24" s="84"/>
      <c r="BBU24" s="84"/>
      <c r="BBY24" s="84"/>
      <c r="BCC24" s="84"/>
      <c r="BCG24" s="84"/>
      <c r="BCK24" s="84"/>
      <c r="BCO24" s="84"/>
      <c r="BCS24" s="84"/>
      <c r="BCW24" s="84"/>
      <c r="BDA24" s="84"/>
      <c r="BDE24" s="84"/>
      <c r="BDI24" s="84"/>
      <c r="BDM24" s="84"/>
      <c r="BDQ24" s="84"/>
      <c r="BDU24" s="84"/>
      <c r="BDY24" s="84"/>
      <c r="BEC24" s="84"/>
      <c r="BEG24" s="84"/>
      <c r="BEK24" s="84"/>
      <c r="BEO24" s="84"/>
      <c r="BES24" s="84"/>
      <c r="BEW24" s="84"/>
      <c r="BFA24" s="84"/>
      <c r="BFE24" s="84"/>
      <c r="BFI24" s="84"/>
      <c r="BFM24" s="84"/>
      <c r="BFQ24" s="84"/>
      <c r="BFU24" s="84"/>
      <c r="BFY24" s="84"/>
      <c r="BGC24" s="84"/>
      <c r="BGG24" s="84"/>
      <c r="BGK24" s="84"/>
      <c r="BGO24" s="84"/>
      <c r="BGS24" s="84"/>
      <c r="BGW24" s="84"/>
      <c r="BHA24" s="84"/>
      <c r="BHE24" s="84"/>
      <c r="BHI24" s="84"/>
      <c r="BHM24" s="84"/>
      <c r="BHQ24" s="84"/>
      <c r="BHU24" s="84"/>
      <c r="BHY24" s="84"/>
      <c r="BIC24" s="84"/>
      <c r="BIG24" s="84"/>
      <c r="BIK24" s="84"/>
      <c r="BIO24" s="84"/>
      <c r="BIS24" s="84"/>
      <c r="BIW24" s="84"/>
      <c r="BJA24" s="84"/>
      <c r="BJE24" s="84"/>
      <c r="BJI24" s="84"/>
      <c r="BJM24" s="84"/>
      <c r="BJQ24" s="84"/>
      <c r="BJU24" s="84"/>
      <c r="BJY24" s="84"/>
      <c r="BKC24" s="84"/>
      <c r="BKG24" s="84"/>
      <c r="BKK24" s="84"/>
      <c r="BKO24" s="84"/>
      <c r="BKS24" s="84"/>
      <c r="BKW24" s="84"/>
      <c r="BLA24" s="84"/>
      <c r="BLE24" s="84"/>
      <c r="BLI24" s="84"/>
      <c r="BLM24" s="84"/>
      <c r="BLQ24" s="84"/>
      <c r="BLU24" s="84"/>
      <c r="BLY24" s="84"/>
      <c r="BMC24" s="84"/>
      <c r="BMG24" s="84"/>
      <c r="BMK24" s="84"/>
      <c r="BMO24" s="84"/>
      <c r="BMS24" s="84"/>
      <c r="BMW24" s="84"/>
      <c r="BNA24" s="84"/>
      <c r="BNE24" s="84"/>
      <c r="BNI24" s="84"/>
      <c r="BNM24" s="84"/>
      <c r="BNQ24" s="84"/>
      <c r="BNU24" s="84"/>
      <c r="BNY24" s="84"/>
      <c r="BOC24" s="84"/>
      <c r="BOG24" s="84"/>
      <c r="BOK24" s="84"/>
      <c r="BOO24" s="84"/>
      <c r="BOS24" s="84"/>
      <c r="BOW24" s="84"/>
      <c r="BPA24" s="84"/>
      <c r="BPE24" s="84"/>
      <c r="BPI24" s="84"/>
      <c r="BPM24" s="84"/>
      <c r="BPQ24" s="84"/>
      <c r="BPU24" s="84"/>
      <c r="BPY24" s="84"/>
      <c r="BQC24" s="84"/>
      <c r="BQG24" s="84"/>
      <c r="BQK24" s="84"/>
      <c r="BQO24" s="84"/>
      <c r="BQS24" s="84"/>
      <c r="BQW24" s="84"/>
      <c r="BRA24" s="84"/>
      <c r="BRE24" s="84"/>
      <c r="BRI24" s="84"/>
      <c r="BRM24" s="84"/>
      <c r="BRQ24" s="84"/>
      <c r="BRU24" s="84"/>
      <c r="BRY24" s="84"/>
      <c r="BSC24" s="84"/>
      <c r="BSG24" s="84"/>
      <c r="BSK24" s="84"/>
      <c r="BSO24" s="84"/>
      <c r="BSS24" s="84"/>
      <c r="BSW24" s="84"/>
      <c r="BTA24" s="84"/>
      <c r="BTE24" s="84"/>
      <c r="BTI24" s="84"/>
      <c r="BTM24" s="84"/>
      <c r="BTQ24" s="84"/>
      <c r="BTU24" s="84"/>
      <c r="BTY24" s="84"/>
      <c r="BUC24" s="84"/>
      <c r="BUG24" s="84"/>
      <c r="BUK24" s="84"/>
      <c r="BUO24" s="84"/>
      <c r="BUS24" s="84"/>
      <c r="BUW24" s="84"/>
      <c r="BVA24" s="84"/>
      <c r="BVE24" s="84"/>
      <c r="BVI24" s="84"/>
      <c r="BVM24" s="84"/>
      <c r="BVQ24" s="84"/>
      <c r="BVU24" s="84"/>
      <c r="BVY24" s="84"/>
      <c r="BWC24" s="84"/>
      <c r="BWG24" s="84"/>
      <c r="BWK24" s="84"/>
      <c r="BWO24" s="84"/>
      <c r="BWS24" s="84"/>
      <c r="BWW24" s="84"/>
      <c r="BXA24" s="84"/>
      <c r="BXE24" s="84"/>
      <c r="BXI24" s="84"/>
      <c r="BXM24" s="84"/>
      <c r="BXQ24" s="84"/>
      <c r="BXU24" s="84"/>
      <c r="BXY24" s="84"/>
      <c r="BYC24" s="84"/>
      <c r="BYG24" s="84"/>
      <c r="BYK24" s="84"/>
      <c r="BYO24" s="84"/>
      <c r="BYS24" s="84"/>
      <c r="BYW24" s="84"/>
      <c r="BZA24" s="84"/>
      <c r="BZE24" s="84"/>
      <c r="BZI24" s="84"/>
      <c r="BZM24" s="84"/>
      <c r="BZQ24" s="84"/>
      <c r="BZU24" s="84"/>
      <c r="BZY24" s="84"/>
      <c r="CAC24" s="84"/>
      <c r="CAG24" s="84"/>
      <c r="CAK24" s="84"/>
      <c r="CAO24" s="84"/>
      <c r="CAS24" s="84"/>
      <c r="CAW24" s="84"/>
      <c r="CBA24" s="84"/>
      <c r="CBE24" s="84"/>
      <c r="CBI24" s="84"/>
      <c r="CBM24" s="84"/>
      <c r="CBQ24" s="84"/>
      <c r="CBU24" s="84"/>
      <c r="CBY24" s="84"/>
      <c r="CCC24" s="84"/>
      <c r="CCG24" s="84"/>
      <c r="CCK24" s="84"/>
      <c r="CCO24" s="84"/>
      <c r="CCS24" s="84"/>
      <c r="CCW24" s="84"/>
      <c r="CDA24" s="84"/>
      <c r="CDE24" s="84"/>
      <c r="CDI24" s="84"/>
      <c r="CDM24" s="84"/>
      <c r="CDQ24" s="84"/>
      <c r="CDU24" s="84"/>
      <c r="CDY24" s="84"/>
      <c r="CEC24" s="84"/>
      <c r="CEG24" s="84"/>
      <c r="CEK24" s="84"/>
      <c r="CEO24" s="84"/>
      <c r="CES24" s="84"/>
      <c r="CEW24" s="84"/>
      <c r="CFA24" s="84"/>
      <c r="CFE24" s="84"/>
      <c r="CFI24" s="84"/>
      <c r="CFM24" s="84"/>
      <c r="CFQ24" s="84"/>
      <c r="CFU24" s="84"/>
      <c r="CFY24" s="84"/>
      <c r="CGC24" s="84"/>
      <c r="CGG24" s="84"/>
      <c r="CGK24" s="84"/>
      <c r="CGO24" s="84"/>
      <c r="CGS24" s="84"/>
      <c r="CGW24" s="84"/>
      <c r="CHA24" s="84"/>
      <c r="CHE24" s="84"/>
      <c r="CHI24" s="84"/>
      <c r="CHM24" s="84"/>
      <c r="CHQ24" s="84"/>
      <c r="CHU24" s="84"/>
      <c r="CHY24" s="84"/>
      <c r="CIC24" s="84"/>
      <c r="CIG24" s="84"/>
      <c r="CIK24" s="84"/>
      <c r="CIO24" s="84"/>
      <c r="CIS24" s="84"/>
      <c r="CIW24" s="84"/>
      <c r="CJA24" s="84"/>
      <c r="CJE24" s="84"/>
      <c r="CJI24" s="84"/>
      <c r="CJM24" s="84"/>
      <c r="CJQ24" s="84"/>
      <c r="CJU24" s="84"/>
      <c r="CJY24" s="84"/>
      <c r="CKC24" s="84"/>
      <c r="CKG24" s="84"/>
      <c r="CKK24" s="84"/>
      <c r="CKO24" s="84"/>
      <c r="CKS24" s="84"/>
      <c r="CKW24" s="84"/>
      <c r="CLA24" s="84"/>
      <c r="CLE24" s="84"/>
      <c r="CLI24" s="84"/>
      <c r="CLM24" s="84"/>
      <c r="CLQ24" s="84"/>
      <c r="CLU24" s="84"/>
      <c r="CLY24" s="84"/>
      <c r="CMC24" s="84"/>
      <c r="CMG24" s="84"/>
      <c r="CMK24" s="84"/>
      <c r="CMO24" s="84"/>
      <c r="CMS24" s="84"/>
      <c r="CMW24" s="84"/>
      <c r="CNA24" s="84"/>
      <c r="CNE24" s="84"/>
      <c r="CNI24" s="84"/>
      <c r="CNM24" s="84"/>
      <c r="CNQ24" s="84"/>
      <c r="CNU24" s="84"/>
      <c r="CNY24" s="84"/>
      <c r="COC24" s="84"/>
      <c r="COG24" s="84"/>
      <c r="COK24" s="84"/>
      <c r="COO24" s="84"/>
      <c r="COS24" s="84"/>
      <c r="COW24" s="84"/>
      <c r="CPA24" s="84"/>
      <c r="CPE24" s="84"/>
      <c r="CPI24" s="84"/>
      <c r="CPM24" s="84"/>
      <c r="CPQ24" s="84"/>
      <c r="CPU24" s="84"/>
      <c r="CPY24" s="84"/>
      <c r="CQC24" s="84"/>
      <c r="CQG24" s="84"/>
      <c r="CQK24" s="84"/>
      <c r="CQO24" s="84"/>
      <c r="CQS24" s="84"/>
      <c r="CQW24" s="84"/>
      <c r="CRA24" s="84"/>
      <c r="CRE24" s="84"/>
      <c r="CRI24" s="84"/>
      <c r="CRM24" s="84"/>
      <c r="CRQ24" s="84"/>
      <c r="CRU24" s="84"/>
      <c r="CRY24" s="84"/>
      <c r="CSC24" s="84"/>
      <c r="CSG24" s="84"/>
      <c r="CSK24" s="84"/>
      <c r="CSO24" s="84"/>
      <c r="CSS24" s="84"/>
      <c r="CSW24" s="84"/>
      <c r="CTA24" s="84"/>
      <c r="CTE24" s="84"/>
      <c r="CTI24" s="84"/>
      <c r="CTM24" s="84"/>
      <c r="CTQ24" s="84"/>
      <c r="CTU24" s="84"/>
      <c r="CTY24" s="84"/>
      <c r="CUC24" s="84"/>
      <c r="CUG24" s="84"/>
      <c r="CUK24" s="84"/>
      <c r="CUO24" s="84"/>
      <c r="CUS24" s="84"/>
      <c r="CUW24" s="84"/>
      <c r="CVA24" s="84"/>
      <c r="CVE24" s="84"/>
      <c r="CVI24" s="84"/>
      <c r="CVM24" s="84"/>
      <c r="CVQ24" s="84"/>
      <c r="CVU24" s="84"/>
      <c r="CVY24" s="84"/>
      <c r="CWC24" s="84"/>
      <c r="CWG24" s="84"/>
      <c r="CWK24" s="84"/>
      <c r="CWO24" s="84"/>
      <c r="CWS24" s="84"/>
      <c r="CWW24" s="84"/>
      <c r="CXA24" s="84"/>
      <c r="CXE24" s="84"/>
      <c r="CXI24" s="84"/>
      <c r="CXM24" s="84"/>
      <c r="CXQ24" s="84"/>
      <c r="CXU24" s="84"/>
      <c r="CXY24" s="84"/>
      <c r="CYC24" s="84"/>
      <c r="CYG24" s="84"/>
      <c r="CYK24" s="84"/>
      <c r="CYO24" s="84"/>
      <c r="CYS24" s="84"/>
      <c r="CYW24" s="84"/>
      <c r="CZA24" s="84"/>
      <c r="CZE24" s="84"/>
      <c r="CZI24" s="84"/>
      <c r="CZM24" s="84"/>
      <c r="CZQ24" s="84"/>
      <c r="CZU24" s="84"/>
      <c r="CZY24" s="84"/>
      <c r="DAC24" s="84"/>
      <c r="DAG24" s="84"/>
      <c r="DAK24" s="84"/>
      <c r="DAO24" s="84"/>
      <c r="DAS24" s="84"/>
      <c r="DAW24" s="84"/>
      <c r="DBA24" s="84"/>
      <c r="DBE24" s="84"/>
      <c r="DBI24" s="84"/>
      <c r="DBM24" s="84"/>
      <c r="DBQ24" s="84"/>
      <c r="DBU24" s="84"/>
      <c r="DBY24" s="84"/>
      <c r="DCC24" s="84"/>
      <c r="DCG24" s="84"/>
      <c r="DCK24" s="84"/>
      <c r="DCO24" s="84"/>
      <c r="DCS24" s="84"/>
      <c r="DCW24" s="84"/>
      <c r="DDA24" s="84"/>
      <c r="DDE24" s="84"/>
      <c r="DDI24" s="84"/>
      <c r="DDM24" s="84"/>
      <c r="DDQ24" s="84"/>
      <c r="DDU24" s="84"/>
      <c r="DDY24" s="84"/>
      <c r="DEC24" s="84"/>
      <c r="DEG24" s="84"/>
      <c r="DEK24" s="84"/>
      <c r="DEO24" s="84"/>
      <c r="DES24" s="84"/>
      <c r="DEW24" s="84"/>
      <c r="DFA24" s="84"/>
      <c r="DFE24" s="84"/>
      <c r="DFI24" s="84"/>
      <c r="DFM24" s="84"/>
      <c r="DFQ24" s="84"/>
      <c r="DFU24" s="84"/>
      <c r="DFY24" s="84"/>
      <c r="DGC24" s="84"/>
      <c r="DGG24" s="84"/>
      <c r="DGK24" s="84"/>
      <c r="DGO24" s="84"/>
      <c r="DGS24" s="84"/>
      <c r="DGW24" s="84"/>
      <c r="DHA24" s="84"/>
      <c r="DHE24" s="84"/>
      <c r="DHI24" s="84"/>
      <c r="DHM24" s="84"/>
      <c r="DHQ24" s="84"/>
      <c r="DHU24" s="84"/>
      <c r="DHY24" s="84"/>
      <c r="DIC24" s="84"/>
      <c r="DIG24" s="84"/>
      <c r="DIK24" s="84"/>
      <c r="DIO24" s="84"/>
      <c r="DIS24" s="84"/>
      <c r="DIW24" s="84"/>
      <c r="DJA24" s="84"/>
      <c r="DJE24" s="84"/>
      <c r="DJI24" s="84"/>
      <c r="DJM24" s="84"/>
      <c r="DJQ24" s="84"/>
      <c r="DJU24" s="84"/>
      <c r="DJY24" s="84"/>
      <c r="DKC24" s="84"/>
      <c r="DKG24" s="84"/>
      <c r="DKK24" s="84"/>
      <c r="DKO24" s="84"/>
      <c r="DKS24" s="84"/>
      <c r="DKW24" s="84"/>
      <c r="DLA24" s="84"/>
      <c r="DLE24" s="84"/>
      <c r="DLI24" s="84"/>
      <c r="DLM24" s="84"/>
      <c r="DLQ24" s="84"/>
      <c r="DLU24" s="84"/>
      <c r="DLY24" s="84"/>
      <c r="DMC24" s="84"/>
      <c r="DMG24" s="84"/>
      <c r="DMK24" s="84"/>
      <c r="DMO24" s="84"/>
      <c r="DMS24" s="84"/>
      <c r="DMW24" s="84"/>
      <c r="DNA24" s="84"/>
      <c r="DNE24" s="84"/>
      <c r="DNI24" s="84"/>
      <c r="DNM24" s="84"/>
      <c r="DNQ24" s="84"/>
      <c r="DNU24" s="84"/>
      <c r="DNY24" s="84"/>
      <c r="DOC24" s="84"/>
      <c r="DOG24" s="84"/>
      <c r="DOK24" s="84"/>
      <c r="DOO24" s="84"/>
      <c r="DOS24" s="84"/>
      <c r="DOW24" s="84"/>
      <c r="DPA24" s="84"/>
      <c r="DPE24" s="84"/>
      <c r="DPI24" s="84"/>
      <c r="DPM24" s="84"/>
      <c r="DPQ24" s="84"/>
      <c r="DPU24" s="84"/>
      <c r="DPY24" s="84"/>
      <c r="DQC24" s="84"/>
      <c r="DQG24" s="84"/>
      <c r="DQK24" s="84"/>
      <c r="DQO24" s="84"/>
      <c r="DQS24" s="84"/>
      <c r="DQW24" s="84"/>
      <c r="DRA24" s="84"/>
      <c r="DRE24" s="84"/>
      <c r="DRI24" s="84"/>
      <c r="DRM24" s="84"/>
      <c r="DRQ24" s="84"/>
      <c r="DRU24" s="84"/>
      <c r="DRY24" s="84"/>
      <c r="DSC24" s="84"/>
      <c r="DSG24" s="84"/>
      <c r="DSK24" s="84"/>
      <c r="DSO24" s="84"/>
      <c r="DSS24" s="84"/>
      <c r="DSW24" s="84"/>
      <c r="DTA24" s="84"/>
      <c r="DTE24" s="84"/>
      <c r="DTI24" s="84"/>
      <c r="DTM24" s="84"/>
      <c r="DTQ24" s="84"/>
      <c r="DTU24" s="84"/>
      <c r="DTY24" s="84"/>
      <c r="DUC24" s="84"/>
      <c r="DUG24" s="84"/>
      <c r="DUK24" s="84"/>
      <c r="DUO24" s="84"/>
      <c r="DUS24" s="84"/>
      <c r="DUW24" s="84"/>
      <c r="DVA24" s="84"/>
      <c r="DVE24" s="84"/>
      <c r="DVI24" s="84"/>
      <c r="DVM24" s="84"/>
      <c r="DVQ24" s="84"/>
      <c r="DVU24" s="84"/>
      <c r="DVY24" s="84"/>
      <c r="DWC24" s="84"/>
      <c r="DWG24" s="84"/>
      <c r="DWK24" s="84"/>
      <c r="DWO24" s="84"/>
      <c r="DWS24" s="84"/>
      <c r="DWW24" s="84"/>
      <c r="DXA24" s="84"/>
      <c r="DXE24" s="84"/>
      <c r="DXI24" s="84"/>
      <c r="DXM24" s="84"/>
      <c r="DXQ24" s="84"/>
      <c r="DXU24" s="84"/>
      <c r="DXY24" s="84"/>
      <c r="DYC24" s="84"/>
      <c r="DYG24" s="84"/>
      <c r="DYK24" s="84"/>
      <c r="DYO24" s="84"/>
      <c r="DYS24" s="84"/>
      <c r="DYW24" s="84"/>
      <c r="DZA24" s="84"/>
      <c r="DZE24" s="84"/>
      <c r="DZI24" s="84"/>
      <c r="DZM24" s="84"/>
      <c r="DZQ24" s="84"/>
      <c r="DZU24" s="84"/>
      <c r="DZY24" s="84"/>
      <c r="EAC24" s="84"/>
      <c r="EAG24" s="84"/>
      <c r="EAK24" s="84"/>
      <c r="EAO24" s="84"/>
      <c r="EAS24" s="84"/>
      <c r="EAW24" s="84"/>
      <c r="EBA24" s="84"/>
      <c r="EBE24" s="84"/>
      <c r="EBI24" s="84"/>
      <c r="EBM24" s="84"/>
      <c r="EBQ24" s="84"/>
      <c r="EBU24" s="84"/>
      <c r="EBY24" s="84"/>
      <c r="ECC24" s="84"/>
      <c r="ECG24" s="84"/>
      <c r="ECK24" s="84"/>
      <c r="ECO24" s="84"/>
      <c r="ECS24" s="84"/>
      <c r="ECW24" s="84"/>
      <c r="EDA24" s="84"/>
      <c r="EDE24" s="84"/>
      <c r="EDI24" s="84"/>
      <c r="EDM24" s="84"/>
      <c r="EDQ24" s="84"/>
      <c r="EDU24" s="84"/>
      <c r="EDY24" s="84"/>
      <c r="EEC24" s="84"/>
      <c r="EEG24" s="84"/>
      <c r="EEK24" s="84"/>
      <c r="EEO24" s="84"/>
      <c r="EES24" s="84"/>
      <c r="EEW24" s="84"/>
      <c r="EFA24" s="84"/>
      <c r="EFE24" s="84"/>
      <c r="EFI24" s="84"/>
      <c r="EFM24" s="84"/>
      <c r="EFQ24" s="84"/>
      <c r="EFU24" s="84"/>
      <c r="EFY24" s="84"/>
      <c r="EGC24" s="84"/>
      <c r="EGG24" s="84"/>
      <c r="EGK24" s="84"/>
      <c r="EGO24" s="84"/>
      <c r="EGS24" s="84"/>
      <c r="EGW24" s="84"/>
      <c r="EHA24" s="84"/>
      <c r="EHE24" s="84"/>
      <c r="EHI24" s="84"/>
      <c r="EHM24" s="84"/>
      <c r="EHQ24" s="84"/>
      <c r="EHU24" s="84"/>
      <c r="EHY24" s="84"/>
      <c r="EIC24" s="84"/>
      <c r="EIG24" s="84"/>
      <c r="EIK24" s="84"/>
      <c r="EIO24" s="84"/>
      <c r="EIS24" s="84"/>
      <c r="EIW24" s="84"/>
      <c r="EJA24" s="84"/>
      <c r="EJE24" s="84"/>
      <c r="EJI24" s="84"/>
      <c r="EJM24" s="84"/>
      <c r="EJQ24" s="84"/>
      <c r="EJU24" s="84"/>
      <c r="EJY24" s="84"/>
      <c r="EKC24" s="84"/>
      <c r="EKG24" s="84"/>
      <c r="EKK24" s="84"/>
      <c r="EKO24" s="84"/>
      <c r="EKS24" s="84"/>
      <c r="EKW24" s="84"/>
      <c r="ELA24" s="84"/>
      <c r="ELE24" s="84"/>
      <c r="ELI24" s="84"/>
      <c r="ELM24" s="84"/>
      <c r="ELQ24" s="84"/>
      <c r="ELU24" s="84"/>
      <c r="ELY24" s="84"/>
      <c r="EMC24" s="84"/>
      <c r="EMG24" s="84"/>
      <c r="EMK24" s="84"/>
      <c r="EMO24" s="84"/>
      <c r="EMS24" s="84"/>
      <c r="EMW24" s="84"/>
      <c r="ENA24" s="84"/>
      <c r="ENE24" s="84"/>
      <c r="ENI24" s="84"/>
      <c r="ENM24" s="84"/>
      <c r="ENQ24" s="84"/>
      <c r="ENU24" s="84"/>
      <c r="ENY24" s="84"/>
      <c r="EOC24" s="84"/>
      <c r="EOG24" s="84"/>
      <c r="EOK24" s="84"/>
      <c r="EOO24" s="84"/>
      <c r="EOS24" s="84"/>
      <c r="EOW24" s="84"/>
      <c r="EPA24" s="84"/>
      <c r="EPE24" s="84"/>
      <c r="EPI24" s="84"/>
      <c r="EPM24" s="84"/>
      <c r="EPQ24" s="84"/>
      <c r="EPU24" s="84"/>
      <c r="EPY24" s="84"/>
      <c r="EQC24" s="84"/>
      <c r="EQG24" s="84"/>
      <c r="EQK24" s="84"/>
      <c r="EQO24" s="84"/>
      <c r="EQS24" s="84"/>
      <c r="EQW24" s="84"/>
      <c r="ERA24" s="84"/>
      <c r="ERE24" s="84"/>
      <c r="ERI24" s="84"/>
      <c r="ERM24" s="84"/>
      <c r="ERQ24" s="84"/>
      <c r="ERU24" s="84"/>
      <c r="ERY24" s="84"/>
      <c r="ESC24" s="84"/>
      <c r="ESG24" s="84"/>
      <c r="ESK24" s="84"/>
      <c r="ESO24" s="84"/>
      <c r="ESS24" s="84"/>
      <c r="ESW24" s="84"/>
      <c r="ETA24" s="84"/>
      <c r="ETE24" s="84"/>
      <c r="ETI24" s="84"/>
      <c r="ETM24" s="84"/>
      <c r="ETQ24" s="84"/>
      <c r="ETU24" s="84"/>
      <c r="ETY24" s="84"/>
      <c r="EUC24" s="84"/>
      <c r="EUG24" s="84"/>
      <c r="EUK24" s="84"/>
      <c r="EUO24" s="84"/>
      <c r="EUS24" s="84"/>
      <c r="EUW24" s="84"/>
      <c r="EVA24" s="84"/>
      <c r="EVE24" s="84"/>
      <c r="EVI24" s="84"/>
      <c r="EVM24" s="84"/>
      <c r="EVQ24" s="84"/>
      <c r="EVU24" s="84"/>
      <c r="EVY24" s="84"/>
      <c r="EWC24" s="84"/>
      <c r="EWG24" s="84"/>
      <c r="EWK24" s="84"/>
      <c r="EWO24" s="84"/>
      <c r="EWS24" s="84"/>
      <c r="EWW24" s="84"/>
      <c r="EXA24" s="84"/>
      <c r="EXE24" s="84"/>
      <c r="EXI24" s="84"/>
      <c r="EXM24" s="84"/>
      <c r="EXQ24" s="84"/>
      <c r="EXU24" s="84"/>
      <c r="EXY24" s="84"/>
      <c r="EYC24" s="84"/>
      <c r="EYG24" s="84"/>
      <c r="EYK24" s="84"/>
      <c r="EYO24" s="84"/>
      <c r="EYS24" s="84"/>
      <c r="EYW24" s="84"/>
      <c r="EZA24" s="84"/>
      <c r="EZE24" s="84"/>
      <c r="EZI24" s="84"/>
      <c r="EZM24" s="84"/>
      <c r="EZQ24" s="84"/>
      <c r="EZU24" s="84"/>
      <c r="EZY24" s="84"/>
      <c r="FAC24" s="84"/>
      <c r="FAG24" s="84"/>
      <c r="FAK24" s="84"/>
      <c r="FAO24" s="84"/>
      <c r="FAS24" s="84"/>
      <c r="FAW24" s="84"/>
      <c r="FBA24" s="84"/>
      <c r="FBE24" s="84"/>
      <c r="FBI24" s="84"/>
      <c r="FBM24" s="84"/>
      <c r="FBQ24" s="84"/>
      <c r="FBU24" s="84"/>
      <c r="FBY24" s="84"/>
      <c r="FCC24" s="84"/>
      <c r="FCG24" s="84"/>
      <c r="FCK24" s="84"/>
      <c r="FCO24" s="84"/>
      <c r="FCS24" s="84"/>
      <c r="FCW24" s="84"/>
      <c r="FDA24" s="84"/>
      <c r="FDE24" s="84"/>
      <c r="FDI24" s="84"/>
      <c r="FDM24" s="84"/>
      <c r="FDQ24" s="84"/>
      <c r="FDU24" s="84"/>
      <c r="FDY24" s="84"/>
      <c r="FEC24" s="84"/>
      <c r="FEG24" s="84"/>
      <c r="FEK24" s="84"/>
      <c r="FEO24" s="84"/>
      <c r="FES24" s="84"/>
      <c r="FEW24" s="84"/>
      <c r="FFA24" s="84"/>
      <c r="FFE24" s="84"/>
      <c r="FFI24" s="84"/>
      <c r="FFM24" s="84"/>
      <c r="FFQ24" s="84"/>
      <c r="FFU24" s="84"/>
      <c r="FFY24" s="84"/>
      <c r="FGC24" s="84"/>
      <c r="FGG24" s="84"/>
      <c r="FGK24" s="84"/>
      <c r="FGO24" s="84"/>
      <c r="FGS24" s="84"/>
      <c r="FGW24" s="84"/>
      <c r="FHA24" s="84"/>
      <c r="FHE24" s="84"/>
      <c r="FHI24" s="84"/>
      <c r="FHM24" s="84"/>
      <c r="FHQ24" s="84"/>
      <c r="FHU24" s="84"/>
      <c r="FHY24" s="84"/>
      <c r="FIC24" s="84"/>
      <c r="FIG24" s="84"/>
      <c r="FIK24" s="84"/>
      <c r="FIO24" s="84"/>
      <c r="FIS24" s="84"/>
      <c r="FIW24" s="84"/>
      <c r="FJA24" s="84"/>
      <c r="FJE24" s="84"/>
      <c r="FJI24" s="84"/>
      <c r="FJM24" s="84"/>
      <c r="FJQ24" s="84"/>
      <c r="FJU24" s="84"/>
      <c r="FJY24" s="84"/>
      <c r="FKC24" s="84"/>
      <c r="FKG24" s="84"/>
      <c r="FKK24" s="84"/>
      <c r="FKO24" s="84"/>
      <c r="FKS24" s="84"/>
      <c r="FKW24" s="84"/>
      <c r="FLA24" s="84"/>
      <c r="FLE24" s="84"/>
      <c r="FLI24" s="84"/>
      <c r="FLM24" s="84"/>
      <c r="FLQ24" s="84"/>
      <c r="FLU24" s="84"/>
      <c r="FLY24" s="84"/>
      <c r="FMC24" s="84"/>
      <c r="FMG24" s="84"/>
      <c r="FMK24" s="84"/>
      <c r="FMO24" s="84"/>
      <c r="FMS24" s="84"/>
      <c r="FMW24" s="84"/>
      <c r="FNA24" s="84"/>
      <c r="FNE24" s="84"/>
      <c r="FNI24" s="84"/>
      <c r="FNM24" s="84"/>
      <c r="FNQ24" s="84"/>
      <c r="FNU24" s="84"/>
      <c r="FNY24" s="84"/>
      <c r="FOC24" s="84"/>
      <c r="FOG24" s="84"/>
      <c r="FOK24" s="84"/>
      <c r="FOO24" s="84"/>
      <c r="FOS24" s="84"/>
      <c r="FOW24" s="84"/>
      <c r="FPA24" s="84"/>
      <c r="FPE24" s="84"/>
      <c r="FPI24" s="84"/>
      <c r="FPM24" s="84"/>
      <c r="FPQ24" s="84"/>
      <c r="FPU24" s="84"/>
      <c r="FPY24" s="84"/>
      <c r="FQC24" s="84"/>
      <c r="FQG24" s="84"/>
      <c r="FQK24" s="84"/>
      <c r="FQO24" s="84"/>
      <c r="FQS24" s="84"/>
      <c r="FQW24" s="84"/>
      <c r="FRA24" s="84"/>
      <c r="FRE24" s="84"/>
      <c r="FRI24" s="84"/>
      <c r="FRM24" s="84"/>
      <c r="FRQ24" s="84"/>
      <c r="FRU24" s="84"/>
      <c r="FRY24" s="84"/>
      <c r="FSC24" s="84"/>
      <c r="FSG24" s="84"/>
      <c r="FSK24" s="84"/>
      <c r="FSO24" s="84"/>
      <c r="FSS24" s="84"/>
      <c r="FSW24" s="84"/>
      <c r="FTA24" s="84"/>
      <c r="FTE24" s="84"/>
      <c r="FTI24" s="84"/>
      <c r="FTM24" s="84"/>
      <c r="FTQ24" s="84"/>
      <c r="FTU24" s="84"/>
      <c r="FTY24" s="84"/>
      <c r="FUC24" s="84"/>
      <c r="FUG24" s="84"/>
      <c r="FUK24" s="84"/>
      <c r="FUO24" s="84"/>
      <c r="FUS24" s="84"/>
      <c r="FUW24" s="84"/>
      <c r="FVA24" s="84"/>
      <c r="FVE24" s="84"/>
      <c r="FVI24" s="84"/>
      <c r="FVM24" s="84"/>
      <c r="FVQ24" s="84"/>
      <c r="FVU24" s="84"/>
      <c r="FVY24" s="84"/>
      <c r="FWC24" s="84"/>
      <c r="FWG24" s="84"/>
      <c r="FWK24" s="84"/>
      <c r="FWO24" s="84"/>
      <c r="FWS24" s="84"/>
      <c r="FWW24" s="84"/>
      <c r="FXA24" s="84"/>
      <c r="FXE24" s="84"/>
      <c r="FXI24" s="84"/>
      <c r="FXM24" s="84"/>
      <c r="FXQ24" s="84"/>
      <c r="FXU24" s="84"/>
      <c r="FXY24" s="84"/>
      <c r="FYC24" s="84"/>
      <c r="FYG24" s="84"/>
      <c r="FYK24" s="84"/>
      <c r="FYO24" s="84"/>
      <c r="FYS24" s="84"/>
      <c r="FYW24" s="84"/>
      <c r="FZA24" s="84"/>
      <c r="FZE24" s="84"/>
      <c r="FZI24" s="84"/>
      <c r="FZM24" s="84"/>
      <c r="FZQ24" s="84"/>
      <c r="FZU24" s="84"/>
      <c r="FZY24" s="84"/>
      <c r="GAC24" s="84"/>
      <c r="GAG24" s="84"/>
      <c r="GAK24" s="84"/>
      <c r="GAO24" s="84"/>
      <c r="GAS24" s="84"/>
      <c r="GAW24" s="84"/>
      <c r="GBA24" s="84"/>
      <c r="GBE24" s="84"/>
      <c r="GBI24" s="84"/>
      <c r="GBM24" s="84"/>
      <c r="GBQ24" s="84"/>
      <c r="GBU24" s="84"/>
      <c r="GBY24" s="84"/>
      <c r="GCC24" s="84"/>
      <c r="GCG24" s="84"/>
      <c r="GCK24" s="84"/>
      <c r="GCO24" s="84"/>
      <c r="GCS24" s="84"/>
      <c r="GCW24" s="84"/>
      <c r="GDA24" s="84"/>
      <c r="GDE24" s="84"/>
      <c r="GDI24" s="84"/>
      <c r="GDM24" s="84"/>
      <c r="GDQ24" s="84"/>
      <c r="GDU24" s="84"/>
      <c r="GDY24" s="84"/>
      <c r="GEC24" s="84"/>
      <c r="GEG24" s="84"/>
      <c r="GEK24" s="84"/>
      <c r="GEO24" s="84"/>
      <c r="GES24" s="84"/>
      <c r="GEW24" s="84"/>
      <c r="GFA24" s="84"/>
      <c r="GFE24" s="84"/>
      <c r="GFI24" s="84"/>
      <c r="GFM24" s="84"/>
      <c r="GFQ24" s="84"/>
      <c r="GFU24" s="84"/>
      <c r="GFY24" s="84"/>
      <c r="GGC24" s="84"/>
      <c r="GGG24" s="84"/>
      <c r="GGK24" s="84"/>
      <c r="GGO24" s="84"/>
      <c r="GGS24" s="84"/>
      <c r="GGW24" s="84"/>
      <c r="GHA24" s="84"/>
      <c r="GHE24" s="84"/>
      <c r="GHI24" s="84"/>
      <c r="GHM24" s="84"/>
      <c r="GHQ24" s="84"/>
      <c r="GHU24" s="84"/>
      <c r="GHY24" s="84"/>
      <c r="GIC24" s="84"/>
      <c r="GIG24" s="84"/>
      <c r="GIK24" s="84"/>
      <c r="GIO24" s="84"/>
      <c r="GIS24" s="84"/>
      <c r="GIW24" s="84"/>
      <c r="GJA24" s="84"/>
      <c r="GJE24" s="84"/>
      <c r="GJI24" s="84"/>
      <c r="GJM24" s="84"/>
      <c r="GJQ24" s="84"/>
      <c r="GJU24" s="84"/>
      <c r="GJY24" s="84"/>
      <c r="GKC24" s="84"/>
      <c r="GKG24" s="84"/>
      <c r="GKK24" s="84"/>
      <c r="GKO24" s="84"/>
      <c r="GKS24" s="84"/>
      <c r="GKW24" s="84"/>
      <c r="GLA24" s="84"/>
      <c r="GLE24" s="84"/>
      <c r="GLI24" s="84"/>
      <c r="GLM24" s="84"/>
      <c r="GLQ24" s="84"/>
      <c r="GLU24" s="84"/>
      <c r="GLY24" s="84"/>
      <c r="GMC24" s="84"/>
      <c r="GMG24" s="84"/>
      <c r="GMK24" s="84"/>
      <c r="GMO24" s="84"/>
      <c r="GMS24" s="84"/>
      <c r="GMW24" s="84"/>
      <c r="GNA24" s="84"/>
      <c r="GNE24" s="84"/>
      <c r="GNI24" s="84"/>
      <c r="GNM24" s="84"/>
      <c r="GNQ24" s="84"/>
      <c r="GNU24" s="84"/>
      <c r="GNY24" s="84"/>
      <c r="GOC24" s="84"/>
      <c r="GOG24" s="84"/>
      <c r="GOK24" s="84"/>
      <c r="GOO24" s="84"/>
      <c r="GOS24" s="84"/>
      <c r="GOW24" s="84"/>
      <c r="GPA24" s="84"/>
      <c r="GPE24" s="84"/>
      <c r="GPI24" s="84"/>
      <c r="GPM24" s="84"/>
      <c r="GPQ24" s="84"/>
      <c r="GPU24" s="84"/>
      <c r="GPY24" s="84"/>
      <c r="GQC24" s="84"/>
      <c r="GQG24" s="84"/>
      <c r="GQK24" s="84"/>
      <c r="GQO24" s="84"/>
      <c r="GQS24" s="84"/>
      <c r="GQW24" s="84"/>
      <c r="GRA24" s="84"/>
      <c r="GRE24" s="84"/>
      <c r="GRI24" s="84"/>
      <c r="GRM24" s="84"/>
      <c r="GRQ24" s="84"/>
      <c r="GRU24" s="84"/>
      <c r="GRY24" s="84"/>
      <c r="GSC24" s="84"/>
      <c r="GSG24" s="84"/>
      <c r="GSK24" s="84"/>
      <c r="GSO24" s="84"/>
      <c r="GSS24" s="84"/>
      <c r="GSW24" s="84"/>
      <c r="GTA24" s="84"/>
      <c r="GTE24" s="84"/>
      <c r="GTI24" s="84"/>
      <c r="GTM24" s="84"/>
      <c r="GTQ24" s="84"/>
      <c r="GTU24" s="84"/>
      <c r="GTY24" s="84"/>
      <c r="GUC24" s="84"/>
      <c r="GUG24" s="84"/>
      <c r="GUK24" s="84"/>
      <c r="GUO24" s="84"/>
      <c r="GUS24" s="84"/>
      <c r="GUW24" s="84"/>
      <c r="GVA24" s="84"/>
      <c r="GVE24" s="84"/>
      <c r="GVI24" s="84"/>
      <c r="GVM24" s="84"/>
      <c r="GVQ24" s="84"/>
      <c r="GVU24" s="84"/>
      <c r="GVY24" s="84"/>
      <c r="GWC24" s="84"/>
      <c r="GWG24" s="84"/>
      <c r="GWK24" s="84"/>
      <c r="GWO24" s="84"/>
      <c r="GWS24" s="84"/>
      <c r="GWW24" s="84"/>
      <c r="GXA24" s="84"/>
      <c r="GXE24" s="84"/>
      <c r="GXI24" s="84"/>
      <c r="GXM24" s="84"/>
      <c r="GXQ24" s="84"/>
      <c r="GXU24" s="84"/>
      <c r="GXY24" s="84"/>
      <c r="GYC24" s="84"/>
      <c r="GYG24" s="84"/>
      <c r="GYK24" s="84"/>
      <c r="GYO24" s="84"/>
      <c r="GYS24" s="84"/>
      <c r="GYW24" s="84"/>
      <c r="GZA24" s="84"/>
      <c r="GZE24" s="84"/>
      <c r="GZI24" s="84"/>
      <c r="GZM24" s="84"/>
      <c r="GZQ24" s="84"/>
      <c r="GZU24" s="84"/>
      <c r="GZY24" s="84"/>
      <c r="HAC24" s="84"/>
      <c r="HAG24" s="84"/>
      <c r="HAK24" s="84"/>
      <c r="HAO24" s="84"/>
      <c r="HAS24" s="84"/>
      <c r="HAW24" s="84"/>
      <c r="HBA24" s="84"/>
      <c r="HBE24" s="84"/>
      <c r="HBI24" s="84"/>
      <c r="HBM24" s="84"/>
      <c r="HBQ24" s="84"/>
      <c r="HBU24" s="84"/>
      <c r="HBY24" s="84"/>
      <c r="HCC24" s="84"/>
      <c r="HCG24" s="84"/>
      <c r="HCK24" s="84"/>
      <c r="HCO24" s="84"/>
      <c r="HCS24" s="84"/>
      <c r="HCW24" s="84"/>
      <c r="HDA24" s="84"/>
      <c r="HDE24" s="84"/>
      <c r="HDI24" s="84"/>
      <c r="HDM24" s="84"/>
      <c r="HDQ24" s="84"/>
      <c r="HDU24" s="84"/>
      <c r="HDY24" s="84"/>
      <c r="HEC24" s="84"/>
      <c r="HEG24" s="84"/>
      <c r="HEK24" s="84"/>
      <c r="HEO24" s="84"/>
      <c r="HES24" s="84"/>
      <c r="HEW24" s="84"/>
      <c r="HFA24" s="84"/>
      <c r="HFE24" s="84"/>
      <c r="HFI24" s="84"/>
      <c r="HFM24" s="84"/>
      <c r="HFQ24" s="84"/>
      <c r="HFU24" s="84"/>
      <c r="HFY24" s="84"/>
      <c r="HGC24" s="84"/>
      <c r="HGG24" s="84"/>
      <c r="HGK24" s="84"/>
      <c r="HGO24" s="84"/>
      <c r="HGS24" s="84"/>
      <c r="HGW24" s="84"/>
      <c r="HHA24" s="84"/>
      <c r="HHE24" s="84"/>
      <c r="HHI24" s="84"/>
      <c r="HHM24" s="84"/>
      <c r="HHQ24" s="84"/>
      <c r="HHU24" s="84"/>
      <c r="HHY24" s="84"/>
      <c r="HIC24" s="84"/>
      <c r="HIG24" s="84"/>
      <c r="HIK24" s="84"/>
      <c r="HIO24" s="84"/>
      <c r="HIS24" s="84"/>
      <c r="HIW24" s="84"/>
      <c r="HJA24" s="84"/>
      <c r="HJE24" s="84"/>
      <c r="HJI24" s="84"/>
      <c r="HJM24" s="84"/>
      <c r="HJQ24" s="84"/>
      <c r="HJU24" s="84"/>
      <c r="HJY24" s="84"/>
      <c r="HKC24" s="84"/>
      <c r="HKG24" s="84"/>
      <c r="HKK24" s="84"/>
      <c r="HKO24" s="84"/>
      <c r="HKS24" s="84"/>
      <c r="HKW24" s="84"/>
      <c r="HLA24" s="84"/>
      <c r="HLE24" s="84"/>
      <c r="HLI24" s="84"/>
      <c r="HLM24" s="84"/>
      <c r="HLQ24" s="84"/>
      <c r="HLU24" s="84"/>
      <c r="HLY24" s="84"/>
      <c r="HMC24" s="84"/>
      <c r="HMG24" s="84"/>
      <c r="HMK24" s="84"/>
      <c r="HMO24" s="84"/>
      <c r="HMS24" s="84"/>
      <c r="HMW24" s="84"/>
      <c r="HNA24" s="84"/>
      <c r="HNE24" s="84"/>
      <c r="HNI24" s="84"/>
      <c r="HNM24" s="84"/>
      <c r="HNQ24" s="84"/>
      <c r="HNU24" s="84"/>
      <c r="HNY24" s="84"/>
      <c r="HOC24" s="84"/>
      <c r="HOG24" s="84"/>
      <c r="HOK24" s="84"/>
      <c r="HOO24" s="84"/>
      <c r="HOS24" s="84"/>
      <c r="HOW24" s="84"/>
      <c r="HPA24" s="84"/>
      <c r="HPE24" s="84"/>
      <c r="HPI24" s="84"/>
      <c r="HPM24" s="84"/>
      <c r="HPQ24" s="84"/>
      <c r="HPU24" s="84"/>
      <c r="HPY24" s="84"/>
      <c r="HQC24" s="84"/>
      <c r="HQG24" s="84"/>
      <c r="HQK24" s="84"/>
      <c r="HQO24" s="84"/>
      <c r="HQS24" s="84"/>
      <c r="HQW24" s="84"/>
      <c r="HRA24" s="84"/>
      <c r="HRE24" s="84"/>
      <c r="HRI24" s="84"/>
      <c r="HRM24" s="84"/>
      <c r="HRQ24" s="84"/>
      <c r="HRU24" s="84"/>
      <c r="HRY24" s="84"/>
      <c r="HSC24" s="84"/>
      <c r="HSG24" s="84"/>
      <c r="HSK24" s="84"/>
      <c r="HSO24" s="84"/>
      <c r="HSS24" s="84"/>
      <c r="HSW24" s="84"/>
      <c r="HTA24" s="84"/>
      <c r="HTE24" s="84"/>
      <c r="HTI24" s="84"/>
      <c r="HTM24" s="84"/>
      <c r="HTQ24" s="84"/>
      <c r="HTU24" s="84"/>
      <c r="HTY24" s="84"/>
      <c r="HUC24" s="84"/>
      <c r="HUG24" s="84"/>
      <c r="HUK24" s="84"/>
      <c r="HUO24" s="84"/>
      <c r="HUS24" s="84"/>
      <c r="HUW24" s="84"/>
      <c r="HVA24" s="84"/>
      <c r="HVE24" s="84"/>
      <c r="HVI24" s="84"/>
      <c r="HVM24" s="84"/>
      <c r="HVQ24" s="84"/>
      <c r="HVU24" s="84"/>
      <c r="HVY24" s="84"/>
      <c r="HWC24" s="84"/>
      <c r="HWG24" s="84"/>
      <c r="HWK24" s="84"/>
      <c r="HWO24" s="84"/>
      <c r="HWS24" s="84"/>
      <c r="HWW24" s="84"/>
      <c r="HXA24" s="84"/>
      <c r="HXE24" s="84"/>
      <c r="HXI24" s="84"/>
      <c r="HXM24" s="84"/>
      <c r="HXQ24" s="84"/>
      <c r="HXU24" s="84"/>
      <c r="HXY24" s="84"/>
      <c r="HYC24" s="84"/>
      <c r="HYG24" s="84"/>
      <c r="HYK24" s="84"/>
      <c r="HYO24" s="84"/>
      <c r="HYS24" s="84"/>
      <c r="HYW24" s="84"/>
      <c r="HZA24" s="84"/>
      <c r="HZE24" s="84"/>
      <c r="HZI24" s="84"/>
      <c r="HZM24" s="84"/>
      <c r="HZQ24" s="84"/>
      <c r="HZU24" s="84"/>
      <c r="HZY24" s="84"/>
      <c r="IAC24" s="84"/>
      <c r="IAG24" s="84"/>
      <c r="IAK24" s="84"/>
      <c r="IAO24" s="84"/>
      <c r="IAS24" s="84"/>
      <c r="IAW24" s="84"/>
      <c r="IBA24" s="84"/>
      <c r="IBE24" s="84"/>
      <c r="IBI24" s="84"/>
      <c r="IBM24" s="84"/>
      <c r="IBQ24" s="84"/>
      <c r="IBU24" s="84"/>
      <c r="IBY24" s="84"/>
      <c r="ICC24" s="84"/>
      <c r="ICG24" s="84"/>
      <c r="ICK24" s="84"/>
      <c r="ICO24" s="84"/>
      <c r="ICS24" s="84"/>
      <c r="ICW24" s="84"/>
      <c r="IDA24" s="84"/>
      <c r="IDE24" s="84"/>
      <c r="IDI24" s="84"/>
      <c r="IDM24" s="84"/>
      <c r="IDQ24" s="84"/>
      <c r="IDU24" s="84"/>
      <c r="IDY24" s="84"/>
      <c r="IEC24" s="84"/>
      <c r="IEG24" s="84"/>
      <c r="IEK24" s="84"/>
      <c r="IEO24" s="84"/>
      <c r="IES24" s="84"/>
      <c r="IEW24" s="84"/>
      <c r="IFA24" s="84"/>
      <c r="IFE24" s="84"/>
      <c r="IFI24" s="84"/>
      <c r="IFM24" s="84"/>
      <c r="IFQ24" s="84"/>
      <c r="IFU24" s="84"/>
      <c r="IFY24" s="84"/>
      <c r="IGC24" s="84"/>
      <c r="IGG24" s="84"/>
      <c r="IGK24" s="84"/>
      <c r="IGO24" s="84"/>
      <c r="IGS24" s="84"/>
      <c r="IGW24" s="84"/>
      <c r="IHA24" s="84"/>
      <c r="IHE24" s="84"/>
      <c r="IHI24" s="84"/>
      <c r="IHM24" s="84"/>
      <c r="IHQ24" s="84"/>
      <c r="IHU24" s="84"/>
      <c r="IHY24" s="84"/>
      <c r="IIC24" s="84"/>
      <c r="IIG24" s="84"/>
      <c r="IIK24" s="84"/>
      <c r="IIO24" s="84"/>
      <c r="IIS24" s="84"/>
      <c r="IIW24" s="84"/>
      <c r="IJA24" s="84"/>
      <c r="IJE24" s="84"/>
      <c r="IJI24" s="84"/>
      <c r="IJM24" s="84"/>
      <c r="IJQ24" s="84"/>
      <c r="IJU24" s="84"/>
      <c r="IJY24" s="84"/>
      <c r="IKC24" s="84"/>
      <c r="IKG24" s="84"/>
      <c r="IKK24" s="84"/>
      <c r="IKO24" s="84"/>
      <c r="IKS24" s="84"/>
      <c r="IKW24" s="84"/>
      <c r="ILA24" s="84"/>
      <c r="ILE24" s="84"/>
      <c r="ILI24" s="84"/>
      <c r="ILM24" s="84"/>
      <c r="ILQ24" s="84"/>
      <c r="ILU24" s="84"/>
      <c r="ILY24" s="84"/>
      <c r="IMC24" s="84"/>
      <c r="IMG24" s="84"/>
      <c r="IMK24" s="84"/>
      <c r="IMO24" s="84"/>
      <c r="IMS24" s="84"/>
      <c r="IMW24" s="84"/>
      <c r="INA24" s="84"/>
      <c r="INE24" s="84"/>
      <c r="INI24" s="84"/>
      <c r="INM24" s="84"/>
      <c r="INQ24" s="84"/>
      <c r="INU24" s="84"/>
      <c r="INY24" s="84"/>
      <c r="IOC24" s="84"/>
      <c r="IOG24" s="84"/>
      <c r="IOK24" s="84"/>
      <c r="IOO24" s="84"/>
      <c r="IOS24" s="84"/>
      <c r="IOW24" s="84"/>
      <c r="IPA24" s="84"/>
      <c r="IPE24" s="84"/>
      <c r="IPI24" s="84"/>
      <c r="IPM24" s="84"/>
      <c r="IPQ24" s="84"/>
      <c r="IPU24" s="84"/>
      <c r="IPY24" s="84"/>
      <c r="IQC24" s="84"/>
      <c r="IQG24" s="84"/>
      <c r="IQK24" s="84"/>
      <c r="IQO24" s="84"/>
      <c r="IQS24" s="84"/>
      <c r="IQW24" s="84"/>
      <c r="IRA24" s="84"/>
      <c r="IRE24" s="84"/>
      <c r="IRI24" s="84"/>
      <c r="IRM24" s="84"/>
      <c r="IRQ24" s="84"/>
      <c r="IRU24" s="84"/>
      <c r="IRY24" s="84"/>
      <c r="ISC24" s="84"/>
      <c r="ISG24" s="84"/>
      <c r="ISK24" s="84"/>
      <c r="ISO24" s="84"/>
      <c r="ISS24" s="84"/>
      <c r="ISW24" s="84"/>
      <c r="ITA24" s="84"/>
      <c r="ITE24" s="84"/>
      <c r="ITI24" s="84"/>
      <c r="ITM24" s="84"/>
      <c r="ITQ24" s="84"/>
      <c r="ITU24" s="84"/>
      <c r="ITY24" s="84"/>
      <c r="IUC24" s="84"/>
      <c r="IUG24" s="84"/>
      <c r="IUK24" s="84"/>
      <c r="IUO24" s="84"/>
      <c r="IUS24" s="84"/>
      <c r="IUW24" s="84"/>
      <c r="IVA24" s="84"/>
      <c r="IVE24" s="84"/>
      <c r="IVI24" s="84"/>
      <c r="IVM24" s="84"/>
      <c r="IVQ24" s="84"/>
      <c r="IVU24" s="84"/>
      <c r="IVY24" s="84"/>
      <c r="IWC24" s="84"/>
      <c r="IWG24" s="84"/>
      <c r="IWK24" s="84"/>
      <c r="IWO24" s="84"/>
      <c r="IWS24" s="84"/>
      <c r="IWW24" s="84"/>
      <c r="IXA24" s="84"/>
      <c r="IXE24" s="84"/>
      <c r="IXI24" s="84"/>
      <c r="IXM24" s="84"/>
      <c r="IXQ24" s="84"/>
      <c r="IXU24" s="84"/>
      <c r="IXY24" s="84"/>
      <c r="IYC24" s="84"/>
      <c r="IYG24" s="84"/>
      <c r="IYK24" s="84"/>
      <c r="IYO24" s="84"/>
      <c r="IYS24" s="84"/>
      <c r="IYW24" s="84"/>
      <c r="IZA24" s="84"/>
      <c r="IZE24" s="84"/>
      <c r="IZI24" s="84"/>
      <c r="IZM24" s="84"/>
      <c r="IZQ24" s="84"/>
      <c r="IZU24" s="84"/>
      <c r="IZY24" s="84"/>
      <c r="JAC24" s="84"/>
      <c r="JAG24" s="84"/>
      <c r="JAK24" s="84"/>
      <c r="JAO24" s="84"/>
      <c r="JAS24" s="84"/>
      <c r="JAW24" s="84"/>
      <c r="JBA24" s="84"/>
      <c r="JBE24" s="84"/>
      <c r="JBI24" s="84"/>
      <c r="JBM24" s="84"/>
      <c r="JBQ24" s="84"/>
      <c r="JBU24" s="84"/>
      <c r="JBY24" s="84"/>
      <c r="JCC24" s="84"/>
      <c r="JCG24" s="84"/>
      <c r="JCK24" s="84"/>
      <c r="JCO24" s="84"/>
      <c r="JCS24" s="84"/>
      <c r="JCW24" s="84"/>
      <c r="JDA24" s="84"/>
      <c r="JDE24" s="84"/>
      <c r="JDI24" s="84"/>
      <c r="JDM24" s="84"/>
      <c r="JDQ24" s="84"/>
      <c r="JDU24" s="84"/>
      <c r="JDY24" s="84"/>
      <c r="JEC24" s="84"/>
      <c r="JEG24" s="84"/>
      <c r="JEK24" s="84"/>
      <c r="JEO24" s="84"/>
      <c r="JES24" s="84"/>
      <c r="JEW24" s="84"/>
      <c r="JFA24" s="84"/>
      <c r="JFE24" s="84"/>
      <c r="JFI24" s="84"/>
      <c r="JFM24" s="84"/>
      <c r="JFQ24" s="84"/>
      <c r="JFU24" s="84"/>
      <c r="JFY24" s="84"/>
      <c r="JGC24" s="84"/>
      <c r="JGG24" s="84"/>
      <c r="JGK24" s="84"/>
      <c r="JGO24" s="84"/>
      <c r="JGS24" s="84"/>
      <c r="JGW24" s="84"/>
      <c r="JHA24" s="84"/>
      <c r="JHE24" s="84"/>
      <c r="JHI24" s="84"/>
      <c r="JHM24" s="84"/>
      <c r="JHQ24" s="84"/>
      <c r="JHU24" s="84"/>
      <c r="JHY24" s="84"/>
      <c r="JIC24" s="84"/>
      <c r="JIG24" s="84"/>
      <c r="JIK24" s="84"/>
      <c r="JIO24" s="84"/>
      <c r="JIS24" s="84"/>
      <c r="JIW24" s="84"/>
      <c r="JJA24" s="84"/>
      <c r="JJE24" s="84"/>
      <c r="JJI24" s="84"/>
      <c r="JJM24" s="84"/>
      <c r="JJQ24" s="84"/>
      <c r="JJU24" s="84"/>
      <c r="JJY24" s="84"/>
      <c r="JKC24" s="84"/>
      <c r="JKG24" s="84"/>
      <c r="JKK24" s="84"/>
      <c r="JKO24" s="84"/>
      <c r="JKS24" s="84"/>
      <c r="JKW24" s="84"/>
      <c r="JLA24" s="84"/>
      <c r="JLE24" s="84"/>
      <c r="JLI24" s="84"/>
      <c r="JLM24" s="84"/>
      <c r="JLQ24" s="84"/>
      <c r="JLU24" s="84"/>
      <c r="JLY24" s="84"/>
      <c r="JMC24" s="84"/>
      <c r="JMG24" s="84"/>
      <c r="JMK24" s="84"/>
      <c r="JMO24" s="84"/>
      <c r="JMS24" s="84"/>
      <c r="JMW24" s="84"/>
      <c r="JNA24" s="84"/>
      <c r="JNE24" s="84"/>
      <c r="JNI24" s="84"/>
      <c r="JNM24" s="84"/>
      <c r="JNQ24" s="84"/>
      <c r="JNU24" s="84"/>
      <c r="JNY24" s="84"/>
      <c r="JOC24" s="84"/>
      <c r="JOG24" s="84"/>
      <c r="JOK24" s="84"/>
      <c r="JOO24" s="84"/>
      <c r="JOS24" s="84"/>
      <c r="JOW24" s="84"/>
      <c r="JPA24" s="84"/>
      <c r="JPE24" s="84"/>
      <c r="JPI24" s="84"/>
      <c r="JPM24" s="84"/>
      <c r="JPQ24" s="84"/>
      <c r="JPU24" s="84"/>
      <c r="JPY24" s="84"/>
      <c r="JQC24" s="84"/>
      <c r="JQG24" s="84"/>
      <c r="JQK24" s="84"/>
      <c r="JQO24" s="84"/>
      <c r="JQS24" s="84"/>
      <c r="JQW24" s="84"/>
      <c r="JRA24" s="84"/>
      <c r="JRE24" s="84"/>
      <c r="JRI24" s="84"/>
      <c r="JRM24" s="84"/>
      <c r="JRQ24" s="84"/>
      <c r="JRU24" s="84"/>
      <c r="JRY24" s="84"/>
      <c r="JSC24" s="84"/>
      <c r="JSG24" s="84"/>
      <c r="JSK24" s="84"/>
      <c r="JSO24" s="84"/>
      <c r="JSS24" s="84"/>
      <c r="JSW24" s="84"/>
      <c r="JTA24" s="84"/>
      <c r="JTE24" s="84"/>
      <c r="JTI24" s="84"/>
      <c r="JTM24" s="84"/>
      <c r="JTQ24" s="84"/>
      <c r="JTU24" s="84"/>
      <c r="JTY24" s="84"/>
      <c r="JUC24" s="84"/>
      <c r="JUG24" s="84"/>
      <c r="JUK24" s="84"/>
      <c r="JUO24" s="84"/>
      <c r="JUS24" s="84"/>
      <c r="JUW24" s="84"/>
      <c r="JVA24" s="84"/>
      <c r="JVE24" s="84"/>
      <c r="JVI24" s="84"/>
      <c r="JVM24" s="84"/>
      <c r="JVQ24" s="84"/>
      <c r="JVU24" s="84"/>
      <c r="JVY24" s="84"/>
      <c r="JWC24" s="84"/>
      <c r="JWG24" s="84"/>
      <c r="JWK24" s="84"/>
      <c r="JWO24" s="84"/>
      <c r="JWS24" s="84"/>
      <c r="JWW24" s="84"/>
      <c r="JXA24" s="84"/>
      <c r="JXE24" s="84"/>
      <c r="JXI24" s="84"/>
      <c r="JXM24" s="84"/>
      <c r="JXQ24" s="84"/>
      <c r="JXU24" s="84"/>
      <c r="JXY24" s="84"/>
      <c r="JYC24" s="84"/>
      <c r="JYG24" s="84"/>
      <c r="JYK24" s="84"/>
      <c r="JYO24" s="84"/>
      <c r="JYS24" s="84"/>
      <c r="JYW24" s="84"/>
      <c r="JZA24" s="84"/>
      <c r="JZE24" s="84"/>
      <c r="JZI24" s="84"/>
      <c r="JZM24" s="84"/>
      <c r="JZQ24" s="84"/>
      <c r="JZU24" s="84"/>
      <c r="JZY24" s="84"/>
      <c r="KAC24" s="84"/>
      <c r="KAG24" s="84"/>
      <c r="KAK24" s="84"/>
      <c r="KAO24" s="84"/>
      <c r="KAS24" s="84"/>
      <c r="KAW24" s="84"/>
      <c r="KBA24" s="84"/>
      <c r="KBE24" s="84"/>
      <c r="KBI24" s="84"/>
      <c r="KBM24" s="84"/>
      <c r="KBQ24" s="84"/>
      <c r="KBU24" s="84"/>
      <c r="KBY24" s="84"/>
      <c r="KCC24" s="84"/>
      <c r="KCG24" s="84"/>
      <c r="KCK24" s="84"/>
      <c r="KCO24" s="84"/>
      <c r="KCS24" s="84"/>
      <c r="KCW24" s="84"/>
      <c r="KDA24" s="84"/>
      <c r="KDE24" s="84"/>
      <c r="KDI24" s="84"/>
      <c r="KDM24" s="84"/>
      <c r="KDQ24" s="84"/>
      <c r="KDU24" s="84"/>
      <c r="KDY24" s="84"/>
      <c r="KEC24" s="84"/>
      <c r="KEG24" s="84"/>
      <c r="KEK24" s="84"/>
      <c r="KEO24" s="84"/>
      <c r="KES24" s="84"/>
      <c r="KEW24" s="84"/>
      <c r="KFA24" s="84"/>
      <c r="KFE24" s="84"/>
      <c r="KFI24" s="84"/>
      <c r="KFM24" s="84"/>
      <c r="KFQ24" s="84"/>
      <c r="KFU24" s="84"/>
      <c r="KFY24" s="84"/>
      <c r="KGC24" s="84"/>
      <c r="KGG24" s="84"/>
      <c r="KGK24" s="84"/>
      <c r="KGO24" s="84"/>
      <c r="KGS24" s="84"/>
      <c r="KGW24" s="84"/>
      <c r="KHA24" s="84"/>
      <c r="KHE24" s="84"/>
      <c r="KHI24" s="84"/>
      <c r="KHM24" s="84"/>
      <c r="KHQ24" s="84"/>
      <c r="KHU24" s="84"/>
      <c r="KHY24" s="84"/>
      <c r="KIC24" s="84"/>
      <c r="KIG24" s="84"/>
      <c r="KIK24" s="84"/>
      <c r="KIO24" s="84"/>
      <c r="KIS24" s="84"/>
      <c r="KIW24" s="84"/>
      <c r="KJA24" s="84"/>
      <c r="KJE24" s="84"/>
      <c r="KJI24" s="84"/>
      <c r="KJM24" s="84"/>
      <c r="KJQ24" s="84"/>
      <c r="KJU24" s="84"/>
      <c r="KJY24" s="84"/>
      <c r="KKC24" s="84"/>
      <c r="KKG24" s="84"/>
      <c r="KKK24" s="84"/>
      <c r="KKO24" s="84"/>
      <c r="KKS24" s="84"/>
      <c r="KKW24" s="84"/>
      <c r="KLA24" s="84"/>
      <c r="KLE24" s="84"/>
      <c r="KLI24" s="84"/>
      <c r="KLM24" s="84"/>
      <c r="KLQ24" s="84"/>
      <c r="KLU24" s="84"/>
      <c r="KLY24" s="84"/>
      <c r="KMC24" s="84"/>
      <c r="KMG24" s="84"/>
      <c r="KMK24" s="84"/>
      <c r="KMO24" s="84"/>
      <c r="KMS24" s="84"/>
      <c r="KMW24" s="84"/>
      <c r="KNA24" s="84"/>
      <c r="KNE24" s="84"/>
      <c r="KNI24" s="84"/>
      <c r="KNM24" s="84"/>
      <c r="KNQ24" s="84"/>
      <c r="KNU24" s="84"/>
      <c r="KNY24" s="84"/>
      <c r="KOC24" s="84"/>
      <c r="KOG24" s="84"/>
      <c r="KOK24" s="84"/>
      <c r="KOO24" s="84"/>
      <c r="KOS24" s="84"/>
      <c r="KOW24" s="84"/>
      <c r="KPA24" s="84"/>
      <c r="KPE24" s="84"/>
      <c r="KPI24" s="84"/>
      <c r="KPM24" s="84"/>
      <c r="KPQ24" s="84"/>
      <c r="KPU24" s="84"/>
      <c r="KPY24" s="84"/>
      <c r="KQC24" s="84"/>
      <c r="KQG24" s="84"/>
      <c r="KQK24" s="84"/>
      <c r="KQO24" s="84"/>
      <c r="KQS24" s="84"/>
      <c r="KQW24" s="84"/>
      <c r="KRA24" s="84"/>
      <c r="KRE24" s="84"/>
      <c r="KRI24" s="84"/>
      <c r="KRM24" s="84"/>
      <c r="KRQ24" s="84"/>
      <c r="KRU24" s="84"/>
      <c r="KRY24" s="84"/>
      <c r="KSC24" s="84"/>
      <c r="KSG24" s="84"/>
      <c r="KSK24" s="84"/>
      <c r="KSO24" s="84"/>
      <c r="KSS24" s="84"/>
      <c r="KSW24" s="84"/>
      <c r="KTA24" s="84"/>
      <c r="KTE24" s="84"/>
      <c r="KTI24" s="84"/>
      <c r="KTM24" s="84"/>
      <c r="KTQ24" s="84"/>
      <c r="KTU24" s="84"/>
      <c r="KTY24" s="84"/>
      <c r="KUC24" s="84"/>
      <c r="KUG24" s="84"/>
      <c r="KUK24" s="84"/>
      <c r="KUO24" s="84"/>
      <c r="KUS24" s="84"/>
      <c r="KUW24" s="84"/>
      <c r="KVA24" s="84"/>
      <c r="KVE24" s="84"/>
      <c r="KVI24" s="84"/>
      <c r="KVM24" s="84"/>
      <c r="KVQ24" s="84"/>
      <c r="KVU24" s="84"/>
      <c r="KVY24" s="84"/>
      <c r="KWC24" s="84"/>
      <c r="KWG24" s="84"/>
      <c r="KWK24" s="84"/>
      <c r="KWO24" s="84"/>
      <c r="KWS24" s="84"/>
      <c r="KWW24" s="84"/>
      <c r="KXA24" s="84"/>
      <c r="KXE24" s="84"/>
      <c r="KXI24" s="84"/>
      <c r="KXM24" s="84"/>
      <c r="KXQ24" s="84"/>
      <c r="KXU24" s="84"/>
      <c r="KXY24" s="84"/>
      <c r="KYC24" s="84"/>
      <c r="KYG24" s="84"/>
      <c r="KYK24" s="84"/>
      <c r="KYO24" s="84"/>
      <c r="KYS24" s="84"/>
      <c r="KYW24" s="84"/>
      <c r="KZA24" s="84"/>
      <c r="KZE24" s="84"/>
      <c r="KZI24" s="84"/>
      <c r="KZM24" s="84"/>
      <c r="KZQ24" s="84"/>
      <c r="KZU24" s="84"/>
      <c r="KZY24" s="84"/>
      <c r="LAC24" s="84"/>
      <c r="LAG24" s="84"/>
      <c r="LAK24" s="84"/>
      <c r="LAO24" s="84"/>
      <c r="LAS24" s="84"/>
      <c r="LAW24" s="84"/>
      <c r="LBA24" s="84"/>
      <c r="LBE24" s="84"/>
      <c r="LBI24" s="84"/>
      <c r="LBM24" s="84"/>
      <c r="LBQ24" s="84"/>
      <c r="LBU24" s="84"/>
      <c r="LBY24" s="84"/>
      <c r="LCC24" s="84"/>
      <c r="LCG24" s="84"/>
      <c r="LCK24" s="84"/>
      <c r="LCO24" s="84"/>
      <c r="LCS24" s="84"/>
      <c r="LCW24" s="84"/>
      <c r="LDA24" s="84"/>
      <c r="LDE24" s="84"/>
      <c r="LDI24" s="84"/>
      <c r="LDM24" s="84"/>
      <c r="LDQ24" s="84"/>
      <c r="LDU24" s="84"/>
      <c r="LDY24" s="84"/>
      <c r="LEC24" s="84"/>
      <c r="LEG24" s="84"/>
      <c r="LEK24" s="84"/>
      <c r="LEO24" s="84"/>
      <c r="LES24" s="84"/>
      <c r="LEW24" s="84"/>
      <c r="LFA24" s="84"/>
      <c r="LFE24" s="84"/>
      <c r="LFI24" s="84"/>
      <c r="LFM24" s="84"/>
      <c r="LFQ24" s="84"/>
      <c r="LFU24" s="84"/>
      <c r="LFY24" s="84"/>
      <c r="LGC24" s="84"/>
      <c r="LGG24" s="84"/>
      <c r="LGK24" s="84"/>
      <c r="LGO24" s="84"/>
      <c r="LGS24" s="84"/>
      <c r="LGW24" s="84"/>
      <c r="LHA24" s="84"/>
      <c r="LHE24" s="84"/>
      <c r="LHI24" s="84"/>
      <c r="LHM24" s="84"/>
      <c r="LHQ24" s="84"/>
      <c r="LHU24" s="84"/>
      <c r="LHY24" s="84"/>
      <c r="LIC24" s="84"/>
      <c r="LIG24" s="84"/>
      <c r="LIK24" s="84"/>
      <c r="LIO24" s="84"/>
      <c r="LIS24" s="84"/>
      <c r="LIW24" s="84"/>
      <c r="LJA24" s="84"/>
      <c r="LJE24" s="84"/>
      <c r="LJI24" s="84"/>
      <c r="LJM24" s="84"/>
      <c r="LJQ24" s="84"/>
      <c r="LJU24" s="84"/>
      <c r="LJY24" s="84"/>
      <c r="LKC24" s="84"/>
      <c r="LKG24" s="84"/>
      <c r="LKK24" s="84"/>
      <c r="LKO24" s="84"/>
      <c r="LKS24" s="84"/>
      <c r="LKW24" s="84"/>
      <c r="LLA24" s="84"/>
      <c r="LLE24" s="84"/>
      <c r="LLI24" s="84"/>
      <c r="LLM24" s="84"/>
      <c r="LLQ24" s="84"/>
      <c r="LLU24" s="84"/>
      <c r="LLY24" s="84"/>
      <c r="LMC24" s="84"/>
      <c r="LMG24" s="84"/>
      <c r="LMK24" s="84"/>
      <c r="LMO24" s="84"/>
      <c r="LMS24" s="84"/>
      <c r="LMW24" s="84"/>
      <c r="LNA24" s="84"/>
      <c r="LNE24" s="84"/>
      <c r="LNI24" s="84"/>
      <c r="LNM24" s="84"/>
      <c r="LNQ24" s="84"/>
      <c r="LNU24" s="84"/>
      <c r="LNY24" s="84"/>
      <c r="LOC24" s="84"/>
      <c r="LOG24" s="84"/>
      <c r="LOK24" s="84"/>
      <c r="LOO24" s="84"/>
      <c r="LOS24" s="84"/>
      <c r="LOW24" s="84"/>
      <c r="LPA24" s="84"/>
      <c r="LPE24" s="84"/>
      <c r="LPI24" s="84"/>
      <c r="LPM24" s="84"/>
      <c r="LPQ24" s="84"/>
      <c r="LPU24" s="84"/>
      <c r="LPY24" s="84"/>
      <c r="LQC24" s="84"/>
      <c r="LQG24" s="84"/>
      <c r="LQK24" s="84"/>
      <c r="LQO24" s="84"/>
      <c r="LQS24" s="84"/>
      <c r="LQW24" s="84"/>
      <c r="LRA24" s="84"/>
      <c r="LRE24" s="84"/>
      <c r="LRI24" s="84"/>
      <c r="LRM24" s="84"/>
      <c r="LRQ24" s="84"/>
      <c r="LRU24" s="84"/>
      <c r="LRY24" s="84"/>
      <c r="LSC24" s="84"/>
      <c r="LSG24" s="84"/>
      <c r="LSK24" s="84"/>
      <c r="LSO24" s="84"/>
      <c r="LSS24" s="84"/>
      <c r="LSW24" s="84"/>
      <c r="LTA24" s="84"/>
      <c r="LTE24" s="84"/>
      <c r="LTI24" s="84"/>
      <c r="LTM24" s="84"/>
      <c r="LTQ24" s="84"/>
      <c r="LTU24" s="84"/>
      <c r="LTY24" s="84"/>
      <c r="LUC24" s="84"/>
      <c r="LUG24" s="84"/>
      <c r="LUK24" s="84"/>
      <c r="LUO24" s="84"/>
      <c r="LUS24" s="84"/>
      <c r="LUW24" s="84"/>
      <c r="LVA24" s="84"/>
      <c r="LVE24" s="84"/>
      <c r="LVI24" s="84"/>
      <c r="LVM24" s="84"/>
      <c r="LVQ24" s="84"/>
      <c r="LVU24" s="84"/>
      <c r="LVY24" s="84"/>
      <c r="LWC24" s="84"/>
      <c r="LWG24" s="84"/>
      <c r="LWK24" s="84"/>
      <c r="LWO24" s="84"/>
      <c r="LWS24" s="84"/>
      <c r="LWW24" s="84"/>
      <c r="LXA24" s="84"/>
      <c r="LXE24" s="84"/>
      <c r="LXI24" s="84"/>
      <c r="LXM24" s="84"/>
      <c r="LXQ24" s="84"/>
      <c r="LXU24" s="84"/>
      <c r="LXY24" s="84"/>
      <c r="LYC24" s="84"/>
      <c r="LYG24" s="84"/>
      <c r="LYK24" s="84"/>
      <c r="LYO24" s="84"/>
      <c r="LYS24" s="84"/>
      <c r="LYW24" s="84"/>
      <c r="LZA24" s="84"/>
      <c r="LZE24" s="84"/>
      <c r="LZI24" s="84"/>
      <c r="LZM24" s="84"/>
      <c r="LZQ24" s="84"/>
      <c r="LZU24" s="84"/>
      <c r="LZY24" s="84"/>
      <c r="MAC24" s="84"/>
      <c r="MAG24" s="84"/>
      <c r="MAK24" s="84"/>
      <c r="MAO24" s="84"/>
      <c r="MAS24" s="84"/>
      <c r="MAW24" s="84"/>
      <c r="MBA24" s="84"/>
      <c r="MBE24" s="84"/>
      <c r="MBI24" s="84"/>
      <c r="MBM24" s="84"/>
      <c r="MBQ24" s="84"/>
      <c r="MBU24" s="84"/>
      <c r="MBY24" s="84"/>
      <c r="MCC24" s="84"/>
      <c r="MCG24" s="84"/>
      <c r="MCK24" s="84"/>
      <c r="MCO24" s="84"/>
      <c r="MCS24" s="84"/>
      <c r="MCW24" s="84"/>
      <c r="MDA24" s="84"/>
      <c r="MDE24" s="84"/>
      <c r="MDI24" s="84"/>
      <c r="MDM24" s="84"/>
      <c r="MDQ24" s="84"/>
      <c r="MDU24" s="84"/>
      <c r="MDY24" s="84"/>
      <c r="MEC24" s="84"/>
      <c r="MEG24" s="84"/>
      <c r="MEK24" s="84"/>
      <c r="MEO24" s="84"/>
      <c r="MES24" s="84"/>
      <c r="MEW24" s="84"/>
      <c r="MFA24" s="84"/>
      <c r="MFE24" s="84"/>
      <c r="MFI24" s="84"/>
      <c r="MFM24" s="84"/>
      <c r="MFQ24" s="84"/>
      <c r="MFU24" s="84"/>
      <c r="MFY24" s="84"/>
      <c r="MGC24" s="84"/>
      <c r="MGG24" s="84"/>
      <c r="MGK24" s="84"/>
      <c r="MGO24" s="84"/>
      <c r="MGS24" s="84"/>
      <c r="MGW24" s="84"/>
      <c r="MHA24" s="84"/>
      <c r="MHE24" s="84"/>
      <c r="MHI24" s="84"/>
      <c r="MHM24" s="84"/>
      <c r="MHQ24" s="84"/>
      <c r="MHU24" s="84"/>
      <c r="MHY24" s="84"/>
      <c r="MIC24" s="84"/>
      <c r="MIG24" s="84"/>
      <c r="MIK24" s="84"/>
      <c r="MIO24" s="84"/>
      <c r="MIS24" s="84"/>
      <c r="MIW24" s="84"/>
      <c r="MJA24" s="84"/>
      <c r="MJE24" s="84"/>
      <c r="MJI24" s="84"/>
      <c r="MJM24" s="84"/>
      <c r="MJQ24" s="84"/>
      <c r="MJU24" s="84"/>
      <c r="MJY24" s="84"/>
      <c r="MKC24" s="84"/>
      <c r="MKG24" s="84"/>
      <c r="MKK24" s="84"/>
      <c r="MKO24" s="84"/>
      <c r="MKS24" s="84"/>
      <c r="MKW24" s="84"/>
      <c r="MLA24" s="84"/>
      <c r="MLE24" s="84"/>
      <c r="MLI24" s="84"/>
      <c r="MLM24" s="84"/>
      <c r="MLQ24" s="84"/>
      <c r="MLU24" s="84"/>
      <c r="MLY24" s="84"/>
      <c r="MMC24" s="84"/>
      <c r="MMG24" s="84"/>
      <c r="MMK24" s="84"/>
      <c r="MMO24" s="84"/>
      <c r="MMS24" s="84"/>
      <c r="MMW24" s="84"/>
      <c r="MNA24" s="84"/>
      <c r="MNE24" s="84"/>
      <c r="MNI24" s="84"/>
      <c r="MNM24" s="84"/>
      <c r="MNQ24" s="84"/>
      <c r="MNU24" s="84"/>
      <c r="MNY24" s="84"/>
      <c r="MOC24" s="84"/>
      <c r="MOG24" s="84"/>
      <c r="MOK24" s="84"/>
      <c r="MOO24" s="84"/>
      <c r="MOS24" s="84"/>
      <c r="MOW24" s="84"/>
      <c r="MPA24" s="84"/>
      <c r="MPE24" s="84"/>
      <c r="MPI24" s="84"/>
      <c r="MPM24" s="84"/>
      <c r="MPQ24" s="84"/>
      <c r="MPU24" s="84"/>
      <c r="MPY24" s="84"/>
      <c r="MQC24" s="84"/>
      <c r="MQG24" s="84"/>
      <c r="MQK24" s="84"/>
      <c r="MQO24" s="84"/>
      <c r="MQS24" s="84"/>
      <c r="MQW24" s="84"/>
      <c r="MRA24" s="84"/>
      <c r="MRE24" s="84"/>
      <c r="MRI24" s="84"/>
      <c r="MRM24" s="84"/>
      <c r="MRQ24" s="84"/>
      <c r="MRU24" s="84"/>
      <c r="MRY24" s="84"/>
      <c r="MSC24" s="84"/>
      <c r="MSG24" s="84"/>
      <c r="MSK24" s="84"/>
      <c r="MSO24" s="84"/>
      <c r="MSS24" s="84"/>
      <c r="MSW24" s="84"/>
      <c r="MTA24" s="84"/>
      <c r="MTE24" s="84"/>
      <c r="MTI24" s="84"/>
      <c r="MTM24" s="84"/>
      <c r="MTQ24" s="84"/>
      <c r="MTU24" s="84"/>
      <c r="MTY24" s="84"/>
      <c r="MUC24" s="84"/>
      <c r="MUG24" s="84"/>
      <c r="MUK24" s="84"/>
      <c r="MUO24" s="84"/>
      <c r="MUS24" s="84"/>
      <c r="MUW24" s="84"/>
      <c r="MVA24" s="84"/>
      <c r="MVE24" s="84"/>
      <c r="MVI24" s="84"/>
      <c r="MVM24" s="84"/>
      <c r="MVQ24" s="84"/>
      <c r="MVU24" s="84"/>
      <c r="MVY24" s="84"/>
      <c r="MWC24" s="84"/>
      <c r="MWG24" s="84"/>
      <c r="MWK24" s="84"/>
      <c r="MWO24" s="84"/>
      <c r="MWS24" s="84"/>
      <c r="MWW24" s="84"/>
      <c r="MXA24" s="84"/>
      <c r="MXE24" s="84"/>
      <c r="MXI24" s="84"/>
      <c r="MXM24" s="84"/>
      <c r="MXQ24" s="84"/>
      <c r="MXU24" s="84"/>
      <c r="MXY24" s="84"/>
      <c r="MYC24" s="84"/>
      <c r="MYG24" s="84"/>
      <c r="MYK24" s="84"/>
      <c r="MYO24" s="84"/>
      <c r="MYS24" s="84"/>
      <c r="MYW24" s="84"/>
      <c r="MZA24" s="84"/>
      <c r="MZE24" s="84"/>
      <c r="MZI24" s="84"/>
      <c r="MZM24" s="84"/>
      <c r="MZQ24" s="84"/>
      <c r="MZU24" s="84"/>
      <c r="MZY24" s="84"/>
      <c r="NAC24" s="84"/>
      <c r="NAG24" s="84"/>
      <c r="NAK24" s="84"/>
      <c r="NAO24" s="84"/>
      <c r="NAS24" s="84"/>
      <c r="NAW24" s="84"/>
      <c r="NBA24" s="84"/>
      <c r="NBE24" s="84"/>
      <c r="NBI24" s="84"/>
      <c r="NBM24" s="84"/>
      <c r="NBQ24" s="84"/>
      <c r="NBU24" s="84"/>
      <c r="NBY24" s="84"/>
      <c r="NCC24" s="84"/>
      <c r="NCG24" s="84"/>
      <c r="NCK24" s="84"/>
      <c r="NCO24" s="84"/>
      <c r="NCS24" s="84"/>
      <c r="NCW24" s="84"/>
      <c r="NDA24" s="84"/>
      <c r="NDE24" s="84"/>
      <c r="NDI24" s="84"/>
      <c r="NDM24" s="84"/>
      <c r="NDQ24" s="84"/>
      <c r="NDU24" s="84"/>
      <c r="NDY24" s="84"/>
      <c r="NEC24" s="84"/>
      <c r="NEG24" s="84"/>
      <c r="NEK24" s="84"/>
      <c r="NEO24" s="84"/>
      <c r="NES24" s="84"/>
      <c r="NEW24" s="84"/>
      <c r="NFA24" s="84"/>
      <c r="NFE24" s="84"/>
      <c r="NFI24" s="84"/>
      <c r="NFM24" s="84"/>
      <c r="NFQ24" s="84"/>
      <c r="NFU24" s="84"/>
      <c r="NFY24" s="84"/>
      <c r="NGC24" s="84"/>
      <c r="NGG24" s="84"/>
      <c r="NGK24" s="84"/>
      <c r="NGO24" s="84"/>
      <c r="NGS24" s="84"/>
      <c r="NGW24" s="84"/>
      <c r="NHA24" s="84"/>
      <c r="NHE24" s="84"/>
      <c r="NHI24" s="84"/>
      <c r="NHM24" s="84"/>
      <c r="NHQ24" s="84"/>
      <c r="NHU24" s="84"/>
      <c r="NHY24" s="84"/>
      <c r="NIC24" s="84"/>
      <c r="NIG24" s="84"/>
      <c r="NIK24" s="84"/>
      <c r="NIO24" s="84"/>
      <c r="NIS24" s="84"/>
      <c r="NIW24" s="84"/>
      <c r="NJA24" s="84"/>
      <c r="NJE24" s="84"/>
      <c r="NJI24" s="84"/>
      <c r="NJM24" s="84"/>
      <c r="NJQ24" s="84"/>
      <c r="NJU24" s="84"/>
      <c r="NJY24" s="84"/>
      <c r="NKC24" s="84"/>
      <c r="NKG24" s="84"/>
      <c r="NKK24" s="84"/>
      <c r="NKO24" s="84"/>
      <c r="NKS24" s="84"/>
      <c r="NKW24" s="84"/>
      <c r="NLA24" s="84"/>
      <c r="NLE24" s="84"/>
      <c r="NLI24" s="84"/>
      <c r="NLM24" s="84"/>
      <c r="NLQ24" s="84"/>
      <c r="NLU24" s="84"/>
      <c r="NLY24" s="84"/>
      <c r="NMC24" s="84"/>
      <c r="NMG24" s="84"/>
      <c r="NMK24" s="84"/>
      <c r="NMO24" s="84"/>
      <c r="NMS24" s="84"/>
      <c r="NMW24" s="84"/>
      <c r="NNA24" s="84"/>
      <c r="NNE24" s="84"/>
      <c r="NNI24" s="84"/>
      <c r="NNM24" s="84"/>
      <c r="NNQ24" s="84"/>
      <c r="NNU24" s="84"/>
      <c r="NNY24" s="84"/>
      <c r="NOC24" s="84"/>
      <c r="NOG24" s="84"/>
      <c r="NOK24" s="84"/>
      <c r="NOO24" s="84"/>
      <c r="NOS24" s="84"/>
      <c r="NOW24" s="84"/>
      <c r="NPA24" s="84"/>
      <c r="NPE24" s="84"/>
      <c r="NPI24" s="84"/>
      <c r="NPM24" s="84"/>
      <c r="NPQ24" s="84"/>
      <c r="NPU24" s="84"/>
      <c r="NPY24" s="84"/>
      <c r="NQC24" s="84"/>
      <c r="NQG24" s="84"/>
      <c r="NQK24" s="84"/>
      <c r="NQO24" s="84"/>
      <c r="NQS24" s="84"/>
      <c r="NQW24" s="84"/>
      <c r="NRA24" s="84"/>
      <c r="NRE24" s="84"/>
      <c r="NRI24" s="84"/>
      <c r="NRM24" s="84"/>
      <c r="NRQ24" s="84"/>
      <c r="NRU24" s="84"/>
      <c r="NRY24" s="84"/>
      <c r="NSC24" s="84"/>
      <c r="NSG24" s="84"/>
      <c r="NSK24" s="84"/>
      <c r="NSO24" s="84"/>
      <c r="NSS24" s="84"/>
      <c r="NSW24" s="84"/>
      <c r="NTA24" s="84"/>
      <c r="NTE24" s="84"/>
      <c r="NTI24" s="84"/>
      <c r="NTM24" s="84"/>
      <c r="NTQ24" s="84"/>
      <c r="NTU24" s="84"/>
      <c r="NTY24" s="84"/>
      <c r="NUC24" s="84"/>
      <c r="NUG24" s="84"/>
      <c r="NUK24" s="84"/>
      <c r="NUO24" s="84"/>
      <c r="NUS24" s="84"/>
      <c r="NUW24" s="84"/>
      <c r="NVA24" s="84"/>
      <c r="NVE24" s="84"/>
      <c r="NVI24" s="84"/>
      <c r="NVM24" s="84"/>
      <c r="NVQ24" s="84"/>
      <c r="NVU24" s="84"/>
      <c r="NVY24" s="84"/>
      <c r="NWC24" s="84"/>
      <c r="NWG24" s="84"/>
      <c r="NWK24" s="84"/>
      <c r="NWO24" s="84"/>
      <c r="NWS24" s="84"/>
      <c r="NWW24" s="84"/>
      <c r="NXA24" s="84"/>
      <c r="NXE24" s="84"/>
      <c r="NXI24" s="84"/>
      <c r="NXM24" s="84"/>
      <c r="NXQ24" s="84"/>
      <c r="NXU24" s="84"/>
      <c r="NXY24" s="84"/>
      <c r="NYC24" s="84"/>
      <c r="NYG24" s="84"/>
      <c r="NYK24" s="84"/>
      <c r="NYO24" s="84"/>
      <c r="NYS24" s="84"/>
      <c r="NYW24" s="84"/>
      <c r="NZA24" s="84"/>
      <c r="NZE24" s="84"/>
      <c r="NZI24" s="84"/>
      <c r="NZM24" s="84"/>
      <c r="NZQ24" s="84"/>
      <c r="NZU24" s="84"/>
      <c r="NZY24" s="84"/>
      <c r="OAC24" s="84"/>
      <c r="OAG24" s="84"/>
      <c r="OAK24" s="84"/>
      <c r="OAO24" s="84"/>
      <c r="OAS24" s="84"/>
      <c r="OAW24" s="84"/>
      <c r="OBA24" s="84"/>
      <c r="OBE24" s="84"/>
      <c r="OBI24" s="84"/>
      <c r="OBM24" s="84"/>
      <c r="OBQ24" s="84"/>
      <c r="OBU24" s="84"/>
      <c r="OBY24" s="84"/>
      <c r="OCC24" s="84"/>
      <c r="OCG24" s="84"/>
      <c r="OCK24" s="84"/>
      <c r="OCO24" s="84"/>
      <c r="OCS24" s="84"/>
      <c r="OCW24" s="84"/>
      <c r="ODA24" s="84"/>
      <c r="ODE24" s="84"/>
      <c r="ODI24" s="84"/>
      <c r="ODM24" s="84"/>
      <c r="ODQ24" s="84"/>
      <c r="ODU24" s="84"/>
      <c r="ODY24" s="84"/>
      <c r="OEC24" s="84"/>
      <c r="OEG24" s="84"/>
      <c r="OEK24" s="84"/>
      <c r="OEO24" s="84"/>
      <c r="OES24" s="84"/>
      <c r="OEW24" s="84"/>
      <c r="OFA24" s="84"/>
      <c r="OFE24" s="84"/>
      <c r="OFI24" s="84"/>
      <c r="OFM24" s="84"/>
      <c r="OFQ24" s="84"/>
      <c r="OFU24" s="84"/>
      <c r="OFY24" s="84"/>
      <c r="OGC24" s="84"/>
      <c r="OGG24" s="84"/>
      <c r="OGK24" s="84"/>
      <c r="OGO24" s="84"/>
      <c r="OGS24" s="84"/>
      <c r="OGW24" s="84"/>
      <c r="OHA24" s="84"/>
      <c r="OHE24" s="84"/>
      <c r="OHI24" s="84"/>
      <c r="OHM24" s="84"/>
      <c r="OHQ24" s="84"/>
      <c r="OHU24" s="84"/>
      <c r="OHY24" s="84"/>
      <c r="OIC24" s="84"/>
      <c r="OIG24" s="84"/>
      <c r="OIK24" s="84"/>
      <c r="OIO24" s="84"/>
      <c r="OIS24" s="84"/>
      <c r="OIW24" s="84"/>
      <c r="OJA24" s="84"/>
      <c r="OJE24" s="84"/>
      <c r="OJI24" s="84"/>
      <c r="OJM24" s="84"/>
      <c r="OJQ24" s="84"/>
      <c r="OJU24" s="84"/>
      <c r="OJY24" s="84"/>
      <c r="OKC24" s="84"/>
      <c r="OKG24" s="84"/>
      <c r="OKK24" s="84"/>
      <c r="OKO24" s="84"/>
      <c r="OKS24" s="84"/>
      <c r="OKW24" s="84"/>
      <c r="OLA24" s="84"/>
      <c r="OLE24" s="84"/>
      <c r="OLI24" s="84"/>
      <c r="OLM24" s="84"/>
      <c r="OLQ24" s="84"/>
      <c r="OLU24" s="84"/>
      <c r="OLY24" s="84"/>
      <c r="OMC24" s="84"/>
      <c r="OMG24" s="84"/>
      <c r="OMK24" s="84"/>
      <c r="OMO24" s="84"/>
      <c r="OMS24" s="84"/>
      <c r="OMW24" s="84"/>
      <c r="ONA24" s="84"/>
      <c r="ONE24" s="84"/>
      <c r="ONI24" s="84"/>
      <c r="ONM24" s="84"/>
      <c r="ONQ24" s="84"/>
      <c r="ONU24" s="84"/>
      <c r="ONY24" s="84"/>
      <c r="OOC24" s="84"/>
      <c r="OOG24" s="84"/>
      <c r="OOK24" s="84"/>
      <c r="OOO24" s="84"/>
      <c r="OOS24" s="84"/>
      <c r="OOW24" s="84"/>
      <c r="OPA24" s="84"/>
      <c r="OPE24" s="84"/>
      <c r="OPI24" s="84"/>
      <c r="OPM24" s="84"/>
      <c r="OPQ24" s="84"/>
      <c r="OPU24" s="84"/>
      <c r="OPY24" s="84"/>
      <c r="OQC24" s="84"/>
      <c r="OQG24" s="84"/>
      <c r="OQK24" s="84"/>
      <c r="OQO24" s="84"/>
      <c r="OQS24" s="84"/>
      <c r="OQW24" s="84"/>
      <c r="ORA24" s="84"/>
      <c r="ORE24" s="84"/>
      <c r="ORI24" s="84"/>
      <c r="ORM24" s="84"/>
      <c r="ORQ24" s="84"/>
      <c r="ORU24" s="84"/>
      <c r="ORY24" s="84"/>
      <c r="OSC24" s="84"/>
      <c r="OSG24" s="84"/>
      <c r="OSK24" s="84"/>
      <c r="OSO24" s="84"/>
      <c r="OSS24" s="84"/>
      <c r="OSW24" s="84"/>
      <c r="OTA24" s="84"/>
      <c r="OTE24" s="84"/>
      <c r="OTI24" s="84"/>
      <c r="OTM24" s="84"/>
      <c r="OTQ24" s="84"/>
      <c r="OTU24" s="84"/>
      <c r="OTY24" s="84"/>
      <c r="OUC24" s="84"/>
      <c r="OUG24" s="84"/>
      <c r="OUK24" s="84"/>
      <c r="OUO24" s="84"/>
      <c r="OUS24" s="84"/>
      <c r="OUW24" s="84"/>
      <c r="OVA24" s="84"/>
      <c r="OVE24" s="84"/>
      <c r="OVI24" s="84"/>
      <c r="OVM24" s="84"/>
      <c r="OVQ24" s="84"/>
      <c r="OVU24" s="84"/>
      <c r="OVY24" s="84"/>
      <c r="OWC24" s="84"/>
      <c r="OWG24" s="84"/>
      <c r="OWK24" s="84"/>
      <c r="OWO24" s="84"/>
      <c r="OWS24" s="84"/>
      <c r="OWW24" s="84"/>
      <c r="OXA24" s="84"/>
      <c r="OXE24" s="84"/>
      <c r="OXI24" s="84"/>
      <c r="OXM24" s="84"/>
      <c r="OXQ24" s="84"/>
      <c r="OXU24" s="84"/>
      <c r="OXY24" s="84"/>
      <c r="OYC24" s="84"/>
      <c r="OYG24" s="84"/>
      <c r="OYK24" s="84"/>
      <c r="OYO24" s="84"/>
      <c r="OYS24" s="84"/>
      <c r="OYW24" s="84"/>
      <c r="OZA24" s="84"/>
      <c r="OZE24" s="84"/>
      <c r="OZI24" s="84"/>
      <c r="OZM24" s="84"/>
      <c r="OZQ24" s="84"/>
      <c r="OZU24" s="84"/>
      <c r="OZY24" s="84"/>
      <c r="PAC24" s="84"/>
      <c r="PAG24" s="84"/>
      <c r="PAK24" s="84"/>
      <c r="PAO24" s="84"/>
      <c r="PAS24" s="84"/>
      <c r="PAW24" s="84"/>
      <c r="PBA24" s="84"/>
      <c r="PBE24" s="84"/>
      <c r="PBI24" s="84"/>
      <c r="PBM24" s="84"/>
      <c r="PBQ24" s="84"/>
      <c r="PBU24" s="84"/>
      <c r="PBY24" s="84"/>
      <c r="PCC24" s="84"/>
      <c r="PCG24" s="84"/>
      <c r="PCK24" s="84"/>
      <c r="PCO24" s="84"/>
      <c r="PCS24" s="84"/>
      <c r="PCW24" s="84"/>
      <c r="PDA24" s="84"/>
      <c r="PDE24" s="84"/>
      <c r="PDI24" s="84"/>
      <c r="PDM24" s="84"/>
      <c r="PDQ24" s="84"/>
      <c r="PDU24" s="84"/>
      <c r="PDY24" s="84"/>
      <c r="PEC24" s="84"/>
      <c r="PEG24" s="84"/>
      <c r="PEK24" s="84"/>
      <c r="PEO24" s="84"/>
      <c r="PES24" s="84"/>
      <c r="PEW24" s="84"/>
      <c r="PFA24" s="84"/>
      <c r="PFE24" s="84"/>
      <c r="PFI24" s="84"/>
      <c r="PFM24" s="84"/>
      <c r="PFQ24" s="84"/>
      <c r="PFU24" s="84"/>
      <c r="PFY24" s="84"/>
      <c r="PGC24" s="84"/>
      <c r="PGG24" s="84"/>
      <c r="PGK24" s="84"/>
      <c r="PGO24" s="84"/>
      <c r="PGS24" s="84"/>
      <c r="PGW24" s="84"/>
      <c r="PHA24" s="84"/>
      <c r="PHE24" s="84"/>
      <c r="PHI24" s="84"/>
      <c r="PHM24" s="84"/>
      <c r="PHQ24" s="84"/>
      <c r="PHU24" s="84"/>
      <c r="PHY24" s="84"/>
      <c r="PIC24" s="84"/>
      <c r="PIG24" s="84"/>
      <c r="PIK24" s="84"/>
      <c r="PIO24" s="84"/>
      <c r="PIS24" s="84"/>
      <c r="PIW24" s="84"/>
      <c r="PJA24" s="84"/>
      <c r="PJE24" s="84"/>
      <c r="PJI24" s="84"/>
      <c r="PJM24" s="84"/>
      <c r="PJQ24" s="84"/>
      <c r="PJU24" s="84"/>
      <c r="PJY24" s="84"/>
      <c r="PKC24" s="84"/>
      <c r="PKG24" s="84"/>
      <c r="PKK24" s="84"/>
      <c r="PKO24" s="84"/>
      <c r="PKS24" s="84"/>
      <c r="PKW24" s="84"/>
      <c r="PLA24" s="84"/>
      <c r="PLE24" s="84"/>
      <c r="PLI24" s="84"/>
      <c r="PLM24" s="84"/>
      <c r="PLQ24" s="84"/>
      <c r="PLU24" s="84"/>
      <c r="PLY24" s="84"/>
      <c r="PMC24" s="84"/>
      <c r="PMG24" s="84"/>
      <c r="PMK24" s="84"/>
      <c r="PMO24" s="84"/>
      <c r="PMS24" s="84"/>
      <c r="PMW24" s="84"/>
      <c r="PNA24" s="84"/>
      <c r="PNE24" s="84"/>
      <c r="PNI24" s="84"/>
      <c r="PNM24" s="84"/>
      <c r="PNQ24" s="84"/>
      <c r="PNU24" s="84"/>
      <c r="PNY24" s="84"/>
      <c r="POC24" s="84"/>
      <c r="POG24" s="84"/>
      <c r="POK24" s="84"/>
      <c r="POO24" s="84"/>
      <c r="POS24" s="84"/>
      <c r="POW24" s="84"/>
      <c r="PPA24" s="84"/>
      <c r="PPE24" s="84"/>
      <c r="PPI24" s="84"/>
      <c r="PPM24" s="84"/>
      <c r="PPQ24" s="84"/>
      <c r="PPU24" s="84"/>
      <c r="PPY24" s="84"/>
      <c r="PQC24" s="84"/>
      <c r="PQG24" s="84"/>
      <c r="PQK24" s="84"/>
      <c r="PQO24" s="84"/>
      <c r="PQS24" s="84"/>
      <c r="PQW24" s="84"/>
      <c r="PRA24" s="84"/>
      <c r="PRE24" s="84"/>
      <c r="PRI24" s="84"/>
      <c r="PRM24" s="84"/>
      <c r="PRQ24" s="84"/>
      <c r="PRU24" s="84"/>
      <c r="PRY24" s="84"/>
      <c r="PSC24" s="84"/>
      <c r="PSG24" s="84"/>
      <c r="PSK24" s="84"/>
      <c r="PSO24" s="84"/>
      <c r="PSS24" s="84"/>
      <c r="PSW24" s="84"/>
      <c r="PTA24" s="84"/>
      <c r="PTE24" s="84"/>
      <c r="PTI24" s="84"/>
      <c r="PTM24" s="84"/>
      <c r="PTQ24" s="84"/>
      <c r="PTU24" s="84"/>
      <c r="PTY24" s="84"/>
      <c r="PUC24" s="84"/>
      <c r="PUG24" s="84"/>
      <c r="PUK24" s="84"/>
      <c r="PUO24" s="84"/>
      <c r="PUS24" s="84"/>
      <c r="PUW24" s="84"/>
      <c r="PVA24" s="84"/>
      <c r="PVE24" s="84"/>
      <c r="PVI24" s="84"/>
      <c r="PVM24" s="84"/>
      <c r="PVQ24" s="84"/>
      <c r="PVU24" s="84"/>
      <c r="PVY24" s="84"/>
      <c r="PWC24" s="84"/>
      <c r="PWG24" s="84"/>
      <c r="PWK24" s="84"/>
      <c r="PWO24" s="84"/>
      <c r="PWS24" s="84"/>
      <c r="PWW24" s="84"/>
      <c r="PXA24" s="84"/>
      <c r="PXE24" s="84"/>
      <c r="PXI24" s="84"/>
      <c r="PXM24" s="84"/>
      <c r="PXQ24" s="84"/>
      <c r="PXU24" s="84"/>
      <c r="PXY24" s="84"/>
      <c r="PYC24" s="84"/>
      <c r="PYG24" s="84"/>
      <c r="PYK24" s="84"/>
      <c r="PYO24" s="84"/>
      <c r="PYS24" s="84"/>
      <c r="PYW24" s="84"/>
      <c r="PZA24" s="84"/>
      <c r="PZE24" s="84"/>
      <c r="PZI24" s="84"/>
      <c r="PZM24" s="84"/>
      <c r="PZQ24" s="84"/>
      <c r="PZU24" s="84"/>
      <c r="PZY24" s="84"/>
      <c r="QAC24" s="84"/>
      <c r="QAG24" s="84"/>
      <c r="QAK24" s="84"/>
      <c r="QAO24" s="84"/>
      <c r="QAS24" s="84"/>
      <c r="QAW24" s="84"/>
      <c r="QBA24" s="84"/>
      <c r="QBE24" s="84"/>
      <c r="QBI24" s="84"/>
      <c r="QBM24" s="84"/>
      <c r="QBQ24" s="84"/>
      <c r="QBU24" s="84"/>
      <c r="QBY24" s="84"/>
      <c r="QCC24" s="84"/>
      <c r="QCG24" s="84"/>
      <c r="QCK24" s="84"/>
      <c r="QCO24" s="84"/>
      <c r="QCS24" s="84"/>
      <c r="QCW24" s="84"/>
      <c r="QDA24" s="84"/>
      <c r="QDE24" s="84"/>
      <c r="QDI24" s="84"/>
      <c r="QDM24" s="84"/>
      <c r="QDQ24" s="84"/>
      <c r="QDU24" s="84"/>
      <c r="QDY24" s="84"/>
      <c r="QEC24" s="84"/>
      <c r="QEG24" s="84"/>
      <c r="QEK24" s="84"/>
      <c r="QEO24" s="84"/>
      <c r="QES24" s="84"/>
      <c r="QEW24" s="84"/>
      <c r="QFA24" s="84"/>
      <c r="QFE24" s="84"/>
      <c r="QFI24" s="84"/>
      <c r="QFM24" s="84"/>
      <c r="QFQ24" s="84"/>
      <c r="QFU24" s="84"/>
      <c r="QFY24" s="84"/>
      <c r="QGC24" s="84"/>
      <c r="QGG24" s="84"/>
      <c r="QGK24" s="84"/>
      <c r="QGO24" s="84"/>
      <c r="QGS24" s="84"/>
      <c r="QGW24" s="84"/>
      <c r="QHA24" s="84"/>
      <c r="QHE24" s="84"/>
      <c r="QHI24" s="84"/>
      <c r="QHM24" s="84"/>
      <c r="QHQ24" s="84"/>
      <c r="QHU24" s="84"/>
      <c r="QHY24" s="84"/>
      <c r="QIC24" s="84"/>
      <c r="QIG24" s="84"/>
      <c r="QIK24" s="84"/>
      <c r="QIO24" s="84"/>
      <c r="QIS24" s="84"/>
      <c r="QIW24" s="84"/>
      <c r="QJA24" s="84"/>
      <c r="QJE24" s="84"/>
      <c r="QJI24" s="84"/>
      <c r="QJM24" s="84"/>
      <c r="QJQ24" s="84"/>
      <c r="QJU24" s="84"/>
      <c r="QJY24" s="84"/>
      <c r="QKC24" s="84"/>
      <c r="QKG24" s="84"/>
      <c r="QKK24" s="84"/>
      <c r="QKO24" s="84"/>
      <c r="QKS24" s="84"/>
      <c r="QKW24" s="84"/>
      <c r="QLA24" s="84"/>
      <c r="QLE24" s="84"/>
      <c r="QLI24" s="84"/>
      <c r="QLM24" s="84"/>
      <c r="QLQ24" s="84"/>
      <c r="QLU24" s="84"/>
      <c r="QLY24" s="84"/>
      <c r="QMC24" s="84"/>
      <c r="QMG24" s="84"/>
      <c r="QMK24" s="84"/>
      <c r="QMO24" s="84"/>
      <c r="QMS24" s="84"/>
      <c r="QMW24" s="84"/>
      <c r="QNA24" s="84"/>
      <c r="QNE24" s="84"/>
      <c r="QNI24" s="84"/>
      <c r="QNM24" s="84"/>
      <c r="QNQ24" s="84"/>
      <c r="QNU24" s="84"/>
      <c r="QNY24" s="84"/>
      <c r="QOC24" s="84"/>
      <c r="QOG24" s="84"/>
      <c r="QOK24" s="84"/>
      <c r="QOO24" s="84"/>
      <c r="QOS24" s="84"/>
      <c r="QOW24" s="84"/>
      <c r="QPA24" s="84"/>
      <c r="QPE24" s="84"/>
      <c r="QPI24" s="84"/>
      <c r="QPM24" s="84"/>
      <c r="QPQ24" s="84"/>
      <c r="QPU24" s="84"/>
      <c r="QPY24" s="84"/>
      <c r="QQC24" s="84"/>
      <c r="QQG24" s="84"/>
      <c r="QQK24" s="84"/>
      <c r="QQO24" s="84"/>
      <c r="QQS24" s="84"/>
      <c r="QQW24" s="84"/>
      <c r="QRA24" s="84"/>
      <c r="QRE24" s="84"/>
      <c r="QRI24" s="84"/>
      <c r="QRM24" s="84"/>
      <c r="QRQ24" s="84"/>
      <c r="QRU24" s="84"/>
      <c r="QRY24" s="84"/>
      <c r="QSC24" s="84"/>
      <c r="QSG24" s="84"/>
      <c r="QSK24" s="84"/>
      <c r="QSO24" s="84"/>
      <c r="QSS24" s="84"/>
      <c r="QSW24" s="84"/>
      <c r="QTA24" s="84"/>
      <c r="QTE24" s="84"/>
      <c r="QTI24" s="84"/>
      <c r="QTM24" s="84"/>
      <c r="QTQ24" s="84"/>
      <c r="QTU24" s="84"/>
      <c r="QTY24" s="84"/>
      <c r="QUC24" s="84"/>
      <c r="QUG24" s="84"/>
      <c r="QUK24" s="84"/>
      <c r="QUO24" s="84"/>
      <c r="QUS24" s="84"/>
      <c r="QUW24" s="84"/>
      <c r="QVA24" s="84"/>
      <c r="QVE24" s="84"/>
      <c r="QVI24" s="84"/>
      <c r="QVM24" s="84"/>
      <c r="QVQ24" s="84"/>
      <c r="QVU24" s="84"/>
      <c r="QVY24" s="84"/>
      <c r="QWC24" s="84"/>
      <c r="QWG24" s="84"/>
      <c r="QWK24" s="84"/>
      <c r="QWO24" s="84"/>
      <c r="QWS24" s="84"/>
      <c r="QWW24" s="84"/>
      <c r="QXA24" s="84"/>
      <c r="QXE24" s="84"/>
      <c r="QXI24" s="84"/>
      <c r="QXM24" s="84"/>
      <c r="QXQ24" s="84"/>
      <c r="QXU24" s="84"/>
      <c r="QXY24" s="84"/>
      <c r="QYC24" s="84"/>
      <c r="QYG24" s="84"/>
      <c r="QYK24" s="84"/>
      <c r="QYO24" s="84"/>
      <c r="QYS24" s="84"/>
      <c r="QYW24" s="84"/>
      <c r="QZA24" s="84"/>
      <c r="QZE24" s="84"/>
      <c r="QZI24" s="84"/>
      <c r="QZM24" s="84"/>
      <c r="QZQ24" s="84"/>
      <c r="QZU24" s="84"/>
      <c r="QZY24" s="84"/>
      <c r="RAC24" s="84"/>
      <c r="RAG24" s="84"/>
      <c r="RAK24" s="84"/>
      <c r="RAO24" s="84"/>
      <c r="RAS24" s="84"/>
      <c r="RAW24" s="84"/>
      <c r="RBA24" s="84"/>
      <c r="RBE24" s="84"/>
      <c r="RBI24" s="84"/>
      <c r="RBM24" s="84"/>
      <c r="RBQ24" s="84"/>
      <c r="RBU24" s="84"/>
      <c r="RBY24" s="84"/>
      <c r="RCC24" s="84"/>
      <c r="RCG24" s="84"/>
      <c r="RCK24" s="84"/>
      <c r="RCO24" s="84"/>
      <c r="RCS24" s="84"/>
      <c r="RCW24" s="84"/>
      <c r="RDA24" s="84"/>
      <c r="RDE24" s="84"/>
      <c r="RDI24" s="84"/>
      <c r="RDM24" s="84"/>
      <c r="RDQ24" s="84"/>
      <c r="RDU24" s="84"/>
      <c r="RDY24" s="84"/>
      <c r="REC24" s="84"/>
      <c r="REG24" s="84"/>
      <c r="REK24" s="84"/>
      <c r="REO24" s="84"/>
      <c r="RES24" s="84"/>
      <c r="REW24" s="84"/>
      <c r="RFA24" s="84"/>
      <c r="RFE24" s="84"/>
      <c r="RFI24" s="84"/>
      <c r="RFM24" s="84"/>
      <c r="RFQ24" s="84"/>
      <c r="RFU24" s="84"/>
      <c r="RFY24" s="84"/>
      <c r="RGC24" s="84"/>
      <c r="RGG24" s="84"/>
      <c r="RGK24" s="84"/>
      <c r="RGO24" s="84"/>
      <c r="RGS24" s="84"/>
      <c r="RGW24" s="84"/>
      <c r="RHA24" s="84"/>
      <c r="RHE24" s="84"/>
      <c r="RHI24" s="84"/>
      <c r="RHM24" s="84"/>
      <c r="RHQ24" s="84"/>
      <c r="RHU24" s="84"/>
      <c r="RHY24" s="84"/>
      <c r="RIC24" s="84"/>
      <c r="RIG24" s="84"/>
      <c r="RIK24" s="84"/>
      <c r="RIO24" s="84"/>
      <c r="RIS24" s="84"/>
      <c r="RIW24" s="84"/>
      <c r="RJA24" s="84"/>
      <c r="RJE24" s="84"/>
      <c r="RJI24" s="84"/>
      <c r="RJM24" s="84"/>
      <c r="RJQ24" s="84"/>
      <c r="RJU24" s="84"/>
      <c r="RJY24" s="84"/>
      <c r="RKC24" s="84"/>
      <c r="RKG24" s="84"/>
      <c r="RKK24" s="84"/>
      <c r="RKO24" s="84"/>
      <c r="RKS24" s="84"/>
      <c r="RKW24" s="84"/>
      <c r="RLA24" s="84"/>
      <c r="RLE24" s="84"/>
      <c r="RLI24" s="84"/>
      <c r="RLM24" s="84"/>
      <c r="RLQ24" s="84"/>
      <c r="RLU24" s="84"/>
      <c r="RLY24" s="84"/>
      <c r="RMC24" s="84"/>
      <c r="RMG24" s="84"/>
      <c r="RMK24" s="84"/>
      <c r="RMO24" s="84"/>
      <c r="RMS24" s="84"/>
      <c r="RMW24" s="84"/>
      <c r="RNA24" s="84"/>
      <c r="RNE24" s="84"/>
      <c r="RNI24" s="84"/>
      <c r="RNM24" s="84"/>
      <c r="RNQ24" s="84"/>
      <c r="RNU24" s="84"/>
      <c r="RNY24" s="84"/>
      <c r="ROC24" s="84"/>
      <c r="ROG24" s="84"/>
      <c r="ROK24" s="84"/>
      <c r="ROO24" s="84"/>
      <c r="ROS24" s="84"/>
      <c r="ROW24" s="84"/>
      <c r="RPA24" s="84"/>
      <c r="RPE24" s="84"/>
      <c r="RPI24" s="84"/>
      <c r="RPM24" s="84"/>
      <c r="RPQ24" s="84"/>
      <c r="RPU24" s="84"/>
      <c r="RPY24" s="84"/>
      <c r="RQC24" s="84"/>
      <c r="RQG24" s="84"/>
      <c r="RQK24" s="84"/>
      <c r="RQO24" s="84"/>
      <c r="RQS24" s="84"/>
      <c r="RQW24" s="84"/>
      <c r="RRA24" s="84"/>
      <c r="RRE24" s="84"/>
      <c r="RRI24" s="84"/>
      <c r="RRM24" s="84"/>
      <c r="RRQ24" s="84"/>
      <c r="RRU24" s="84"/>
      <c r="RRY24" s="84"/>
      <c r="RSC24" s="84"/>
      <c r="RSG24" s="84"/>
      <c r="RSK24" s="84"/>
      <c r="RSO24" s="84"/>
      <c r="RSS24" s="84"/>
      <c r="RSW24" s="84"/>
      <c r="RTA24" s="84"/>
      <c r="RTE24" s="84"/>
      <c r="RTI24" s="84"/>
      <c r="RTM24" s="84"/>
      <c r="RTQ24" s="84"/>
      <c r="RTU24" s="84"/>
      <c r="RTY24" s="84"/>
      <c r="RUC24" s="84"/>
      <c r="RUG24" s="84"/>
      <c r="RUK24" s="84"/>
      <c r="RUO24" s="84"/>
      <c r="RUS24" s="84"/>
      <c r="RUW24" s="84"/>
      <c r="RVA24" s="84"/>
      <c r="RVE24" s="84"/>
      <c r="RVI24" s="84"/>
      <c r="RVM24" s="84"/>
      <c r="RVQ24" s="84"/>
      <c r="RVU24" s="84"/>
      <c r="RVY24" s="84"/>
      <c r="RWC24" s="84"/>
      <c r="RWG24" s="84"/>
      <c r="RWK24" s="84"/>
      <c r="RWO24" s="84"/>
      <c r="RWS24" s="84"/>
      <c r="RWW24" s="84"/>
      <c r="RXA24" s="84"/>
      <c r="RXE24" s="84"/>
      <c r="RXI24" s="84"/>
      <c r="RXM24" s="84"/>
      <c r="RXQ24" s="84"/>
      <c r="RXU24" s="84"/>
      <c r="RXY24" s="84"/>
      <c r="RYC24" s="84"/>
      <c r="RYG24" s="84"/>
      <c r="RYK24" s="84"/>
      <c r="RYO24" s="84"/>
      <c r="RYS24" s="84"/>
      <c r="RYW24" s="84"/>
      <c r="RZA24" s="84"/>
      <c r="RZE24" s="84"/>
      <c r="RZI24" s="84"/>
      <c r="RZM24" s="84"/>
      <c r="RZQ24" s="84"/>
      <c r="RZU24" s="84"/>
      <c r="RZY24" s="84"/>
      <c r="SAC24" s="84"/>
      <c r="SAG24" s="84"/>
      <c r="SAK24" s="84"/>
      <c r="SAO24" s="84"/>
      <c r="SAS24" s="84"/>
      <c r="SAW24" s="84"/>
      <c r="SBA24" s="84"/>
      <c r="SBE24" s="84"/>
      <c r="SBI24" s="84"/>
      <c r="SBM24" s="84"/>
      <c r="SBQ24" s="84"/>
      <c r="SBU24" s="84"/>
      <c r="SBY24" s="84"/>
      <c r="SCC24" s="84"/>
      <c r="SCG24" s="84"/>
      <c r="SCK24" s="84"/>
      <c r="SCO24" s="84"/>
      <c r="SCS24" s="84"/>
      <c r="SCW24" s="84"/>
      <c r="SDA24" s="84"/>
      <c r="SDE24" s="84"/>
      <c r="SDI24" s="84"/>
      <c r="SDM24" s="84"/>
      <c r="SDQ24" s="84"/>
      <c r="SDU24" s="84"/>
      <c r="SDY24" s="84"/>
      <c r="SEC24" s="84"/>
      <c r="SEG24" s="84"/>
      <c r="SEK24" s="84"/>
      <c r="SEO24" s="84"/>
      <c r="SES24" s="84"/>
      <c r="SEW24" s="84"/>
      <c r="SFA24" s="84"/>
      <c r="SFE24" s="84"/>
      <c r="SFI24" s="84"/>
      <c r="SFM24" s="84"/>
      <c r="SFQ24" s="84"/>
      <c r="SFU24" s="84"/>
      <c r="SFY24" s="84"/>
      <c r="SGC24" s="84"/>
      <c r="SGG24" s="84"/>
      <c r="SGK24" s="84"/>
      <c r="SGO24" s="84"/>
      <c r="SGS24" s="84"/>
      <c r="SGW24" s="84"/>
      <c r="SHA24" s="84"/>
      <c r="SHE24" s="84"/>
      <c r="SHI24" s="84"/>
      <c r="SHM24" s="84"/>
      <c r="SHQ24" s="84"/>
      <c r="SHU24" s="84"/>
      <c r="SHY24" s="84"/>
      <c r="SIC24" s="84"/>
      <c r="SIG24" s="84"/>
      <c r="SIK24" s="84"/>
      <c r="SIO24" s="84"/>
      <c r="SIS24" s="84"/>
      <c r="SIW24" s="84"/>
      <c r="SJA24" s="84"/>
      <c r="SJE24" s="84"/>
      <c r="SJI24" s="84"/>
      <c r="SJM24" s="84"/>
      <c r="SJQ24" s="84"/>
      <c r="SJU24" s="84"/>
      <c r="SJY24" s="84"/>
      <c r="SKC24" s="84"/>
      <c r="SKG24" s="84"/>
      <c r="SKK24" s="84"/>
      <c r="SKO24" s="84"/>
      <c r="SKS24" s="84"/>
      <c r="SKW24" s="84"/>
      <c r="SLA24" s="84"/>
      <c r="SLE24" s="84"/>
      <c r="SLI24" s="84"/>
      <c r="SLM24" s="84"/>
      <c r="SLQ24" s="84"/>
      <c r="SLU24" s="84"/>
      <c r="SLY24" s="84"/>
      <c r="SMC24" s="84"/>
      <c r="SMG24" s="84"/>
      <c r="SMK24" s="84"/>
      <c r="SMO24" s="84"/>
      <c r="SMS24" s="84"/>
      <c r="SMW24" s="84"/>
      <c r="SNA24" s="84"/>
      <c r="SNE24" s="84"/>
      <c r="SNI24" s="84"/>
      <c r="SNM24" s="84"/>
      <c r="SNQ24" s="84"/>
      <c r="SNU24" s="84"/>
      <c r="SNY24" s="84"/>
      <c r="SOC24" s="84"/>
      <c r="SOG24" s="84"/>
      <c r="SOK24" s="84"/>
      <c r="SOO24" s="84"/>
      <c r="SOS24" s="84"/>
      <c r="SOW24" s="84"/>
      <c r="SPA24" s="84"/>
      <c r="SPE24" s="84"/>
      <c r="SPI24" s="84"/>
      <c r="SPM24" s="84"/>
      <c r="SPQ24" s="84"/>
      <c r="SPU24" s="84"/>
      <c r="SPY24" s="84"/>
      <c r="SQC24" s="84"/>
      <c r="SQG24" s="84"/>
      <c r="SQK24" s="84"/>
      <c r="SQO24" s="84"/>
      <c r="SQS24" s="84"/>
      <c r="SQW24" s="84"/>
      <c r="SRA24" s="84"/>
      <c r="SRE24" s="84"/>
      <c r="SRI24" s="84"/>
      <c r="SRM24" s="84"/>
      <c r="SRQ24" s="84"/>
      <c r="SRU24" s="84"/>
      <c r="SRY24" s="84"/>
      <c r="SSC24" s="84"/>
      <c r="SSG24" s="84"/>
      <c r="SSK24" s="84"/>
      <c r="SSO24" s="84"/>
      <c r="SSS24" s="84"/>
      <c r="SSW24" s="84"/>
      <c r="STA24" s="84"/>
      <c r="STE24" s="84"/>
      <c r="STI24" s="84"/>
      <c r="STM24" s="84"/>
      <c r="STQ24" s="84"/>
      <c r="STU24" s="84"/>
      <c r="STY24" s="84"/>
      <c r="SUC24" s="84"/>
      <c r="SUG24" s="84"/>
      <c r="SUK24" s="84"/>
      <c r="SUO24" s="84"/>
      <c r="SUS24" s="84"/>
      <c r="SUW24" s="84"/>
      <c r="SVA24" s="84"/>
      <c r="SVE24" s="84"/>
      <c r="SVI24" s="84"/>
      <c r="SVM24" s="84"/>
      <c r="SVQ24" s="84"/>
      <c r="SVU24" s="84"/>
      <c r="SVY24" s="84"/>
      <c r="SWC24" s="84"/>
      <c r="SWG24" s="84"/>
      <c r="SWK24" s="84"/>
      <c r="SWO24" s="84"/>
      <c r="SWS24" s="84"/>
      <c r="SWW24" s="84"/>
      <c r="SXA24" s="84"/>
      <c r="SXE24" s="84"/>
      <c r="SXI24" s="84"/>
      <c r="SXM24" s="84"/>
      <c r="SXQ24" s="84"/>
      <c r="SXU24" s="84"/>
      <c r="SXY24" s="84"/>
      <c r="SYC24" s="84"/>
      <c r="SYG24" s="84"/>
      <c r="SYK24" s="84"/>
      <c r="SYO24" s="84"/>
      <c r="SYS24" s="84"/>
      <c r="SYW24" s="84"/>
      <c r="SZA24" s="84"/>
      <c r="SZE24" s="84"/>
      <c r="SZI24" s="84"/>
      <c r="SZM24" s="84"/>
      <c r="SZQ24" s="84"/>
      <c r="SZU24" s="84"/>
      <c r="SZY24" s="84"/>
      <c r="TAC24" s="84"/>
      <c r="TAG24" s="84"/>
      <c r="TAK24" s="84"/>
      <c r="TAO24" s="84"/>
      <c r="TAS24" s="84"/>
      <c r="TAW24" s="84"/>
      <c r="TBA24" s="84"/>
      <c r="TBE24" s="84"/>
      <c r="TBI24" s="84"/>
      <c r="TBM24" s="84"/>
      <c r="TBQ24" s="84"/>
      <c r="TBU24" s="84"/>
      <c r="TBY24" s="84"/>
      <c r="TCC24" s="84"/>
      <c r="TCG24" s="84"/>
      <c r="TCK24" s="84"/>
      <c r="TCO24" s="84"/>
      <c r="TCS24" s="84"/>
      <c r="TCW24" s="84"/>
      <c r="TDA24" s="84"/>
      <c r="TDE24" s="84"/>
      <c r="TDI24" s="84"/>
      <c r="TDM24" s="84"/>
      <c r="TDQ24" s="84"/>
      <c r="TDU24" s="84"/>
      <c r="TDY24" s="84"/>
      <c r="TEC24" s="84"/>
      <c r="TEG24" s="84"/>
      <c r="TEK24" s="84"/>
      <c r="TEO24" s="84"/>
      <c r="TES24" s="84"/>
      <c r="TEW24" s="84"/>
      <c r="TFA24" s="84"/>
      <c r="TFE24" s="84"/>
      <c r="TFI24" s="84"/>
      <c r="TFM24" s="84"/>
      <c r="TFQ24" s="84"/>
      <c r="TFU24" s="84"/>
      <c r="TFY24" s="84"/>
      <c r="TGC24" s="84"/>
      <c r="TGG24" s="84"/>
      <c r="TGK24" s="84"/>
      <c r="TGO24" s="84"/>
      <c r="TGS24" s="84"/>
      <c r="TGW24" s="84"/>
      <c r="THA24" s="84"/>
      <c r="THE24" s="84"/>
      <c r="THI24" s="84"/>
      <c r="THM24" s="84"/>
      <c r="THQ24" s="84"/>
      <c r="THU24" s="84"/>
      <c r="THY24" s="84"/>
      <c r="TIC24" s="84"/>
      <c r="TIG24" s="84"/>
      <c r="TIK24" s="84"/>
      <c r="TIO24" s="84"/>
      <c r="TIS24" s="84"/>
      <c r="TIW24" s="84"/>
      <c r="TJA24" s="84"/>
      <c r="TJE24" s="84"/>
      <c r="TJI24" s="84"/>
      <c r="TJM24" s="84"/>
      <c r="TJQ24" s="84"/>
      <c r="TJU24" s="84"/>
      <c r="TJY24" s="84"/>
      <c r="TKC24" s="84"/>
      <c r="TKG24" s="84"/>
      <c r="TKK24" s="84"/>
      <c r="TKO24" s="84"/>
      <c r="TKS24" s="84"/>
      <c r="TKW24" s="84"/>
      <c r="TLA24" s="84"/>
      <c r="TLE24" s="84"/>
      <c r="TLI24" s="84"/>
      <c r="TLM24" s="84"/>
      <c r="TLQ24" s="84"/>
      <c r="TLU24" s="84"/>
      <c r="TLY24" s="84"/>
      <c r="TMC24" s="84"/>
      <c r="TMG24" s="84"/>
      <c r="TMK24" s="84"/>
      <c r="TMO24" s="84"/>
      <c r="TMS24" s="84"/>
      <c r="TMW24" s="84"/>
      <c r="TNA24" s="84"/>
      <c r="TNE24" s="84"/>
      <c r="TNI24" s="84"/>
      <c r="TNM24" s="84"/>
      <c r="TNQ24" s="84"/>
      <c r="TNU24" s="84"/>
      <c r="TNY24" s="84"/>
      <c r="TOC24" s="84"/>
      <c r="TOG24" s="84"/>
      <c r="TOK24" s="84"/>
      <c r="TOO24" s="84"/>
      <c r="TOS24" s="84"/>
      <c r="TOW24" s="84"/>
      <c r="TPA24" s="84"/>
      <c r="TPE24" s="84"/>
      <c r="TPI24" s="84"/>
      <c r="TPM24" s="84"/>
      <c r="TPQ24" s="84"/>
      <c r="TPU24" s="84"/>
      <c r="TPY24" s="84"/>
      <c r="TQC24" s="84"/>
      <c r="TQG24" s="84"/>
      <c r="TQK24" s="84"/>
      <c r="TQO24" s="84"/>
      <c r="TQS24" s="84"/>
      <c r="TQW24" s="84"/>
      <c r="TRA24" s="84"/>
      <c r="TRE24" s="84"/>
      <c r="TRI24" s="84"/>
      <c r="TRM24" s="84"/>
      <c r="TRQ24" s="84"/>
      <c r="TRU24" s="84"/>
      <c r="TRY24" s="84"/>
      <c r="TSC24" s="84"/>
      <c r="TSG24" s="84"/>
      <c r="TSK24" s="84"/>
      <c r="TSO24" s="84"/>
      <c r="TSS24" s="84"/>
      <c r="TSW24" s="84"/>
      <c r="TTA24" s="84"/>
      <c r="TTE24" s="84"/>
      <c r="TTI24" s="84"/>
      <c r="TTM24" s="84"/>
      <c r="TTQ24" s="84"/>
      <c r="TTU24" s="84"/>
      <c r="TTY24" s="84"/>
      <c r="TUC24" s="84"/>
      <c r="TUG24" s="84"/>
      <c r="TUK24" s="84"/>
      <c r="TUO24" s="84"/>
      <c r="TUS24" s="84"/>
      <c r="TUW24" s="84"/>
      <c r="TVA24" s="84"/>
      <c r="TVE24" s="84"/>
      <c r="TVI24" s="84"/>
      <c r="TVM24" s="84"/>
      <c r="TVQ24" s="84"/>
      <c r="TVU24" s="84"/>
      <c r="TVY24" s="84"/>
      <c r="TWC24" s="84"/>
      <c r="TWG24" s="84"/>
      <c r="TWK24" s="84"/>
      <c r="TWO24" s="84"/>
      <c r="TWS24" s="84"/>
      <c r="TWW24" s="84"/>
      <c r="TXA24" s="84"/>
      <c r="TXE24" s="84"/>
      <c r="TXI24" s="84"/>
      <c r="TXM24" s="84"/>
      <c r="TXQ24" s="84"/>
      <c r="TXU24" s="84"/>
      <c r="TXY24" s="84"/>
      <c r="TYC24" s="84"/>
      <c r="TYG24" s="84"/>
      <c r="TYK24" s="84"/>
      <c r="TYO24" s="84"/>
      <c r="TYS24" s="84"/>
      <c r="TYW24" s="84"/>
      <c r="TZA24" s="84"/>
      <c r="TZE24" s="84"/>
      <c r="TZI24" s="84"/>
      <c r="TZM24" s="84"/>
      <c r="TZQ24" s="84"/>
      <c r="TZU24" s="84"/>
      <c r="TZY24" s="84"/>
      <c r="UAC24" s="84"/>
      <c r="UAG24" s="84"/>
      <c r="UAK24" s="84"/>
      <c r="UAO24" s="84"/>
      <c r="UAS24" s="84"/>
      <c r="UAW24" s="84"/>
      <c r="UBA24" s="84"/>
      <c r="UBE24" s="84"/>
      <c r="UBI24" s="84"/>
      <c r="UBM24" s="84"/>
      <c r="UBQ24" s="84"/>
      <c r="UBU24" s="84"/>
      <c r="UBY24" s="84"/>
      <c r="UCC24" s="84"/>
      <c r="UCG24" s="84"/>
      <c r="UCK24" s="84"/>
      <c r="UCO24" s="84"/>
      <c r="UCS24" s="84"/>
      <c r="UCW24" s="84"/>
      <c r="UDA24" s="84"/>
      <c r="UDE24" s="84"/>
      <c r="UDI24" s="84"/>
      <c r="UDM24" s="84"/>
      <c r="UDQ24" s="84"/>
      <c r="UDU24" s="84"/>
      <c r="UDY24" s="84"/>
      <c r="UEC24" s="84"/>
      <c r="UEG24" s="84"/>
      <c r="UEK24" s="84"/>
      <c r="UEO24" s="84"/>
      <c r="UES24" s="84"/>
      <c r="UEW24" s="84"/>
      <c r="UFA24" s="84"/>
      <c r="UFE24" s="84"/>
      <c r="UFI24" s="84"/>
      <c r="UFM24" s="84"/>
      <c r="UFQ24" s="84"/>
      <c r="UFU24" s="84"/>
      <c r="UFY24" s="84"/>
      <c r="UGC24" s="84"/>
      <c r="UGG24" s="84"/>
      <c r="UGK24" s="84"/>
      <c r="UGO24" s="84"/>
      <c r="UGS24" s="84"/>
      <c r="UGW24" s="84"/>
      <c r="UHA24" s="84"/>
      <c r="UHE24" s="84"/>
      <c r="UHI24" s="84"/>
      <c r="UHM24" s="84"/>
      <c r="UHQ24" s="84"/>
      <c r="UHU24" s="84"/>
      <c r="UHY24" s="84"/>
      <c r="UIC24" s="84"/>
      <c r="UIG24" s="84"/>
      <c r="UIK24" s="84"/>
      <c r="UIO24" s="84"/>
      <c r="UIS24" s="84"/>
      <c r="UIW24" s="84"/>
      <c r="UJA24" s="84"/>
      <c r="UJE24" s="84"/>
      <c r="UJI24" s="84"/>
      <c r="UJM24" s="84"/>
      <c r="UJQ24" s="84"/>
      <c r="UJU24" s="84"/>
      <c r="UJY24" s="84"/>
      <c r="UKC24" s="84"/>
      <c r="UKG24" s="84"/>
      <c r="UKK24" s="84"/>
      <c r="UKO24" s="84"/>
      <c r="UKS24" s="84"/>
      <c r="UKW24" s="84"/>
      <c r="ULA24" s="84"/>
      <c r="ULE24" s="84"/>
      <c r="ULI24" s="84"/>
      <c r="ULM24" s="84"/>
      <c r="ULQ24" s="84"/>
      <c r="ULU24" s="84"/>
      <c r="ULY24" s="84"/>
      <c r="UMC24" s="84"/>
      <c r="UMG24" s="84"/>
      <c r="UMK24" s="84"/>
      <c r="UMO24" s="84"/>
      <c r="UMS24" s="84"/>
      <c r="UMW24" s="84"/>
      <c r="UNA24" s="84"/>
      <c r="UNE24" s="84"/>
      <c r="UNI24" s="84"/>
      <c r="UNM24" s="84"/>
      <c r="UNQ24" s="84"/>
      <c r="UNU24" s="84"/>
      <c r="UNY24" s="84"/>
      <c r="UOC24" s="84"/>
      <c r="UOG24" s="84"/>
      <c r="UOK24" s="84"/>
      <c r="UOO24" s="84"/>
      <c r="UOS24" s="84"/>
      <c r="UOW24" s="84"/>
      <c r="UPA24" s="84"/>
      <c r="UPE24" s="84"/>
      <c r="UPI24" s="84"/>
      <c r="UPM24" s="84"/>
      <c r="UPQ24" s="84"/>
      <c r="UPU24" s="84"/>
      <c r="UPY24" s="84"/>
      <c r="UQC24" s="84"/>
      <c r="UQG24" s="84"/>
      <c r="UQK24" s="84"/>
      <c r="UQO24" s="84"/>
      <c r="UQS24" s="84"/>
      <c r="UQW24" s="84"/>
      <c r="URA24" s="84"/>
      <c r="URE24" s="84"/>
      <c r="URI24" s="84"/>
      <c r="URM24" s="84"/>
      <c r="URQ24" s="84"/>
      <c r="URU24" s="84"/>
      <c r="URY24" s="84"/>
      <c r="USC24" s="84"/>
      <c r="USG24" s="84"/>
      <c r="USK24" s="84"/>
      <c r="USO24" s="84"/>
      <c r="USS24" s="84"/>
      <c r="USW24" s="84"/>
      <c r="UTA24" s="84"/>
      <c r="UTE24" s="84"/>
      <c r="UTI24" s="84"/>
      <c r="UTM24" s="84"/>
      <c r="UTQ24" s="84"/>
      <c r="UTU24" s="84"/>
      <c r="UTY24" s="84"/>
      <c r="UUC24" s="84"/>
      <c r="UUG24" s="84"/>
      <c r="UUK24" s="84"/>
      <c r="UUO24" s="84"/>
      <c r="UUS24" s="84"/>
      <c r="UUW24" s="84"/>
      <c r="UVA24" s="84"/>
      <c r="UVE24" s="84"/>
      <c r="UVI24" s="84"/>
      <c r="UVM24" s="84"/>
      <c r="UVQ24" s="84"/>
      <c r="UVU24" s="84"/>
      <c r="UVY24" s="84"/>
      <c r="UWC24" s="84"/>
      <c r="UWG24" s="84"/>
      <c r="UWK24" s="84"/>
      <c r="UWO24" s="84"/>
      <c r="UWS24" s="84"/>
      <c r="UWW24" s="84"/>
      <c r="UXA24" s="84"/>
      <c r="UXE24" s="84"/>
      <c r="UXI24" s="84"/>
      <c r="UXM24" s="84"/>
      <c r="UXQ24" s="84"/>
      <c r="UXU24" s="84"/>
      <c r="UXY24" s="84"/>
      <c r="UYC24" s="84"/>
      <c r="UYG24" s="84"/>
      <c r="UYK24" s="84"/>
      <c r="UYO24" s="84"/>
      <c r="UYS24" s="84"/>
      <c r="UYW24" s="84"/>
      <c r="UZA24" s="84"/>
      <c r="UZE24" s="84"/>
      <c r="UZI24" s="84"/>
      <c r="UZM24" s="84"/>
      <c r="UZQ24" s="84"/>
      <c r="UZU24" s="84"/>
      <c r="UZY24" s="84"/>
      <c r="VAC24" s="84"/>
      <c r="VAG24" s="84"/>
      <c r="VAK24" s="84"/>
      <c r="VAO24" s="84"/>
      <c r="VAS24" s="84"/>
      <c r="VAW24" s="84"/>
      <c r="VBA24" s="84"/>
      <c r="VBE24" s="84"/>
      <c r="VBI24" s="84"/>
      <c r="VBM24" s="84"/>
      <c r="VBQ24" s="84"/>
      <c r="VBU24" s="84"/>
      <c r="VBY24" s="84"/>
      <c r="VCC24" s="84"/>
      <c r="VCG24" s="84"/>
      <c r="VCK24" s="84"/>
      <c r="VCO24" s="84"/>
      <c r="VCS24" s="84"/>
      <c r="VCW24" s="84"/>
      <c r="VDA24" s="84"/>
      <c r="VDE24" s="84"/>
      <c r="VDI24" s="84"/>
      <c r="VDM24" s="84"/>
      <c r="VDQ24" s="84"/>
      <c r="VDU24" s="84"/>
      <c r="VDY24" s="84"/>
      <c r="VEC24" s="84"/>
      <c r="VEG24" s="84"/>
      <c r="VEK24" s="84"/>
      <c r="VEO24" s="84"/>
      <c r="VES24" s="84"/>
      <c r="VEW24" s="84"/>
      <c r="VFA24" s="84"/>
      <c r="VFE24" s="84"/>
      <c r="VFI24" s="84"/>
      <c r="VFM24" s="84"/>
      <c r="VFQ24" s="84"/>
      <c r="VFU24" s="84"/>
      <c r="VFY24" s="84"/>
      <c r="VGC24" s="84"/>
      <c r="VGG24" s="84"/>
      <c r="VGK24" s="84"/>
      <c r="VGO24" s="84"/>
      <c r="VGS24" s="84"/>
      <c r="VGW24" s="84"/>
      <c r="VHA24" s="84"/>
      <c r="VHE24" s="84"/>
      <c r="VHI24" s="84"/>
      <c r="VHM24" s="84"/>
      <c r="VHQ24" s="84"/>
      <c r="VHU24" s="84"/>
      <c r="VHY24" s="84"/>
      <c r="VIC24" s="84"/>
      <c r="VIG24" s="84"/>
      <c r="VIK24" s="84"/>
      <c r="VIO24" s="84"/>
      <c r="VIS24" s="84"/>
      <c r="VIW24" s="84"/>
      <c r="VJA24" s="84"/>
      <c r="VJE24" s="84"/>
      <c r="VJI24" s="84"/>
      <c r="VJM24" s="84"/>
      <c r="VJQ24" s="84"/>
      <c r="VJU24" s="84"/>
      <c r="VJY24" s="84"/>
      <c r="VKC24" s="84"/>
      <c r="VKG24" s="84"/>
      <c r="VKK24" s="84"/>
      <c r="VKO24" s="84"/>
      <c r="VKS24" s="84"/>
      <c r="VKW24" s="84"/>
      <c r="VLA24" s="84"/>
      <c r="VLE24" s="84"/>
      <c r="VLI24" s="84"/>
      <c r="VLM24" s="84"/>
      <c r="VLQ24" s="84"/>
      <c r="VLU24" s="84"/>
      <c r="VLY24" s="84"/>
      <c r="VMC24" s="84"/>
      <c r="VMG24" s="84"/>
      <c r="VMK24" s="84"/>
      <c r="VMO24" s="84"/>
      <c r="VMS24" s="84"/>
      <c r="VMW24" s="84"/>
      <c r="VNA24" s="84"/>
      <c r="VNE24" s="84"/>
      <c r="VNI24" s="84"/>
      <c r="VNM24" s="84"/>
      <c r="VNQ24" s="84"/>
      <c r="VNU24" s="84"/>
      <c r="VNY24" s="84"/>
      <c r="VOC24" s="84"/>
      <c r="VOG24" s="84"/>
      <c r="VOK24" s="84"/>
      <c r="VOO24" s="84"/>
      <c r="VOS24" s="84"/>
      <c r="VOW24" s="84"/>
      <c r="VPA24" s="84"/>
      <c r="VPE24" s="84"/>
      <c r="VPI24" s="84"/>
      <c r="VPM24" s="84"/>
      <c r="VPQ24" s="84"/>
      <c r="VPU24" s="84"/>
      <c r="VPY24" s="84"/>
      <c r="VQC24" s="84"/>
      <c r="VQG24" s="84"/>
      <c r="VQK24" s="84"/>
      <c r="VQO24" s="84"/>
      <c r="VQS24" s="84"/>
      <c r="VQW24" s="84"/>
      <c r="VRA24" s="84"/>
      <c r="VRE24" s="84"/>
      <c r="VRI24" s="84"/>
      <c r="VRM24" s="84"/>
      <c r="VRQ24" s="84"/>
      <c r="VRU24" s="84"/>
      <c r="VRY24" s="84"/>
      <c r="VSC24" s="84"/>
      <c r="VSG24" s="84"/>
      <c r="VSK24" s="84"/>
      <c r="VSO24" s="84"/>
      <c r="VSS24" s="84"/>
      <c r="VSW24" s="84"/>
      <c r="VTA24" s="84"/>
      <c r="VTE24" s="84"/>
      <c r="VTI24" s="84"/>
      <c r="VTM24" s="84"/>
      <c r="VTQ24" s="84"/>
      <c r="VTU24" s="84"/>
      <c r="VTY24" s="84"/>
      <c r="VUC24" s="84"/>
      <c r="VUG24" s="84"/>
      <c r="VUK24" s="84"/>
      <c r="VUO24" s="84"/>
      <c r="VUS24" s="84"/>
      <c r="VUW24" s="84"/>
      <c r="VVA24" s="84"/>
      <c r="VVE24" s="84"/>
      <c r="VVI24" s="84"/>
      <c r="VVM24" s="84"/>
      <c r="VVQ24" s="84"/>
      <c r="VVU24" s="84"/>
      <c r="VVY24" s="84"/>
      <c r="VWC24" s="84"/>
      <c r="VWG24" s="84"/>
      <c r="VWK24" s="84"/>
      <c r="VWO24" s="84"/>
      <c r="VWS24" s="84"/>
      <c r="VWW24" s="84"/>
      <c r="VXA24" s="84"/>
      <c r="VXE24" s="84"/>
      <c r="VXI24" s="84"/>
      <c r="VXM24" s="84"/>
      <c r="VXQ24" s="84"/>
      <c r="VXU24" s="84"/>
      <c r="VXY24" s="84"/>
      <c r="VYC24" s="84"/>
      <c r="VYG24" s="84"/>
      <c r="VYK24" s="84"/>
      <c r="VYO24" s="84"/>
      <c r="VYS24" s="84"/>
      <c r="VYW24" s="84"/>
      <c r="VZA24" s="84"/>
      <c r="VZE24" s="84"/>
      <c r="VZI24" s="84"/>
      <c r="VZM24" s="84"/>
      <c r="VZQ24" s="84"/>
      <c r="VZU24" s="84"/>
      <c r="VZY24" s="84"/>
      <c r="WAC24" s="84"/>
      <c r="WAG24" s="84"/>
      <c r="WAK24" s="84"/>
      <c r="WAO24" s="84"/>
      <c r="WAS24" s="84"/>
      <c r="WAW24" s="84"/>
      <c r="WBA24" s="84"/>
      <c r="WBE24" s="84"/>
      <c r="WBI24" s="84"/>
      <c r="WBM24" s="84"/>
      <c r="WBQ24" s="84"/>
      <c r="WBU24" s="84"/>
      <c r="WBY24" s="84"/>
      <c r="WCC24" s="84"/>
      <c r="WCG24" s="84"/>
      <c r="WCK24" s="84"/>
      <c r="WCO24" s="84"/>
      <c r="WCS24" s="84"/>
      <c r="WCW24" s="84"/>
      <c r="WDA24" s="84"/>
      <c r="WDE24" s="84"/>
      <c r="WDI24" s="84"/>
      <c r="WDM24" s="84"/>
      <c r="WDQ24" s="84"/>
      <c r="WDU24" s="84"/>
      <c r="WDY24" s="84"/>
      <c r="WEC24" s="84"/>
      <c r="WEG24" s="84"/>
      <c r="WEK24" s="84"/>
      <c r="WEO24" s="84"/>
      <c r="WES24" s="84"/>
      <c r="WEW24" s="84"/>
      <c r="WFA24" s="84"/>
      <c r="WFE24" s="84"/>
      <c r="WFI24" s="84"/>
      <c r="WFM24" s="84"/>
      <c r="WFQ24" s="84"/>
      <c r="WFU24" s="84"/>
      <c r="WFY24" s="84"/>
      <c r="WGC24" s="84"/>
      <c r="WGG24" s="84"/>
      <c r="WGK24" s="84"/>
      <c r="WGO24" s="84"/>
      <c r="WGS24" s="84"/>
      <c r="WGW24" s="84"/>
      <c r="WHA24" s="84"/>
      <c r="WHE24" s="84"/>
      <c r="WHI24" s="84"/>
      <c r="WHM24" s="84"/>
      <c r="WHQ24" s="84"/>
      <c r="WHU24" s="84"/>
      <c r="WHY24" s="84"/>
      <c r="WIC24" s="84"/>
      <c r="WIG24" s="84"/>
      <c r="WIK24" s="84"/>
      <c r="WIO24" s="84"/>
      <c r="WIS24" s="84"/>
      <c r="WIW24" s="84"/>
      <c r="WJA24" s="84"/>
      <c r="WJE24" s="84"/>
      <c r="WJI24" s="84"/>
      <c r="WJM24" s="84"/>
      <c r="WJQ24" s="84"/>
      <c r="WJU24" s="84"/>
      <c r="WJY24" s="84"/>
      <c r="WKC24" s="84"/>
      <c r="WKG24" s="84"/>
      <c r="WKK24" s="84"/>
      <c r="WKO24" s="84"/>
      <c r="WKS24" s="84"/>
      <c r="WKW24" s="84"/>
      <c r="WLA24" s="84"/>
      <c r="WLE24" s="84"/>
      <c r="WLI24" s="84"/>
      <c r="WLM24" s="84"/>
      <c r="WLQ24" s="84"/>
      <c r="WLU24" s="84"/>
      <c r="WLY24" s="84"/>
      <c r="WMC24" s="84"/>
      <c r="WMG24" s="84"/>
      <c r="WMK24" s="84"/>
      <c r="WMO24" s="84"/>
      <c r="WMS24" s="84"/>
      <c r="WMW24" s="84"/>
      <c r="WNA24" s="84"/>
      <c r="WNE24" s="84"/>
      <c r="WNI24" s="84"/>
      <c r="WNM24" s="84"/>
      <c r="WNQ24" s="84"/>
      <c r="WNU24" s="84"/>
      <c r="WNY24" s="84"/>
      <c r="WOC24" s="84"/>
      <c r="WOG24" s="84"/>
      <c r="WOK24" s="84"/>
      <c r="WOO24" s="84"/>
      <c r="WOS24" s="84"/>
      <c r="WOW24" s="84"/>
      <c r="WPA24" s="84"/>
      <c r="WPE24" s="84"/>
      <c r="WPI24" s="84"/>
      <c r="WPM24" s="84"/>
      <c r="WPQ24" s="84"/>
      <c r="WPU24" s="84"/>
      <c r="WPY24" s="84"/>
      <c r="WQC24" s="84"/>
      <c r="WQG24" s="84"/>
      <c r="WQK24" s="84"/>
      <c r="WQO24" s="84"/>
      <c r="WQS24" s="84"/>
      <c r="WQW24" s="84"/>
      <c r="WRA24" s="84"/>
      <c r="WRE24" s="84"/>
      <c r="WRI24" s="84"/>
      <c r="WRM24" s="84"/>
      <c r="WRQ24" s="84"/>
      <c r="WRU24" s="84"/>
      <c r="WRY24" s="84"/>
      <c r="WSC24" s="84"/>
      <c r="WSG24" s="84"/>
      <c r="WSK24" s="84"/>
      <c r="WSO24" s="84"/>
      <c r="WSS24" s="84"/>
      <c r="WSW24" s="84"/>
      <c r="WTA24" s="84"/>
      <c r="WTE24" s="84"/>
      <c r="WTI24" s="84"/>
      <c r="WTM24" s="84"/>
      <c r="WTQ24" s="84"/>
      <c r="WTU24" s="84"/>
      <c r="WTY24" s="84"/>
      <c r="WUC24" s="84"/>
      <c r="WUG24" s="84"/>
      <c r="WUK24" s="84"/>
      <c r="WUO24" s="84"/>
      <c r="WUS24" s="84"/>
      <c r="WUW24" s="84"/>
      <c r="WVA24" s="84"/>
      <c r="WVE24" s="84"/>
      <c r="WVI24" s="84"/>
      <c r="WVM24" s="84"/>
      <c r="WVQ24" s="84"/>
      <c r="WVU24" s="84"/>
      <c r="WVY24" s="84"/>
      <c r="WWC24" s="84"/>
      <c r="WWG24" s="84"/>
      <c r="WWK24" s="84"/>
      <c r="WWO24" s="84"/>
      <c r="WWS24" s="84"/>
      <c r="WWW24" s="84"/>
      <c r="WXA24" s="84"/>
      <c r="WXE24" s="84"/>
      <c r="WXI24" s="84"/>
      <c r="WXM24" s="84"/>
      <c r="WXQ24" s="84"/>
      <c r="WXU24" s="84"/>
      <c r="WXY24" s="84"/>
      <c r="WYC24" s="84"/>
      <c r="WYG24" s="84"/>
      <c r="WYK24" s="84"/>
      <c r="WYO24" s="84"/>
      <c r="WYS24" s="84"/>
      <c r="WYW24" s="84"/>
      <c r="WZA24" s="84"/>
      <c r="WZE24" s="84"/>
      <c r="WZI24" s="84"/>
      <c r="WZM24" s="84"/>
      <c r="WZQ24" s="84"/>
      <c r="WZU24" s="84"/>
      <c r="WZY24" s="84"/>
      <c r="XAC24" s="84"/>
      <c r="XAG24" s="84"/>
      <c r="XAK24" s="84"/>
      <c r="XAO24" s="84"/>
      <c r="XAS24" s="84"/>
      <c r="XAW24" s="84"/>
      <c r="XBA24" s="84"/>
      <c r="XBE24" s="84"/>
      <c r="XBI24" s="84"/>
      <c r="XBM24" s="84"/>
      <c r="XBQ24" s="84"/>
      <c r="XBU24" s="84"/>
      <c r="XBY24" s="84"/>
      <c r="XCC24" s="84"/>
      <c r="XCG24" s="84"/>
      <c r="XCK24" s="84"/>
      <c r="XCO24" s="84"/>
      <c r="XCS24" s="84"/>
      <c r="XCW24" s="84"/>
      <c r="XDA24" s="84"/>
      <c r="XDE24" s="84"/>
      <c r="XDI24" s="84"/>
      <c r="XDM24" s="84"/>
      <c r="XDQ24" s="84"/>
      <c r="XDU24" s="84"/>
      <c r="XDY24" s="84"/>
      <c r="XEC24" s="84"/>
      <c r="XEG24" s="84"/>
      <c r="XEK24" s="84"/>
      <c r="XEO24" s="84"/>
      <c r="XES24" s="84"/>
      <c r="XEW24" s="84"/>
      <c r="XFA24" s="84"/>
    </row>
    <row r="25" spans="1:1021 1025:2045 2049:3069 3073:4093 4097:5117 5121:6141 6145:7165 7169:8189 8193:9213 9217:10237 10241:11261 11265:12285 12289:13309 13313:14333 14337:15357 15361:16381" s="83" customFormat="1" outlineLevel="1">
      <c r="A25" s="84"/>
      <c r="C25" s="63" t="s">
        <v>113</v>
      </c>
      <c r="D25" s="4" t="s">
        <v>0</v>
      </c>
      <c r="E25" s="6">
        <v>215.904</v>
      </c>
      <c r="F25" s="6">
        <v>285.49079999999998</v>
      </c>
      <c r="G25" s="48">
        <v>326.44900000000001</v>
      </c>
      <c r="H25" s="48">
        <v>436.339</v>
      </c>
      <c r="I25" s="48">
        <v>611.43100000000004</v>
      </c>
      <c r="J25" s="18">
        <f t="shared" ref="J25:S25" si="6">J38/Company_Store_per_Total_Sale</f>
        <v>1837.835230277848</v>
      </c>
      <c r="K25" s="18">
        <f t="shared" si="6"/>
        <v>2286.5185596239467</v>
      </c>
      <c r="L25" s="18">
        <f t="shared" si="6"/>
        <v>2831.61743571124</v>
      </c>
      <c r="M25" s="18">
        <f t="shared" si="6"/>
        <v>3490.4127233261079</v>
      </c>
      <c r="N25" s="18">
        <f t="shared" si="6"/>
        <v>4282.4463345225304</v>
      </c>
      <c r="O25" s="18">
        <f t="shared" si="6"/>
        <v>5229.6245520758594</v>
      </c>
      <c r="P25" s="18">
        <f t="shared" si="6"/>
        <v>6356.2787206766425</v>
      </c>
      <c r="Q25" s="18">
        <f t="shared" si="6"/>
        <v>7689.1708075571105</v>
      </c>
      <c r="R25" s="18">
        <f t="shared" si="6"/>
        <v>9257.4304980877914</v>
      </c>
      <c r="S25" s="18">
        <f t="shared" si="6"/>
        <v>11092.410063907719</v>
      </c>
      <c r="U25" s="84"/>
      <c r="Y25" s="84"/>
      <c r="AC25" s="84"/>
      <c r="AG25" s="84"/>
      <c r="AK25" s="84"/>
      <c r="AO25" s="84"/>
      <c r="AS25" s="84"/>
      <c r="AW25" s="84"/>
      <c r="BA25" s="84"/>
      <c r="BE25" s="84"/>
      <c r="BI25" s="84"/>
      <c r="BM25" s="84"/>
      <c r="BQ25" s="84"/>
      <c r="BU25" s="84"/>
      <c r="BY25" s="84"/>
      <c r="CC25" s="84"/>
      <c r="CG25" s="84"/>
      <c r="CK25" s="84"/>
      <c r="CO25" s="84"/>
      <c r="CS25" s="84"/>
      <c r="CW25" s="84"/>
      <c r="DA25" s="84"/>
      <c r="DE25" s="84"/>
      <c r="DI25" s="84"/>
      <c r="DM25" s="84"/>
      <c r="DQ25" s="84"/>
      <c r="DU25" s="84"/>
      <c r="DY25" s="84"/>
      <c r="EC25" s="84"/>
      <c r="EG25" s="84"/>
      <c r="EK25" s="84"/>
      <c r="EO25" s="84"/>
      <c r="ES25" s="84"/>
      <c r="EW25" s="84"/>
      <c r="FA25" s="84"/>
      <c r="FE25" s="84"/>
      <c r="FI25" s="84"/>
      <c r="FM25" s="84"/>
      <c r="FQ25" s="84"/>
      <c r="FU25" s="84"/>
      <c r="FY25" s="84"/>
      <c r="GC25" s="84"/>
      <c r="GG25" s="84"/>
      <c r="GK25" s="84"/>
      <c r="GO25" s="84"/>
      <c r="GS25" s="84"/>
      <c r="GW25" s="84"/>
      <c r="HA25" s="84"/>
      <c r="HE25" s="84"/>
      <c r="HI25" s="84"/>
      <c r="HM25" s="84"/>
      <c r="HQ25" s="84"/>
      <c r="HU25" s="84"/>
      <c r="HY25" s="84"/>
      <c r="IC25" s="84"/>
      <c r="IG25" s="84"/>
      <c r="IK25" s="84"/>
      <c r="IO25" s="84"/>
      <c r="IS25" s="84"/>
      <c r="IW25" s="84"/>
      <c r="JA25" s="84"/>
      <c r="JE25" s="84"/>
      <c r="JI25" s="84"/>
      <c r="JM25" s="84"/>
      <c r="JQ25" s="84"/>
      <c r="JU25" s="84"/>
      <c r="JY25" s="84"/>
      <c r="KC25" s="84"/>
      <c r="KG25" s="84"/>
      <c r="KK25" s="84"/>
      <c r="KO25" s="84"/>
      <c r="KS25" s="84"/>
      <c r="KW25" s="84"/>
      <c r="LA25" s="84"/>
      <c r="LE25" s="84"/>
      <c r="LI25" s="84"/>
      <c r="LM25" s="84"/>
      <c r="LQ25" s="84"/>
      <c r="LU25" s="84"/>
      <c r="LY25" s="84"/>
      <c r="MC25" s="84"/>
      <c r="MG25" s="84"/>
      <c r="MK25" s="84"/>
      <c r="MO25" s="84"/>
      <c r="MS25" s="84"/>
      <c r="MW25" s="84"/>
      <c r="NA25" s="84"/>
      <c r="NE25" s="84"/>
      <c r="NI25" s="84"/>
      <c r="NM25" s="84"/>
      <c r="NQ25" s="84"/>
      <c r="NU25" s="84"/>
      <c r="NY25" s="84"/>
      <c r="OC25" s="84"/>
      <c r="OG25" s="84"/>
      <c r="OK25" s="84"/>
      <c r="OO25" s="84"/>
      <c r="OS25" s="84"/>
      <c r="OW25" s="84"/>
      <c r="PA25" s="84"/>
      <c r="PE25" s="84"/>
      <c r="PI25" s="84"/>
      <c r="PM25" s="84"/>
      <c r="PQ25" s="84"/>
      <c r="PU25" s="84"/>
      <c r="PY25" s="84"/>
      <c r="QC25" s="84"/>
      <c r="QG25" s="84"/>
      <c r="QK25" s="84"/>
      <c r="QO25" s="84"/>
      <c r="QS25" s="84"/>
      <c r="QW25" s="84"/>
      <c r="RA25" s="84"/>
      <c r="RE25" s="84"/>
      <c r="RI25" s="84"/>
      <c r="RM25" s="84"/>
      <c r="RQ25" s="84"/>
      <c r="RU25" s="84"/>
      <c r="RY25" s="84"/>
      <c r="SC25" s="84"/>
      <c r="SG25" s="84"/>
      <c r="SK25" s="84"/>
      <c r="SO25" s="84"/>
      <c r="SS25" s="84"/>
      <c r="SW25" s="84"/>
      <c r="TA25" s="84"/>
      <c r="TE25" s="84"/>
      <c r="TI25" s="84"/>
      <c r="TM25" s="84"/>
      <c r="TQ25" s="84"/>
      <c r="TU25" s="84"/>
      <c r="TY25" s="84"/>
      <c r="UC25" s="84"/>
      <c r="UG25" s="84"/>
      <c r="UK25" s="84"/>
      <c r="UO25" s="84"/>
      <c r="US25" s="84"/>
      <c r="UW25" s="84"/>
      <c r="VA25" s="84"/>
      <c r="VE25" s="84"/>
      <c r="VI25" s="84"/>
      <c r="VM25" s="84"/>
      <c r="VQ25" s="84"/>
      <c r="VU25" s="84"/>
      <c r="VY25" s="84"/>
      <c r="WC25" s="84"/>
      <c r="WG25" s="84"/>
      <c r="WK25" s="84"/>
      <c r="WO25" s="84"/>
      <c r="WS25" s="84"/>
      <c r="WW25" s="84"/>
      <c r="XA25" s="84"/>
      <c r="XE25" s="84"/>
      <c r="XI25" s="84"/>
      <c r="XM25" s="84"/>
      <c r="XQ25" s="84"/>
      <c r="XU25" s="84"/>
      <c r="XY25" s="84"/>
      <c r="YC25" s="84"/>
      <c r="YG25" s="84"/>
      <c r="YK25" s="84"/>
      <c r="YO25" s="84"/>
      <c r="YS25" s="84"/>
      <c r="YW25" s="84"/>
      <c r="ZA25" s="84"/>
      <c r="ZE25" s="84"/>
      <c r="ZI25" s="84"/>
      <c r="ZM25" s="84"/>
      <c r="ZQ25" s="84"/>
      <c r="ZU25" s="84"/>
      <c r="ZY25" s="84"/>
      <c r="AAC25" s="84"/>
      <c r="AAG25" s="84"/>
      <c r="AAK25" s="84"/>
      <c r="AAO25" s="84"/>
      <c r="AAS25" s="84"/>
      <c r="AAW25" s="84"/>
      <c r="ABA25" s="84"/>
      <c r="ABE25" s="84"/>
      <c r="ABI25" s="84"/>
      <c r="ABM25" s="84"/>
      <c r="ABQ25" s="84"/>
      <c r="ABU25" s="84"/>
      <c r="ABY25" s="84"/>
      <c r="ACC25" s="84"/>
      <c r="ACG25" s="84"/>
      <c r="ACK25" s="84"/>
      <c r="ACO25" s="84"/>
      <c r="ACS25" s="84"/>
      <c r="ACW25" s="84"/>
      <c r="ADA25" s="84"/>
      <c r="ADE25" s="84"/>
      <c r="ADI25" s="84"/>
      <c r="ADM25" s="84"/>
      <c r="ADQ25" s="84"/>
      <c r="ADU25" s="84"/>
      <c r="ADY25" s="84"/>
      <c r="AEC25" s="84"/>
      <c r="AEG25" s="84"/>
      <c r="AEK25" s="84"/>
      <c r="AEO25" s="84"/>
      <c r="AES25" s="84"/>
      <c r="AEW25" s="84"/>
      <c r="AFA25" s="84"/>
      <c r="AFE25" s="84"/>
      <c r="AFI25" s="84"/>
      <c r="AFM25" s="84"/>
      <c r="AFQ25" s="84"/>
      <c r="AFU25" s="84"/>
      <c r="AFY25" s="84"/>
      <c r="AGC25" s="84"/>
      <c r="AGG25" s="84"/>
      <c r="AGK25" s="84"/>
      <c r="AGO25" s="84"/>
      <c r="AGS25" s="84"/>
      <c r="AGW25" s="84"/>
      <c r="AHA25" s="84"/>
      <c r="AHE25" s="84"/>
      <c r="AHI25" s="84"/>
      <c r="AHM25" s="84"/>
      <c r="AHQ25" s="84"/>
      <c r="AHU25" s="84"/>
      <c r="AHY25" s="84"/>
      <c r="AIC25" s="84"/>
      <c r="AIG25" s="84"/>
      <c r="AIK25" s="84"/>
      <c r="AIO25" s="84"/>
      <c r="AIS25" s="84"/>
      <c r="AIW25" s="84"/>
      <c r="AJA25" s="84"/>
      <c r="AJE25" s="84"/>
      <c r="AJI25" s="84"/>
      <c r="AJM25" s="84"/>
      <c r="AJQ25" s="84"/>
      <c r="AJU25" s="84"/>
      <c r="AJY25" s="84"/>
      <c r="AKC25" s="84"/>
      <c r="AKG25" s="84"/>
      <c r="AKK25" s="84"/>
      <c r="AKO25" s="84"/>
      <c r="AKS25" s="84"/>
      <c r="AKW25" s="84"/>
      <c r="ALA25" s="84"/>
      <c r="ALE25" s="84"/>
      <c r="ALI25" s="84"/>
      <c r="ALM25" s="84"/>
      <c r="ALQ25" s="84"/>
      <c r="ALU25" s="84"/>
      <c r="ALY25" s="84"/>
      <c r="AMC25" s="84"/>
      <c r="AMG25" s="84"/>
      <c r="AMK25" s="84"/>
      <c r="AMO25" s="84"/>
      <c r="AMS25" s="84"/>
      <c r="AMW25" s="84"/>
      <c r="ANA25" s="84"/>
      <c r="ANE25" s="84"/>
      <c r="ANI25" s="84"/>
      <c r="ANM25" s="84"/>
      <c r="ANQ25" s="84"/>
      <c r="ANU25" s="84"/>
      <c r="ANY25" s="84"/>
      <c r="AOC25" s="84"/>
      <c r="AOG25" s="84"/>
      <c r="AOK25" s="84"/>
      <c r="AOO25" s="84"/>
      <c r="AOS25" s="84"/>
      <c r="AOW25" s="84"/>
      <c r="APA25" s="84"/>
      <c r="APE25" s="84"/>
      <c r="API25" s="84"/>
      <c r="APM25" s="84"/>
      <c r="APQ25" s="84"/>
      <c r="APU25" s="84"/>
      <c r="APY25" s="84"/>
      <c r="AQC25" s="84"/>
      <c r="AQG25" s="84"/>
      <c r="AQK25" s="84"/>
      <c r="AQO25" s="84"/>
      <c r="AQS25" s="84"/>
      <c r="AQW25" s="84"/>
      <c r="ARA25" s="84"/>
      <c r="ARE25" s="84"/>
      <c r="ARI25" s="84"/>
      <c r="ARM25" s="84"/>
      <c r="ARQ25" s="84"/>
      <c r="ARU25" s="84"/>
      <c r="ARY25" s="84"/>
      <c r="ASC25" s="84"/>
      <c r="ASG25" s="84"/>
      <c r="ASK25" s="84"/>
      <c r="ASO25" s="84"/>
      <c r="ASS25" s="84"/>
      <c r="ASW25" s="84"/>
      <c r="ATA25" s="84"/>
      <c r="ATE25" s="84"/>
      <c r="ATI25" s="84"/>
      <c r="ATM25" s="84"/>
      <c r="ATQ25" s="84"/>
      <c r="ATU25" s="84"/>
      <c r="ATY25" s="84"/>
      <c r="AUC25" s="84"/>
      <c r="AUG25" s="84"/>
      <c r="AUK25" s="84"/>
      <c r="AUO25" s="84"/>
      <c r="AUS25" s="84"/>
      <c r="AUW25" s="84"/>
      <c r="AVA25" s="84"/>
      <c r="AVE25" s="84"/>
      <c r="AVI25" s="84"/>
      <c r="AVM25" s="84"/>
      <c r="AVQ25" s="84"/>
      <c r="AVU25" s="84"/>
      <c r="AVY25" s="84"/>
      <c r="AWC25" s="84"/>
      <c r="AWG25" s="84"/>
      <c r="AWK25" s="84"/>
      <c r="AWO25" s="84"/>
      <c r="AWS25" s="84"/>
      <c r="AWW25" s="84"/>
      <c r="AXA25" s="84"/>
      <c r="AXE25" s="84"/>
      <c r="AXI25" s="84"/>
      <c r="AXM25" s="84"/>
      <c r="AXQ25" s="84"/>
      <c r="AXU25" s="84"/>
      <c r="AXY25" s="84"/>
      <c r="AYC25" s="84"/>
      <c r="AYG25" s="84"/>
      <c r="AYK25" s="84"/>
      <c r="AYO25" s="84"/>
      <c r="AYS25" s="84"/>
      <c r="AYW25" s="84"/>
      <c r="AZA25" s="84"/>
      <c r="AZE25" s="84"/>
      <c r="AZI25" s="84"/>
      <c r="AZM25" s="84"/>
      <c r="AZQ25" s="84"/>
      <c r="AZU25" s="84"/>
      <c r="AZY25" s="84"/>
      <c r="BAC25" s="84"/>
      <c r="BAG25" s="84"/>
      <c r="BAK25" s="84"/>
      <c r="BAO25" s="84"/>
      <c r="BAS25" s="84"/>
      <c r="BAW25" s="84"/>
      <c r="BBA25" s="84"/>
      <c r="BBE25" s="84"/>
      <c r="BBI25" s="84"/>
      <c r="BBM25" s="84"/>
      <c r="BBQ25" s="84"/>
      <c r="BBU25" s="84"/>
      <c r="BBY25" s="84"/>
      <c r="BCC25" s="84"/>
      <c r="BCG25" s="84"/>
      <c r="BCK25" s="84"/>
      <c r="BCO25" s="84"/>
      <c r="BCS25" s="84"/>
      <c r="BCW25" s="84"/>
      <c r="BDA25" s="84"/>
      <c r="BDE25" s="84"/>
      <c r="BDI25" s="84"/>
      <c r="BDM25" s="84"/>
      <c r="BDQ25" s="84"/>
      <c r="BDU25" s="84"/>
      <c r="BDY25" s="84"/>
      <c r="BEC25" s="84"/>
      <c r="BEG25" s="84"/>
      <c r="BEK25" s="84"/>
      <c r="BEO25" s="84"/>
      <c r="BES25" s="84"/>
      <c r="BEW25" s="84"/>
      <c r="BFA25" s="84"/>
      <c r="BFE25" s="84"/>
      <c r="BFI25" s="84"/>
      <c r="BFM25" s="84"/>
      <c r="BFQ25" s="84"/>
      <c r="BFU25" s="84"/>
      <c r="BFY25" s="84"/>
      <c r="BGC25" s="84"/>
      <c r="BGG25" s="84"/>
      <c r="BGK25" s="84"/>
      <c r="BGO25" s="84"/>
      <c r="BGS25" s="84"/>
      <c r="BGW25" s="84"/>
      <c r="BHA25" s="84"/>
      <c r="BHE25" s="84"/>
      <c r="BHI25" s="84"/>
      <c r="BHM25" s="84"/>
      <c r="BHQ25" s="84"/>
      <c r="BHU25" s="84"/>
      <c r="BHY25" s="84"/>
      <c r="BIC25" s="84"/>
      <c r="BIG25" s="84"/>
      <c r="BIK25" s="84"/>
      <c r="BIO25" s="84"/>
      <c r="BIS25" s="84"/>
      <c r="BIW25" s="84"/>
      <c r="BJA25" s="84"/>
      <c r="BJE25" s="84"/>
      <c r="BJI25" s="84"/>
      <c r="BJM25" s="84"/>
      <c r="BJQ25" s="84"/>
      <c r="BJU25" s="84"/>
      <c r="BJY25" s="84"/>
      <c r="BKC25" s="84"/>
      <c r="BKG25" s="84"/>
      <c r="BKK25" s="84"/>
      <c r="BKO25" s="84"/>
      <c r="BKS25" s="84"/>
      <c r="BKW25" s="84"/>
      <c r="BLA25" s="84"/>
      <c r="BLE25" s="84"/>
      <c r="BLI25" s="84"/>
      <c r="BLM25" s="84"/>
      <c r="BLQ25" s="84"/>
      <c r="BLU25" s="84"/>
      <c r="BLY25" s="84"/>
      <c r="BMC25" s="84"/>
      <c r="BMG25" s="84"/>
      <c r="BMK25" s="84"/>
      <c r="BMO25" s="84"/>
      <c r="BMS25" s="84"/>
      <c r="BMW25" s="84"/>
      <c r="BNA25" s="84"/>
      <c r="BNE25" s="84"/>
      <c r="BNI25" s="84"/>
      <c r="BNM25" s="84"/>
      <c r="BNQ25" s="84"/>
      <c r="BNU25" s="84"/>
      <c r="BNY25" s="84"/>
      <c r="BOC25" s="84"/>
      <c r="BOG25" s="84"/>
      <c r="BOK25" s="84"/>
      <c r="BOO25" s="84"/>
      <c r="BOS25" s="84"/>
      <c r="BOW25" s="84"/>
      <c r="BPA25" s="84"/>
      <c r="BPE25" s="84"/>
      <c r="BPI25" s="84"/>
      <c r="BPM25" s="84"/>
      <c r="BPQ25" s="84"/>
      <c r="BPU25" s="84"/>
      <c r="BPY25" s="84"/>
      <c r="BQC25" s="84"/>
      <c r="BQG25" s="84"/>
      <c r="BQK25" s="84"/>
      <c r="BQO25" s="84"/>
      <c r="BQS25" s="84"/>
      <c r="BQW25" s="84"/>
      <c r="BRA25" s="84"/>
      <c r="BRE25" s="84"/>
      <c r="BRI25" s="84"/>
      <c r="BRM25" s="84"/>
      <c r="BRQ25" s="84"/>
      <c r="BRU25" s="84"/>
      <c r="BRY25" s="84"/>
      <c r="BSC25" s="84"/>
      <c r="BSG25" s="84"/>
      <c r="BSK25" s="84"/>
      <c r="BSO25" s="84"/>
      <c r="BSS25" s="84"/>
      <c r="BSW25" s="84"/>
      <c r="BTA25" s="84"/>
      <c r="BTE25" s="84"/>
      <c r="BTI25" s="84"/>
      <c r="BTM25" s="84"/>
      <c r="BTQ25" s="84"/>
      <c r="BTU25" s="84"/>
      <c r="BTY25" s="84"/>
      <c r="BUC25" s="84"/>
      <c r="BUG25" s="84"/>
      <c r="BUK25" s="84"/>
      <c r="BUO25" s="84"/>
      <c r="BUS25" s="84"/>
      <c r="BUW25" s="84"/>
      <c r="BVA25" s="84"/>
      <c r="BVE25" s="84"/>
      <c r="BVI25" s="84"/>
      <c r="BVM25" s="84"/>
      <c r="BVQ25" s="84"/>
      <c r="BVU25" s="84"/>
      <c r="BVY25" s="84"/>
      <c r="BWC25" s="84"/>
      <c r="BWG25" s="84"/>
      <c r="BWK25" s="84"/>
      <c r="BWO25" s="84"/>
      <c r="BWS25" s="84"/>
      <c r="BWW25" s="84"/>
      <c r="BXA25" s="84"/>
      <c r="BXE25" s="84"/>
      <c r="BXI25" s="84"/>
      <c r="BXM25" s="84"/>
      <c r="BXQ25" s="84"/>
      <c r="BXU25" s="84"/>
      <c r="BXY25" s="84"/>
      <c r="BYC25" s="84"/>
      <c r="BYG25" s="84"/>
      <c r="BYK25" s="84"/>
      <c r="BYO25" s="84"/>
      <c r="BYS25" s="84"/>
      <c r="BYW25" s="84"/>
      <c r="BZA25" s="84"/>
      <c r="BZE25" s="84"/>
      <c r="BZI25" s="84"/>
      <c r="BZM25" s="84"/>
      <c r="BZQ25" s="84"/>
      <c r="BZU25" s="84"/>
      <c r="BZY25" s="84"/>
      <c r="CAC25" s="84"/>
      <c r="CAG25" s="84"/>
      <c r="CAK25" s="84"/>
      <c r="CAO25" s="84"/>
      <c r="CAS25" s="84"/>
      <c r="CAW25" s="84"/>
      <c r="CBA25" s="84"/>
      <c r="CBE25" s="84"/>
      <c r="CBI25" s="84"/>
      <c r="CBM25" s="84"/>
      <c r="CBQ25" s="84"/>
      <c r="CBU25" s="84"/>
      <c r="CBY25" s="84"/>
      <c r="CCC25" s="84"/>
      <c r="CCG25" s="84"/>
      <c r="CCK25" s="84"/>
      <c r="CCO25" s="84"/>
      <c r="CCS25" s="84"/>
      <c r="CCW25" s="84"/>
      <c r="CDA25" s="84"/>
      <c r="CDE25" s="84"/>
      <c r="CDI25" s="84"/>
      <c r="CDM25" s="84"/>
      <c r="CDQ25" s="84"/>
      <c r="CDU25" s="84"/>
      <c r="CDY25" s="84"/>
      <c r="CEC25" s="84"/>
      <c r="CEG25" s="84"/>
      <c r="CEK25" s="84"/>
      <c r="CEO25" s="84"/>
      <c r="CES25" s="84"/>
      <c r="CEW25" s="84"/>
      <c r="CFA25" s="84"/>
      <c r="CFE25" s="84"/>
      <c r="CFI25" s="84"/>
      <c r="CFM25" s="84"/>
      <c r="CFQ25" s="84"/>
      <c r="CFU25" s="84"/>
      <c r="CFY25" s="84"/>
      <c r="CGC25" s="84"/>
      <c r="CGG25" s="84"/>
      <c r="CGK25" s="84"/>
      <c r="CGO25" s="84"/>
      <c r="CGS25" s="84"/>
      <c r="CGW25" s="84"/>
      <c r="CHA25" s="84"/>
      <c r="CHE25" s="84"/>
      <c r="CHI25" s="84"/>
      <c r="CHM25" s="84"/>
      <c r="CHQ25" s="84"/>
      <c r="CHU25" s="84"/>
      <c r="CHY25" s="84"/>
      <c r="CIC25" s="84"/>
      <c r="CIG25" s="84"/>
      <c r="CIK25" s="84"/>
      <c r="CIO25" s="84"/>
      <c r="CIS25" s="84"/>
      <c r="CIW25" s="84"/>
      <c r="CJA25" s="84"/>
      <c r="CJE25" s="84"/>
      <c r="CJI25" s="84"/>
      <c r="CJM25" s="84"/>
      <c r="CJQ25" s="84"/>
      <c r="CJU25" s="84"/>
      <c r="CJY25" s="84"/>
      <c r="CKC25" s="84"/>
      <c r="CKG25" s="84"/>
      <c r="CKK25" s="84"/>
      <c r="CKO25" s="84"/>
      <c r="CKS25" s="84"/>
      <c r="CKW25" s="84"/>
      <c r="CLA25" s="84"/>
      <c r="CLE25" s="84"/>
      <c r="CLI25" s="84"/>
      <c r="CLM25" s="84"/>
      <c r="CLQ25" s="84"/>
      <c r="CLU25" s="84"/>
      <c r="CLY25" s="84"/>
      <c r="CMC25" s="84"/>
      <c r="CMG25" s="84"/>
      <c r="CMK25" s="84"/>
      <c r="CMO25" s="84"/>
      <c r="CMS25" s="84"/>
      <c r="CMW25" s="84"/>
      <c r="CNA25" s="84"/>
      <c r="CNE25" s="84"/>
      <c r="CNI25" s="84"/>
      <c r="CNM25" s="84"/>
      <c r="CNQ25" s="84"/>
      <c r="CNU25" s="84"/>
      <c r="CNY25" s="84"/>
      <c r="COC25" s="84"/>
      <c r="COG25" s="84"/>
      <c r="COK25" s="84"/>
      <c r="COO25" s="84"/>
      <c r="COS25" s="84"/>
      <c r="COW25" s="84"/>
      <c r="CPA25" s="84"/>
      <c r="CPE25" s="84"/>
      <c r="CPI25" s="84"/>
      <c r="CPM25" s="84"/>
      <c r="CPQ25" s="84"/>
      <c r="CPU25" s="84"/>
      <c r="CPY25" s="84"/>
      <c r="CQC25" s="84"/>
      <c r="CQG25" s="84"/>
      <c r="CQK25" s="84"/>
      <c r="CQO25" s="84"/>
      <c r="CQS25" s="84"/>
      <c r="CQW25" s="84"/>
      <c r="CRA25" s="84"/>
      <c r="CRE25" s="84"/>
      <c r="CRI25" s="84"/>
      <c r="CRM25" s="84"/>
      <c r="CRQ25" s="84"/>
      <c r="CRU25" s="84"/>
      <c r="CRY25" s="84"/>
      <c r="CSC25" s="84"/>
      <c r="CSG25" s="84"/>
      <c r="CSK25" s="84"/>
      <c r="CSO25" s="84"/>
      <c r="CSS25" s="84"/>
      <c r="CSW25" s="84"/>
      <c r="CTA25" s="84"/>
      <c r="CTE25" s="84"/>
      <c r="CTI25" s="84"/>
      <c r="CTM25" s="84"/>
      <c r="CTQ25" s="84"/>
      <c r="CTU25" s="84"/>
      <c r="CTY25" s="84"/>
      <c r="CUC25" s="84"/>
      <c r="CUG25" s="84"/>
      <c r="CUK25" s="84"/>
      <c r="CUO25" s="84"/>
      <c r="CUS25" s="84"/>
      <c r="CUW25" s="84"/>
      <c r="CVA25" s="84"/>
      <c r="CVE25" s="84"/>
      <c r="CVI25" s="84"/>
      <c r="CVM25" s="84"/>
      <c r="CVQ25" s="84"/>
      <c r="CVU25" s="84"/>
      <c r="CVY25" s="84"/>
      <c r="CWC25" s="84"/>
      <c r="CWG25" s="84"/>
      <c r="CWK25" s="84"/>
      <c r="CWO25" s="84"/>
      <c r="CWS25" s="84"/>
      <c r="CWW25" s="84"/>
      <c r="CXA25" s="84"/>
      <c r="CXE25" s="84"/>
      <c r="CXI25" s="84"/>
      <c r="CXM25" s="84"/>
      <c r="CXQ25" s="84"/>
      <c r="CXU25" s="84"/>
      <c r="CXY25" s="84"/>
      <c r="CYC25" s="84"/>
      <c r="CYG25" s="84"/>
      <c r="CYK25" s="84"/>
      <c r="CYO25" s="84"/>
      <c r="CYS25" s="84"/>
      <c r="CYW25" s="84"/>
      <c r="CZA25" s="84"/>
      <c r="CZE25" s="84"/>
      <c r="CZI25" s="84"/>
      <c r="CZM25" s="84"/>
      <c r="CZQ25" s="84"/>
      <c r="CZU25" s="84"/>
      <c r="CZY25" s="84"/>
      <c r="DAC25" s="84"/>
      <c r="DAG25" s="84"/>
      <c r="DAK25" s="84"/>
      <c r="DAO25" s="84"/>
      <c r="DAS25" s="84"/>
      <c r="DAW25" s="84"/>
      <c r="DBA25" s="84"/>
      <c r="DBE25" s="84"/>
      <c r="DBI25" s="84"/>
      <c r="DBM25" s="84"/>
      <c r="DBQ25" s="84"/>
      <c r="DBU25" s="84"/>
      <c r="DBY25" s="84"/>
      <c r="DCC25" s="84"/>
      <c r="DCG25" s="84"/>
      <c r="DCK25" s="84"/>
      <c r="DCO25" s="84"/>
      <c r="DCS25" s="84"/>
      <c r="DCW25" s="84"/>
      <c r="DDA25" s="84"/>
      <c r="DDE25" s="84"/>
      <c r="DDI25" s="84"/>
      <c r="DDM25" s="84"/>
      <c r="DDQ25" s="84"/>
      <c r="DDU25" s="84"/>
      <c r="DDY25" s="84"/>
      <c r="DEC25" s="84"/>
      <c r="DEG25" s="84"/>
      <c r="DEK25" s="84"/>
      <c r="DEO25" s="84"/>
      <c r="DES25" s="84"/>
      <c r="DEW25" s="84"/>
      <c r="DFA25" s="84"/>
      <c r="DFE25" s="84"/>
      <c r="DFI25" s="84"/>
      <c r="DFM25" s="84"/>
      <c r="DFQ25" s="84"/>
      <c r="DFU25" s="84"/>
      <c r="DFY25" s="84"/>
      <c r="DGC25" s="84"/>
      <c r="DGG25" s="84"/>
      <c r="DGK25" s="84"/>
      <c r="DGO25" s="84"/>
      <c r="DGS25" s="84"/>
      <c r="DGW25" s="84"/>
      <c r="DHA25" s="84"/>
      <c r="DHE25" s="84"/>
      <c r="DHI25" s="84"/>
      <c r="DHM25" s="84"/>
      <c r="DHQ25" s="84"/>
      <c r="DHU25" s="84"/>
      <c r="DHY25" s="84"/>
      <c r="DIC25" s="84"/>
      <c r="DIG25" s="84"/>
      <c r="DIK25" s="84"/>
      <c r="DIO25" s="84"/>
      <c r="DIS25" s="84"/>
      <c r="DIW25" s="84"/>
      <c r="DJA25" s="84"/>
      <c r="DJE25" s="84"/>
      <c r="DJI25" s="84"/>
      <c r="DJM25" s="84"/>
      <c r="DJQ25" s="84"/>
      <c r="DJU25" s="84"/>
      <c r="DJY25" s="84"/>
      <c r="DKC25" s="84"/>
      <c r="DKG25" s="84"/>
      <c r="DKK25" s="84"/>
      <c r="DKO25" s="84"/>
      <c r="DKS25" s="84"/>
      <c r="DKW25" s="84"/>
      <c r="DLA25" s="84"/>
      <c r="DLE25" s="84"/>
      <c r="DLI25" s="84"/>
      <c r="DLM25" s="84"/>
      <c r="DLQ25" s="84"/>
      <c r="DLU25" s="84"/>
      <c r="DLY25" s="84"/>
      <c r="DMC25" s="84"/>
      <c r="DMG25" s="84"/>
      <c r="DMK25" s="84"/>
      <c r="DMO25" s="84"/>
      <c r="DMS25" s="84"/>
      <c r="DMW25" s="84"/>
      <c r="DNA25" s="84"/>
      <c r="DNE25" s="84"/>
      <c r="DNI25" s="84"/>
      <c r="DNM25" s="84"/>
      <c r="DNQ25" s="84"/>
      <c r="DNU25" s="84"/>
      <c r="DNY25" s="84"/>
      <c r="DOC25" s="84"/>
      <c r="DOG25" s="84"/>
      <c r="DOK25" s="84"/>
      <c r="DOO25" s="84"/>
      <c r="DOS25" s="84"/>
      <c r="DOW25" s="84"/>
      <c r="DPA25" s="84"/>
      <c r="DPE25" s="84"/>
      <c r="DPI25" s="84"/>
      <c r="DPM25" s="84"/>
      <c r="DPQ25" s="84"/>
      <c r="DPU25" s="84"/>
      <c r="DPY25" s="84"/>
      <c r="DQC25" s="84"/>
      <c r="DQG25" s="84"/>
      <c r="DQK25" s="84"/>
      <c r="DQO25" s="84"/>
      <c r="DQS25" s="84"/>
      <c r="DQW25" s="84"/>
      <c r="DRA25" s="84"/>
      <c r="DRE25" s="84"/>
      <c r="DRI25" s="84"/>
      <c r="DRM25" s="84"/>
      <c r="DRQ25" s="84"/>
      <c r="DRU25" s="84"/>
      <c r="DRY25" s="84"/>
      <c r="DSC25" s="84"/>
      <c r="DSG25" s="84"/>
      <c r="DSK25" s="84"/>
      <c r="DSO25" s="84"/>
      <c r="DSS25" s="84"/>
      <c r="DSW25" s="84"/>
      <c r="DTA25" s="84"/>
      <c r="DTE25" s="84"/>
      <c r="DTI25" s="84"/>
      <c r="DTM25" s="84"/>
      <c r="DTQ25" s="84"/>
      <c r="DTU25" s="84"/>
      <c r="DTY25" s="84"/>
      <c r="DUC25" s="84"/>
      <c r="DUG25" s="84"/>
      <c r="DUK25" s="84"/>
      <c r="DUO25" s="84"/>
      <c r="DUS25" s="84"/>
      <c r="DUW25" s="84"/>
      <c r="DVA25" s="84"/>
      <c r="DVE25" s="84"/>
      <c r="DVI25" s="84"/>
      <c r="DVM25" s="84"/>
      <c r="DVQ25" s="84"/>
      <c r="DVU25" s="84"/>
      <c r="DVY25" s="84"/>
      <c r="DWC25" s="84"/>
      <c r="DWG25" s="84"/>
      <c r="DWK25" s="84"/>
      <c r="DWO25" s="84"/>
      <c r="DWS25" s="84"/>
      <c r="DWW25" s="84"/>
      <c r="DXA25" s="84"/>
      <c r="DXE25" s="84"/>
      <c r="DXI25" s="84"/>
      <c r="DXM25" s="84"/>
      <c r="DXQ25" s="84"/>
      <c r="DXU25" s="84"/>
      <c r="DXY25" s="84"/>
      <c r="DYC25" s="84"/>
      <c r="DYG25" s="84"/>
      <c r="DYK25" s="84"/>
      <c r="DYO25" s="84"/>
      <c r="DYS25" s="84"/>
      <c r="DYW25" s="84"/>
      <c r="DZA25" s="84"/>
      <c r="DZE25" s="84"/>
      <c r="DZI25" s="84"/>
      <c r="DZM25" s="84"/>
      <c r="DZQ25" s="84"/>
      <c r="DZU25" s="84"/>
      <c r="DZY25" s="84"/>
      <c r="EAC25" s="84"/>
      <c r="EAG25" s="84"/>
      <c r="EAK25" s="84"/>
      <c r="EAO25" s="84"/>
      <c r="EAS25" s="84"/>
      <c r="EAW25" s="84"/>
      <c r="EBA25" s="84"/>
      <c r="EBE25" s="84"/>
      <c r="EBI25" s="84"/>
      <c r="EBM25" s="84"/>
      <c r="EBQ25" s="84"/>
      <c r="EBU25" s="84"/>
      <c r="EBY25" s="84"/>
      <c r="ECC25" s="84"/>
      <c r="ECG25" s="84"/>
      <c r="ECK25" s="84"/>
      <c r="ECO25" s="84"/>
      <c r="ECS25" s="84"/>
      <c r="ECW25" s="84"/>
      <c r="EDA25" s="84"/>
      <c r="EDE25" s="84"/>
      <c r="EDI25" s="84"/>
      <c r="EDM25" s="84"/>
      <c r="EDQ25" s="84"/>
      <c r="EDU25" s="84"/>
      <c r="EDY25" s="84"/>
      <c r="EEC25" s="84"/>
      <c r="EEG25" s="84"/>
      <c r="EEK25" s="84"/>
      <c r="EEO25" s="84"/>
      <c r="EES25" s="84"/>
      <c r="EEW25" s="84"/>
      <c r="EFA25" s="84"/>
      <c r="EFE25" s="84"/>
      <c r="EFI25" s="84"/>
      <c r="EFM25" s="84"/>
      <c r="EFQ25" s="84"/>
      <c r="EFU25" s="84"/>
      <c r="EFY25" s="84"/>
      <c r="EGC25" s="84"/>
      <c r="EGG25" s="84"/>
      <c r="EGK25" s="84"/>
      <c r="EGO25" s="84"/>
      <c r="EGS25" s="84"/>
      <c r="EGW25" s="84"/>
      <c r="EHA25" s="84"/>
      <c r="EHE25" s="84"/>
      <c r="EHI25" s="84"/>
      <c r="EHM25" s="84"/>
      <c r="EHQ25" s="84"/>
      <c r="EHU25" s="84"/>
      <c r="EHY25" s="84"/>
      <c r="EIC25" s="84"/>
      <c r="EIG25" s="84"/>
      <c r="EIK25" s="84"/>
      <c r="EIO25" s="84"/>
      <c r="EIS25" s="84"/>
      <c r="EIW25" s="84"/>
      <c r="EJA25" s="84"/>
      <c r="EJE25" s="84"/>
      <c r="EJI25" s="84"/>
      <c r="EJM25" s="84"/>
      <c r="EJQ25" s="84"/>
      <c r="EJU25" s="84"/>
      <c r="EJY25" s="84"/>
      <c r="EKC25" s="84"/>
      <c r="EKG25" s="84"/>
      <c r="EKK25" s="84"/>
      <c r="EKO25" s="84"/>
      <c r="EKS25" s="84"/>
      <c r="EKW25" s="84"/>
      <c r="ELA25" s="84"/>
      <c r="ELE25" s="84"/>
      <c r="ELI25" s="84"/>
      <c r="ELM25" s="84"/>
      <c r="ELQ25" s="84"/>
      <c r="ELU25" s="84"/>
      <c r="ELY25" s="84"/>
      <c r="EMC25" s="84"/>
      <c r="EMG25" s="84"/>
      <c r="EMK25" s="84"/>
      <c r="EMO25" s="84"/>
      <c r="EMS25" s="84"/>
      <c r="EMW25" s="84"/>
      <c r="ENA25" s="84"/>
      <c r="ENE25" s="84"/>
      <c r="ENI25" s="84"/>
      <c r="ENM25" s="84"/>
      <c r="ENQ25" s="84"/>
      <c r="ENU25" s="84"/>
      <c r="ENY25" s="84"/>
      <c r="EOC25" s="84"/>
      <c r="EOG25" s="84"/>
      <c r="EOK25" s="84"/>
      <c r="EOO25" s="84"/>
      <c r="EOS25" s="84"/>
      <c r="EOW25" s="84"/>
      <c r="EPA25" s="84"/>
      <c r="EPE25" s="84"/>
      <c r="EPI25" s="84"/>
      <c r="EPM25" s="84"/>
      <c r="EPQ25" s="84"/>
      <c r="EPU25" s="84"/>
      <c r="EPY25" s="84"/>
      <c r="EQC25" s="84"/>
      <c r="EQG25" s="84"/>
      <c r="EQK25" s="84"/>
      <c r="EQO25" s="84"/>
      <c r="EQS25" s="84"/>
      <c r="EQW25" s="84"/>
      <c r="ERA25" s="84"/>
      <c r="ERE25" s="84"/>
      <c r="ERI25" s="84"/>
      <c r="ERM25" s="84"/>
      <c r="ERQ25" s="84"/>
      <c r="ERU25" s="84"/>
      <c r="ERY25" s="84"/>
      <c r="ESC25" s="84"/>
      <c r="ESG25" s="84"/>
      <c r="ESK25" s="84"/>
      <c r="ESO25" s="84"/>
      <c r="ESS25" s="84"/>
      <c r="ESW25" s="84"/>
      <c r="ETA25" s="84"/>
      <c r="ETE25" s="84"/>
      <c r="ETI25" s="84"/>
      <c r="ETM25" s="84"/>
      <c r="ETQ25" s="84"/>
      <c r="ETU25" s="84"/>
      <c r="ETY25" s="84"/>
      <c r="EUC25" s="84"/>
      <c r="EUG25" s="84"/>
      <c r="EUK25" s="84"/>
      <c r="EUO25" s="84"/>
      <c r="EUS25" s="84"/>
      <c r="EUW25" s="84"/>
      <c r="EVA25" s="84"/>
      <c r="EVE25" s="84"/>
      <c r="EVI25" s="84"/>
      <c r="EVM25" s="84"/>
      <c r="EVQ25" s="84"/>
      <c r="EVU25" s="84"/>
      <c r="EVY25" s="84"/>
      <c r="EWC25" s="84"/>
      <c r="EWG25" s="84"/>
      <c r="EWK25" s="84"/>
      <c r="EWO25" s="84"/>
      <c r="EWS25" s="84"/>
      <c r="EWW25" s="84"/>
      <c r="EXA25" s="84"/>
      <c r="EXE25" s="84"/>
      <c r="EXI25" s="84"/>
      <c r="EXM25" s="84"/>
      <c r="EXQ25" s="84"/>
      <c r="EXU25" s="84"/>
      <c r="EXY25" s="84"/>
      <c r="EYC25" s="84"/>
      <c r="EYG25" s="84"/>
      <c r="EYK25" s="84"/>
      <c r="EYO25" s="84"/>
      <c r="EYS25" s="84"/>
      <c r="EYW25" s="84"/>
      <c r="EZA25" s="84"/>
      <c r="EZE25" s="84"/>
      <c r="EZI25" s="84"/>
      <c r="EZM25" s="84"/>
      <c r="EZQ25" s="84"/>
      <c r="EZU25" s="84"/>
      <c r="EZY25" s="84"/>
      <c r="FAC25" s="84"/>
      <c r="FAG25" s="84"/>
      <c r="FAK25" s="84"/>
      <c r="FAO25" s="84"/>
      <c r="FAS25" s="84"/>
      <c r="FAW25" s="84"/>
      <c r="FBA25" s="84"/>
      <c r="FBE25" s="84"/>
      <c r="FBI25" s="84"/>
      <c r="FBM25" s="84"/>
      <c r="FBQ25" s="84"/>
      <c r="FBU25" s="84"/>
      <c r="FBY25" s="84"/>
      <c r="FCC25" s="84"/>
      <c r="FCG25" s="84"/>
      <c r="FCK25" s="84"/>
      <c r="FCO25" s="84"/>
      <c r="FCS25" s="84"/>
      <c r="FCW25" s="84"/>
      <c r="FDA25" s="84"/>
      <c r="FDE25" s="84"/>
      <c r="FDI25" s="84"/>
      <c r="FDM25" s="84"/>
      <c r="FDQ25" s="84"/>
      <c r="FDU25" s="84"/>
      <c r="FDY25" s="84"/>
      <c r="FEC25" s="84"/>
      <c r="FEG25" s="84"/>
      <c r="FEK25" s="84"/>
      <c r="FEO25" s="84"/>
      <c r="FES25" s="84"/>
      <c r="FEW25" s="84"/>
      <c r="FFA25" s="84"/>
      <c r="FFE25" s="84"/>
      <c r="FFI25" s="84"/>
      <c r="FFM25" s="84"/>
      <c r="FFQ25" s="84"/>
      <c r="FFU25" s="84"/>
      <c r="FFY25" s="84"/>
      <c r="FGC25" s="84"/>
      <c r="FGG25" s="84"/>
      <c r="FGK25" s="84"/>
      <c r="FGO25" s="84"/>
      <c r="FGS25" s="84"/>
      <c r="FGW25" s="84"/>
      <c r="FHA25" s="84"/>
      <c r="FHE25" s="84"/>
      <c r="FHI25" s="84"/>
      <c r="FHM25" s="84"/>
      <c r="FHQ25" s="84"/>
      <c r="FHU25" s="84"/>
      <c r="FHY25" s="84"/>
      <c r="FIC25" s="84"/>
      <c r="FIG25" s="84"/>
      <c r="FIK25" s="84"/>
      <c r="FIO25" s="84"/>
      <c r="FIS25" s="84"/>
      <c r="FIW25" s="84"/>
      <c r="FJA25" s="84"/>
      <c r="FJE25" s="84"/>
      <c r="FJI25" s="84"/>
      <c r="FJM25" s="84"/>
      <c r="FJQ25" s="84"/>
      <c r="FJU25" s="84"/>
      <c r="FJY25" s="84"/>
      <c r="FKC25" s="84"/>
      <c r="FKG25" s="84"/>
      <c r="FKK25" s="84"/>
      <c r="FKO25" s="84"/>
      <c r="FKS25" s="84"/>
      <c r="FKW25" s="84"/>
      <c r="FLA25" s="84"/>
      <c r="FLE25" s="84"/>
      <c r="FLI25" s="84"/>
      <c r="FLM25" s="84"/>
      <c r="FLQ25" s="84"/>
      <c r="FLU25" s="84"/>
      <c r="FLY25" s="84"/>
      <c r="FMC25" s="84"/>
      <c r="FMG25" s="84"/>
      <c r="FMK25" s="84"/>
      <c r="FMO25" s="84"/>
      <c r="FMS25" s="84"/>
      <c r="FMW25" s="84"/>
      <c r="FNA25" s="84"/>
      <c r="FNE25" s="84"/>
      <c r="FNI25" s="84"/>
      <c r="FNM25" s="84"/>
      <c r="FNQ25" s="84"/>
      <c r="FNU25" s="84"/>
      <c r="FNY25" s="84"/>
      <c r="FOC25" s="84"/>
      <c r="FOG25" s="84"/>
      <c r="FOK25" s="84"/>
      <c r="FOO25" s="84"/>
      <c r="FOS25" s="84"/>
      <c r="FOW25" s="84"/>
      <c r="FPA25" s="84"/>
      <c r="FPE25" s="84"/>
      <c r="FPI25" s="84"/>
      <c r="FPM25" s="84"/>
      <c r="FPQ25" s="84"/>
      <c r="FPU25" s="84"/>
      <c r="FPY25" s="84"/>
      <c r="FQC25" s="84"/>
      <c r="FQG25" s="84"/>
      <c r="FQK25" s="84"/>
      <c r="FQO25" s="84"/>
      <c r="FQS25" s="84"/>
      <c r="FQW25" s="84"/>
      <c r="FRA25" s="84"/>
      <c r="FRE25" s="84"/>
      <c r="FRI25" s="84"/>
      <c r="FRM25" s="84"/>
      <c r="FRQ25" s="84"/>
      <c r="FRU25" s="84"/>
      <c r="FRY25" s="84"/>
      <c r="FSC25" s="84"/>
      <c r="FSG25" s="84"/>
      <c r="FSK25" s="84"/>
      <c r="FSO25" s="84"/>
      <c r="FSS25" s="84"/>
      <c r="FSW25" s="84"/>
      <c r="FTA25" s="84"/>
      <c r="FTE25" s="84"/>
      <c r="FTI25" s="84"/>
      <c r="FTM25" s="84"/>
      <c r="FTQ25" s="84"/>
      <c r="FTU25" s="84"/>
      <c r="FTY25" s="84"/>
      <c r="FUC25" s="84"/>
      <c r="FUG25" s="84"/>
      <c r="FUK25" s="84"/>
      <c r="FUO25" s="84"/>
      <c r="FUS25" s="84"/>
      <c r="FUW25" s="84"/>
      <c r="FVA25" s="84"/>
      <c r="FVE25" s="84"/>
      <c r="FVI25" s="84"/>
      <c r="FVM25" s="84"/>
      <c r="FVQ25" s="84"/>
      <c r="FVU25" s="84"/>
      <c r="FVY25" s="84"/>
      <c r="FWC25" s="84"/>
      <c r="FWG25" s="84"/>
      <c r="FWK25" s="84"/>
      <c r="FWO25" s="84"/>
      <c r="FWS25" s="84"/>
      <c r="FWW25" s="84"/>
      <c r="FXA25" s="84"/>
      <c r="FXE25" s="84"/>
      <c r="FXI25" s="84"/>
      <c r="FXM25" s="84"/>
      <c r="FXQ25" s="84"/>
      <c r="FXU25" s="84"/>
      <c r="FXY25" s="84"/>
      <c r="FYC25" s="84"/>
      <c r="FYG25" s="84"/>
      <c r="FYK25" s="84"/>
      <c r="FYO25" s="84"/>
      <c r="FYS25" s="84"/>
      <c r="FYW25" s="84"/>
      <c r="FZA25" s="84"/>
      <c r="FZE25" s="84"/>
      <c r="FZI25" s="84"/>
      <c r="FZM25" s="84"/>
      <c r="FZQ25" s="84"/>
      <c r="FZU25" s="84"/>
      <c r="FZY25" s="84"/>
      <c r="GAC25" s="84"/>
      <c r="GAG25" s="84"/>
      <c r="GAK25" s="84"/>
      <c r="GAO25" s="84"/>
      <c r="GAS25" s="84"/>
      <c r="GAW25" s="84"/>
      <c r="GBA25" s="84"/>
      <c r="GBE25" s="84"/>
      <c r="GBI25" s="84"/>
      <c r="GBM25" s="84"/>
      <c r="GBQ25" s="84"/>
      <c r="GBU25" s="84"/>
      <c r="GBY25" s="84"/>
      <c r="GCC25" s="84"/>
      <c r="GCG25" s="84"/>
      <c r="GCK25" s="84"/>
      <c r="GCO25" s="84"/>
      <c r="GCS25" s="84"/>
      <c r="GCW25" s="84"/>
      <c r="GDA25" s="84"/>
      <c r="GDE25" s="84"/>
      <c r="GDI25" s="84"/>
      <c r="GDM25" s="84"/>
      <c r="GDQ25" s="84"/>
      <c r="GDU25" s="84"/>
      <c r="GDY25" s="84"/>
      <c r="GEC25" s="84"/>
      <c r="GEG25" s="84"/>
      <c r="GEK25" s="84"/>
      <c r="GEO25" s="84"/>
      <c r="GES25" s="84"/>
      <c r="GEW25" s="84"/>
      <c r="GFA25" s="84"/>
      <c r="GFE25" s="84"/>
      <c r="GFI25" s="84"/>
      <c r="GFM25" s="84"/>
      <c r="GFQ25" s="84"/>
      <c r="GFU25" s="84"/>
      <c r="GFY25" s="84"/>
      <c r="GGC25" s="84"/>
      <c r="GGG25" s="84"/>
      <c r="GGK25" s="84"/>
      <c r="GGO25" s="84"/>
      <c r="GGS25" s="84"/>
      <c r="GGW25" s="84"/>
      <c r="GHA25" s="84"/>
      <c r="GHE25" s="84"/>
      <c r="GHI25" s="84"/>
      <c r="GHM25" s="84"/>
      <c r="GHQ25" s="84"/>
      <c r="GHU25" s="84"/>
      <c r="GHY25" s="84"/>
      <c r="GIC25" s="84"/>
      <c r="GIG25" s="84"/>
      <c r="GIK25" s="84"/>
      <c r="GIO25" s="84"/>
      <c r="GIS25" s="84"/>
      <c r="GIW25" s="84"/>
      <c r="GJA25" s="84"/>
      <c r="GJE25" s="84"/>
      <c r="GJI25" s="84"/>
      <c r="GJM25" s="84"/>
      <c r="GJQ25" s="84"/>
      <c r="GJU25" s="84"/>
      <c r="GJY25" s="84"/>
      <c r="GKC25" s="84"/>
      <c r="GKG25" s="84"/>
      <c r="GKK25" s="84"/>
      <c r="GKO25" s="84"/>
      <c r="GKS25" s="84"/>
      <c r="GKW25" s="84"/>
      <c r="GLA25" s="84"/>
      <c r="GLE25" s="84"/>
      <c r="GLI25" s="84"/>
      <c r="GLM25" s="84"/>
      <c r="GLQ25" s="84"/>
      <c r="GLU25" s="84"/>
      <c r="GLY25" s="84"/>
      <c r="GMC25" s="84"/>
      <c r="GMG25" s="84"/>
      <c r="GMK25" s="84"/>
      <c r="GMO25" s="84"/>
      <c r="GMS25" s="84"/>
      <c r="GMW25" s="84"/>
      <c r="GNA25" s="84"/>
      <c r="GNE25" s="84"/>
      <c r="GNI25" s="84"/>
      <c r="GNM25" s="84"/>
      <c r="GNQ25" s="84"/>
      <c r="GNU25" s="84"/>
      <c r="GNY25" s="84"/>
      <c r="GOC25" s="84"/>
      <c r="GOG25" s="84"/>
      <c r="GOK25" s="84"/>
      <c r="GOO25" s="84"/>
      <c r="GOS25" s="84"/>
      <c r="GOW25" s="84"/>
      <c r="GPA25" s="84"/>
      <c r="GPE25" s="84"/>
      <c r="GPI25" s="84"/>
      <c r="GPM25" s="84"/>
      <c r="GPQ25" s="84"/>
      <c r="GPU25" s="84"/>
      <c r="GPY25" s="84"/>
      <c r="GQC25" s="84"/>
      <c r="GQG25" s="84"/>
      <c r="GQK25" s="84"/>
      <c r="GQO25" s="84"/>
      <c r="GQS25" s="84"/>
      <c r="GQW25" s="84"/>
      <c r="GRA25" s="84"/>
      <c r="GRE25" s="84"/>
      <c r="GRI25" s="84"/>
      <c r="GRM25" s="84"/>
      <c r="GRQ25" s="84"/>
      <c r="GRU25" s="84"/>
      <c r="GRY25" s="84"/>
      <c r="GSC25" s="84"/>
      <c r="GSG25" s="84"/>
      <c r="GSK25" s="84"/>
      <c r="GSO25" s="84"/>
      <c r="GSS25" s="84"/>
      <c r="GSW25" s="84"/>
      <c r="GTA25" s="84"/>
      <c r="GTE25" s="84"/>
      <c r="GTI25" s="84"/>
      <c r="GTM25" s="84"/>
      <c r="GTQ25" s="84"/>
      <c r="GTU25" s="84"/>
      <c r="GTY25" s="84"/>
      <c r="GUC25" s="84"/>
      <c r="GUG25" s="84"/>
      <c r="GUK25" s="84"/>
      <c r="GUO25" s="84"/>
      <c r="GUS25" s="84"/>
      <c r="GUW25" s="84"/>
      <c r="GVA25" s="84"/>
      <c r="GVE25" s="84"/>
      <c r="GVI25" s="84"/>
      <c r="GVM25" s="84"/>
      <c r="GVQ25" s="84"/>
      <c r="GVU25" s="84"/>
      <c r="GVY25" s="84"/>
      <c r="GWC25" s="84"/>
      <c r="GWG25" s="84"/>
      <c r="GWK25" s="84"/>
      <c r="GWO25" s="84"/>
      <c r="GWS25" s="84"/>
      <c r="GWW25" s="84"/>
      <c r="GXA25" s="84"/>
      <c r="GXE25" s="84"/>
      <c r="GXI25" s="84"/>
      <c r="GXM25" s="84"/>
      <c r="GXQ25" s="84"/>
      <c r="GXU25" s="84"/>
      <c r="GXY25" s="84"/>
      <c r="GYC25" s="84"/>
      <c r="GYG25" s="84"/>
      <c r="GYK25" s="84"/>
      <c r="GYO25" s="84"/>
      <c r="GYS25" s="84"/>
      <c r="GYW25" s="84"/>
      <c r="GZA25" s="84"/>
      <c r="GZE25" s="84"/>
      <c r="GZI25" s="84"/>
      <c r="GZM25" s="84"/>
      <c r="GZQ25" s="84"/>
      <c r="GZU25" s="84"/>
      <c r="GZY25" s="84"/>
      <c r="HAC25" s="84"/>
      <c r="HAG25" s="84"/>
      <c r="HAK25" s="84"/>
      <c r="HAO25" s="84"/>
      <c r="HAS25" s="84"/>
      <c r="HAW25" s="84"/>
      <c r="HBA25" s="84"/>
      <c r="HBE25" s="84"/>
      <c r="HBI25" s="84"/>
      <c r="HBM25" s="84"/>
      <c r="HBQ25" s="84"/>
      <c r="HBU25" s="84"/>
      <c r="HBY25" s="84"/>
      <c r="HCC25" s="84"/>
      <c r="HCG25" s="84"/>
      <c r="HCK25" s="84"/>
      <c r="HCO25" s="84"/>
      <c r="HCS25" s="84"/>
      <c r="HCW25" s="84"/>
      <c r="HDA25" s="84"/>
      <c r="HDE25" s="84"/>
      <c r="HDI25" s="84"/>
      <c r="HDM25" s="84"/>
      <c r="HDQ25" s="84"/>
      <c r="HDU25" s="84"/>
      <c r="HDY25" s="84"/>
      <c r="HEC25" s="84"/>
      <c r="HEG25" s="84"/>
      <c r="HEK25" s="84"/>
      <c r="HEO25" s="84"/>
      <c r="HES25" s="84"/>
      <c r="HEW25" s="84"/>
      <c r="HFA25" s="84"/>
      <c r="HFE25" s="84"/>
      <c r="HFI25" s="84"/>
      <c r="HFM25" s="84"/>
      <c r="HFQ25" s="84"/>
      <c r="HFU25" s="84"/>
      <c r="HFY25" s="84"/>
      <c r="HGC25" s="84"/>
      <c r="HGG25" s="84"/>
      <c r="HGK25" s="84"/>
      <c r="HGO25" s="84"/>
      <c r="HGS25" s="84"/>
      <c r="HGW25" s="84"/>
      <c r="HHA25" s="84"/>
      <c r="HHE25" s="84"/>
      <c r="HHI25" s="84"/>
      <c r="HHM25" s="84"/>
      <c r="HHQ25" s="84"/>
      <c r="HHU25" s="84"/>
      <c r="HHY25" s="84"/>
      <c r="HIC25" s="84"/>
      <c r="HIG25" s="84"/>
      <c r="HIK25" s="84"/>
      <c r="HIO25" s="84"/>
      <c r="HIS25" s="84"/>
      <c r="HIW25" s="84"/>
      <c r="HJA25" s="84"/>
      <c r="HJE25" s="84"/>
      <c r="HJI25" s="84"/>
      <c r="HJM25" s="84"/>
      <c r="HJQ25" s="84"/>
      <c r="HJU25" s="84"/>
      <c r="HJY25" s="84"/>
      <c r="HKC25" s="84"/>
      <c r="HKG25" s="84"/>
      <c r="HKK25" s="84"/>
      <c r="HKO25" s="84"/>
      <c r="HKS25" s="84"/>
      <c r="HKW25" s="84"/>
      <c r="HLA25" s="84"/>
      <c r="HLE25" s="84"/>
      <c r="HLI25" s="84"/>
      <c r="HLM25" s="84"/>
      <c r="HLQ25" s="84"/>
      <c r="HLU25" s="84"/>
      <c r="HLY25" s="84"/>
      <c r="HMC25" s="84"/>
      <c r="HMG25" s="84"/>
      <c r="HMK25" s="84"/>
      <c r="HMO25" s="84"/>
      <c r="HMS25" s="84"/>
      <c r="HMW25" s="84"/>
      <c r="HNA25" s="84"/>
      <c r="HNE25" s="84"/>
      <c r="HNI25" s="84"/>
      <c r="HNM25" s="84"/>
      <c r="HNQ25" s="84"/>
      <c r="HNU25" s="84"/>
      <c r="HNY25" s="84"/>
      <c r="HOC25" s="84"/>
      <c r="HOG25" s="84"/>
      <c r="HOK25" s="84"/>
      <c r="HOO25" s="84"/>
      <c r="HOS25" s="84"/>
      <c r="HOW25" s="84"/>
      <c r="HPA25" s="84"/>
      <c r="HPE25" s="84"/>
      <c r="HPI25" s="84"/>
      <c r="HPM25" s="84"/>
      <c r="HPQ25" s="84"/>
      <c r="HPU25" s="84"/>
      <c r="HPY25" s="84"/>
      <c r="HQC25" s="84"/>
      <c r="HQG25" s="84"/>
      <c r="HQK25" s="84"/>
      <c r="HQO25" s="84"/>
      <c r="HQS25" s="84"/>
      <c r="HQW25" s="84"/>
      <c r="HRA25" s="84"/>
      <c r="HRE25" s="84"/>
      <c r="HRI25" s="84"/>
      <c r="HRM25" s="84"/>
      <c r="HRQ25" s="84"/>
      <c r="HRU25" s="84"/>
      <c r="HRY25" s="84"/>
      <c r="HSC25" s="84"/>
      <c r="HSG25" s="84"/>
      <c r="HSK25" s="84"/>
      <c r="HSO25" s="84"/>
      <c r="HSS25" s="84"/>
      <c r="HSW25" s="84"/>
      <c r="HTA25" s="84"/>
      <c r="HTE25" s="84"/>
      <c r="HTI25" s="84"/>
      <c r="HTM25" s="84"/>
      <c r="HTQ25" s="84"/>
      <c r="HTU25" s="84"/>
      <c r="HTY25" s="84"/>
      <c r="HUC25" s="84"/>
      <c r="HUG25" s="84"/>
      <c r="HUK25" s="84"/>
      <c r="HUO25" s="84"/>
      <c r="HUS25" s="84"/>
      <c r="HUW25" s="84"/>
      <c r="HVA25" s="84"/>
      <c r="HVE25" s="84"/>
      <c r="HVI25" s="84"/>
      <c r="HVM25" s="84"/>
      <c r="HVQ25" s="84"/>
      <c r="HVU25" s="84"/>
      <c r="HVY25" s="84"/>
      <c r="HWC25" s="84"/>
      <c r="HWG25" s="84"/>
      <c r="HWK25" s="84"/>
      <c r="HWO25" s="84"/>
      <c r="HWS25" s="84"/>
      <c r="HWW25" s="84"/>
      <c r="HXA25" s="84"/>
      <c r="HXE25" s="84"/>
      <c r="HXI25" s="84"/>
      <c r="HXM25" s="84"/>
      <c r="HXQ25" s="84"/>
      <c r="HXU25" s="84"/>
      <c r="HXY25" s="84"/>
      <c r="HYC25" s="84"/>
      <c r="HYG25" s="84"/>
      <c r="HYK25" s="84"/>
      <c r="HYO25" s="84"/>
      <c r="HYS25" s="84"/>
      <c r="HYW25" s="84"/>
      <c r="HZA25" s="84"/>
      <c r="HZE25" s="84"/>
      <c r="HZI25" s="84"/>
      <c r="HZM25" s="84"/>
      <c r="HZQ25" s="84"/>
      <c r="HZU25" s="84"/>
      <c r="HZY25" s="84"/>
      <c r="IAC25" s="84"/>
      <c r="IAG25" s="84"/>
      <c r="IAK25" s="84"/>
      <c r="IAO25" s="84"/>
      <c r="IAS25" s="84"/>
      <c r="IAW25" s="84"/>
      <c r="IBA25" s="84"/>
      <c r="IBE25" s="84"/>
      <c r="IBI25" s="84"/>
      <c r="IBM25" s="84"/>
      <c r="IBQ25" s="84"/>
      <c r="IBU25" s="84"/>
      <c r="IBY25" s="84"/>
      <c r="ICC25" s="84"/>
      <c r="ICG25" s="84"/>
      <c r="ICK25" s="84"/>
      <c r="ICO25" s="84"/>
      <c r="ICS25" s="84"/>
      <c r="ICW25" s="84"/>
      <c r="IDA25" s="84"/>
      <c r="IDE25" s="84"/>
      <c r="IDI25" s="84"/>
      <c r="IDM25" s="84"/>
      <c r="IDQ25" s="84"/>
      <c r="IDU25" s="84"/>
      <c r="IDY25" s="84"/>
      <c r="IEC25" s="84"/>
      <c r="IEG25" s="84"/>
      <c r="IEK25" s="84"/>
      <c r="IEO25" s="84"/>
      <c r="IES25" s="84"/>
      <c r="IEW25" s="84"/>
      <c r="IFA25" s="84"/>
      <c r="IFE25" s="84"/>
      <c r="IFI25" s="84"/>
      <c r="IFM25" s="84"/>
      <c r="IFQ25" s="84"/>
      <c r="IFU25" s="84"/>
      <c r="IFY25" s="84"/>
      <c r="IGC25" s="84"/>
      <c r="IGG25" s="84"/>
      <c r="IGK25" s="84"/>
      <c r="IGO25" s="84"/>
      <c r="IGS25" s="84"/>
      <c r="IGW25" s="84"/>
      <c r="IHA25" s="84"/>
      <c r="IHE25" s="84"/>
      <c r="IHI25" s="84"/>
      <c r="IHM25" s="84"/>
      <c r="IHQ25" s="84"/>
      <c r="IHU25" s="84"/>
      <c r="IHY25" s="84"/>
      <c r="IIC25" s="84"/>
      <c r="IIG25" s="84"/>
      <c r="IIK25" s="84"/>
      <c r="IIO25" s="84"/>
      <c r="IIS25" s="84"/>
      <c r="IIW25" s="84"/>
      <c r="IJA25" s="84"/>
      <c r="IJE25" s="84"/>
      <c r="IJI25" s="84"/>
      <c r="IJM25" s="84"/>
      <c r="IJQ25" s="84"/>
      <c r="IJU25" s="84"/>
      <c r="IJY25" s="84"/>
      <c r="IKC25" s="84"/>
      <c r="IKG25" s="84"/>
      <c r="IKK25" s="84"/>
      <c r="IKO25" s="84"/>
      <c r="IKS25" s="84"/>
      <c r="IKW25" s="84"/>
      <c r="ILA25" s="84"/>
      <c r="ILE25" s="84"/>
      <c r="ILI25" s="84"/>
      <c r="ILM25" s="84"/>
      <c r="ILQ25" s="84"/>
      <c r="ILU25" s="84"/>
      <c r="ILY25" s="84"/>
      <c r="IMC25" s="84"/>
      <c r="IMG25" s="84"/>
      <c r="IMK25" s="84"/>
      <c r="IMO25" s="84"/>
      <c r="IMS25" s="84"/>
      <c r="IMW25" s="84"/>
      <c r="INA25" s="84"/>
      <c r="INE25" s="84"/>
      <c r="INI25" s="84"/>
      <c r="INM25" s="84"/>
      <c r="INQ25" s="84"/>
      <c r="INU25" s="84"/>
      <c r="INY25" s="84"/>
      <c r="IOC25" s="84"/>
      <c r="IOG25" s="84"/>
      <c r="IOK25" s="84"/>
      <c r="IOO25" s="84"/>
      <c r="IOS25" s="84"/>
      <c r="IOW25" s="84"/>
      <c r="IPA25" s="84"/>
      <c r="IPE25" s="84"/>
      <c r="IPI25" s="84"/>
      <c r="IPM25" s="84"/>
      <c r="IPQ25" s="84"/>
      <c r="IPU25" s="84"/>
      <c r="IPY25" s="84"/>
      <c r="IQC25" s="84"/>
      <c r="IQG25" s="84"/>
      <c r="IQK25" s="84"/>
      <c r="IQO25" s="84"/>
      <c r="IQS25" s="84"/>
      <c r="IQW25" s="84"/>
      <c r="IRA25" s="84"/>
      <c r="IRE25" s="84"/>
      <c r="IRI25" s="84"/>
      <c r="IRM25" s="84"/>
      <c r="IRQ25" s="84"/>
      <c r="IRU25" s="84"/>
      <c r="IRY25" s="84"/>
      <c r="ISC25" s="84"/>
      <c r="ISG25" s="84"/>
      <c r="ISK25" s="84"/>
      <c r="ISO25" s="84"/>
      <c r="ISS25" s="84"/>
      <c r="ISW25" s="84"/>
      <c r="ITA25" s="84"/>
      <c r="ITE25" s="84"/>
      <c r="ITI25" s="84"/>
      <c r="ITM25" s="84"/>
      <c r="ITQ25" s="84"/>
      <c r="ITU25" s="84"/>
      <c r="ITY25" s="84"/>
      <c r="IUC25" s="84"/>
      <c r="IUG25" s="84"/>
      <c r="IUK25" s="84"/>
      <c r="IUO25" s="84"/>
      <c r="IUS25" s="84"/>
      <c r="IUW25" s="84"/>
      <c r="IVA25" s="84"/>
      <c r="IVE25" s="84"/>
      <c r="IVI25" s="84"/>
      <c r="IVM25" s="84"/>
      <c r="IVQ25" s="84"/>
      <c r="IVU25" s="84"/>
      <c r="IVY25" s="84"/>
      <c r="IWC25" s="84"/>
      <c r="IWG25" s="84"/>
      <c r="IWK25" s="84"/>
      <c r="IWO25" s="84"/>
      <c r="IWS25" s="84"/>
      <c r="IWW25" s="84"/>
      <c r="IXA25" s="84"/>
      <c r="IXE25" s="84"/>
      <c r="IXI25" s="84"/>
      <c r="IXM25" s="84"/>
      <c r="IXQ25" s="84"/>
      <c r="IXU25" s="84"/>
      <c r="IXY25" s="84"/>
      <c r="IYC25" s="84"/>
      <c r="IYG25" s="84"/>
      <c r="IYK25" s="84"/>
      <c r="IYO25" s="84"/>
      <c r="IYS25" s="84"/>
      <c r="IYW25" s="84"/>
      <c r="IZA25" s="84"/>
      <c r="IZE25" s="84"/>
      <c r="IZI25" s="84"/>
      <c r="IZM25" s="84"/>
      <c r="IZQ25" s="84"/>
      <c r="IZU25" s="84"/>
      <c r="IZY25" s="84"/>
      <c r="JAC25" s="84"/>
      <c r="JAG25" s="84"/>
      <c r="JAK25" s="84"/>
      <c r="JAO25" s="84"/>
      <c r="JAS25" s="84"/>
      <c r="JAW25" s="84"/>
      <c r="JBA25" s="84"/>
      <c r="JBE25" s="84"/>
      <c r="JBI25" s="84"/>
      <c r="JBM25" s="84"/>
      <c r="JBQ25" s="84"/>
      <c r="JBU25" s="84"/>
      <c r="JBY25" s="84"/>
      <c r="JCC25" s="84"/>
      <c r="JCG25" s="84"/>
      <c r="JCK25" s="84"/>
      <c r="JCO25" s="84"/>
      <c r="JCS25" s="84"/>
      <c r="JCW25" s="84"/>
      <c r="JDA25" s="84"/>
      <c r="JDE25" s="84"/>
      <c r="JDI25" s="84"/>
      <c r="JDM25" s="84"/>
      <c r="JDQ25" s="84"/>
      <c r="JDU25" s="84"/>
      <c r="JDY25" s="84"/>
      <c r="JEC25" s="84"/>
      <c r="JEG25" s="84"/>
      <c r="JEK25" s="84"/>
      <c r="JEO25" s="84"/>
      <c r="JES25" s="84"/>
      <c r="JEW25" s="84"/>
      <c r="JFA25" s="84"/>
      <c r="JFE25" s="84"/>
      <c r="JFI25" s="84"/>
      <c r="JFM25" s="84"/>
      <c r="JFQ25" s="84"/>
      <c r="JFU25" s="84"/>
      <c r="JFY25" s="84"/>
      <c r="JGC25" s="84"/>
      <c r="JGG25" s="84"/>
      <c r="JGK25" s="84"/>
      <c r="JGO25" s="84"/>
      <c r="JGS25" s="84"/>
      <c r="JGW25" s="84"/>
      <c r="JHA25" s="84"/>
      <c r="JHE25" s="84"/>
      <c r="JHI25" s="84"/>
      <c r="JHM25" s="84"/>
      <c r="JHQ25" s="84"/>
      <c r="JHU25" s="84"/>
      <c r="JHY25" s="84"/>
      <c r="JIC25" s="84"/>
      <c r="JIG25" s="84"/>
      <c r="JIK25" s="84"/>
      <c r="JIO25" s="84"/>
      <c r="JIS25" s="84"/>
      <c r="JIW25" s="84"/>
      <c r="JJA25" s="84"/>
      <c r="JJE25" s="84"/>
      <c r="JJI25" s="84"/>
      <c r="JJM25" s="84"/>
      <c r="JJQ25" s="84"/>
      <c r="JJU25" s="84"/>
      <c r="JJY25" s="84"/>
      <c r="JKC25" s="84"/>
      <c r="JKG25" s="84"/>
      <c r="JKK25" s="84"/>
      <c r="JKO25" s="84"/>
      <c r="JKS25" s="84"/>
      <c r="JKW25" s="84"/>
      <c r="JLA25" s="84"/>
      <c r="JLE25" s="84"/>
      <c r="JLI25" s="84"/>
      <c r="JLM25" s="84"/>
      <c r="JLQ25" s="84"/>
      <c r="JLU25" s="84"/>
      <c r="JLY25" s="84"/>
      <c r="JMC25" s="84"/>
      <c r="JMG25" s="84"/>
      <c r="JMK25" s="84"/>
      <c r="JMO25" s="84"/>
      <c r="JMS25" s="84"/>
      <c r="JMW25" s="84"/>
      <c r="JNA25" s="84"/>
      <c r="JNE25" s="84"/>
      <c r="JNI25" s="84"/>
      <c r="JNM25" s="84"/>
      <c r="JNQ25" s="84"/>
      <c r="JNU25" s="84"/>
      <c r="JNY25" s="84"/>
      <c r="JOC25" s="84"/>
      <c r="JOG25" s="84"/>
      <c r="JOK25" s="84"/>
      <c r="JOO25" s="84"/>
      <c r="JOS25" s="84"/>
      <c r="JOW25" s="84"/>
      <c r="JPA25" s="84"/>
      <c r="JPE25" s="84"/>
      <c r="JPI25" s="84"/>
      <c r="JPM25" s="84"/>
      <c r="JPQ25" s="84"/>
      <c r="JPU25" s="84"/>
      <c r="JPY25" s="84"/>
      <c r="JQC25" s="84"/>
      <c r="JQG25" s="84"/>
      <c r="JQK25" s="84"/>
      <c r="JQO25" s="84"/>
      <c r="JQS25" s="84"/>
      <c r="JQW25" s="84"/>
      <c r="JRA25" s="84"/>
      <c r="JRE25" s="84"/>
      <c r="JRI25" s="84"/>
      <c r="JRM25" s="84"/>
      <c r="JRQ25" s="84"/>
      <c r="JRU25" s="84"/>
      <c r="JRY25" s="84"/>
      <c r="JSC25" s="84"/>
      <c r="JSG25" s="84"/>
      <c r="JSK25" s="84"/>
      <c r="JSO25" s="84"/>
      <c r="JSS25" s="84"/>
      <c r="JSW25" s="84"/>
      <c r="JTA25" s="84"/>
      <c r="JTE25" s="84"/>
      <c r="JTI25" s="84"/>
      <c r="JTM25" s="84"/>
      <c r="JTQ25" s="84"/>
      <c r="JTU25" s="84"/>
      <c r="JTY25" s="84"/>
      <c r="JUC25" s="84"/>
      <c r="JUG25" s="84"/>
      <c r="JUK25" s="84"/>
      <c r="JUO25" s="84"/>
      <c r="JUS25" s="84"/>
      <c r="JUW25" s="84"/>
      <c r="JVA25" s="84"/>
      <c r="JVE25" s="84"/>
      <c r="JVI25" s="84"/>
      <c r="JVM25" s="84"/>
      <c r="JVQ25" s="84"/>
      <c r="JVU25" s="84"/>
      <c r="JVY25" s="84"/>
      <c r="JWC25" s="84"/>
      <c r="JWG25" s="84"/>
      <c r="JWK25" s="84"/>
      <c r="JWO25" s="84"/>
      <c r="JWS25" s="84"/>
      <c r="JWW25" s="84"/>
      <c r="JXA25" s="84"/>
      <c r="JXE25" s="84"/>
      <c r="JXI25" s="84"/>
      <c r="JXM25" s="84"/>
      <c r="JXQ25" s="84"/>
      <c r="JXU25" s="84"/>
      <c r="JXY25" s="84"/>
      <c r="JYC25" s="84"/>
      <c r="JYG25" s="84"/>
      <c r="JYK25" s="84"/>
      <c r="JYO25" s="84"/>
      <c r="JYS25" s="84"/>
      <c r="JYW25" s="84"/>
      <c r="JZA25" s="84"/>
      <c r="JZE25" s="84"/>
      <c r="JZI25" s="84"/>
      <c r="JZM25" s="84"/>
      <c r="JZQ25" s="84"/>
      <c r="JZU25" s="84"/>
      <c r="JZY25" s="84"/>
      <c r="KAC25" s="84"/>
      <c r="KAG25" s="84"/>
      <c r="KAK25" s="84"/>
      <c r="KAO25" s="84"/>
      <c r="KAS25" s="84"/>
      <c r="KAW25" s="84"/>
      <c r="KBA25" s="84"/>
      <c r="KBE25" s="84"/>
      <c r="KBI25" s="84"/>
      <c r="KBM25" s="84"/>
      <c r="KBQ25" s="84"/>
      <c r="KBU25" s="84"/>
      <c r="KBY25" s="84"/>
      <c r="KCC25" s="84"/>
      <c r="KCG25" s="84"/>
      <c r="KCK25" s="84"/>
      <c r="KCO25" s="84"/>
      <c r="KCS25" s="84"/>
      <c r="KCW25" s="84"/>
      <c r="KDA25" s="84"/>
      <c r="KDE25" s="84"/>
      <c r="KDI25" s="84"/>
      <c r="KDM25" s="84"/>
      <c r="KDQ25" s="84"/>
      <c r="KDU25" s="84"/>
      <c r="KDY25" s="84"/>
      <c r="KEC25" s="84"/>
      <c r="KEG25" s="84"/>
      <c r="KEK25" s="84"/>
      <c r="KEO25" s="84"/>
      <c r="KES25" s="84"/>
      <c r="KEW25" s="84"/>
      <c r="KFA25" s="84"/>
      <c r="KFE25" s="84"/>
      <c r="KFI25" s="84"/>
      <c r="KFM25" s="84"/>
      <c r="KFQ25" s="84"/>
      <c r="KFU25" s="84"/>
      <c r="KFY25" s="84"/>
      <c r="KGC25" s="84"/>
      <c r="KGG25" s="84"/>
      <c r="KGK25" s="84"/>
      <c r="KGO25" s="84"/>
      <c r="KGS25" s="84"/>
      <c r="KGW25" s="84"/>
      <c r="KHA25" s="84"/>
      <c r="KHE25" s="84"/>
      <c r="KHI25" s="84"/>
      <c r="KHM25" s="84"/>
      <c r="KHQ25" s="84"/>
      <c r="KHU25" s="84"/>
      <c r="KHY25" s="84"/>
      <c r="KIC25" s="84"/>
      <c r="KIG25" s="84"/>
      <c r="KIK25" s="84"/>
      <c r="KIO25" s="84"/>
      <c r="KIS25" s="84"/>
      <c r="KIW25" s="84"/>
      <c r="KJA25" s="84"/>
      <c r="KJE25" s="84"/>
      <c r="KJI25" s="84"/>
      <c r="KJM25" s="84"/>
      <c r="KJQ25" s="84"/>
      <c r="KJU25" s="84"/>
      <c r="KJY25" s="84"/>
      <c r="KKC25" s="84"/>
      <c r="KKG25" s="84"/>
      <c r="KKK25" s="84"/>
      <c r="KKO25" s="84"/>
      <c r="KKS25" s="84"/>
      <c r="KKW25" s="84"/>
      <c r="KLA25" s="84"/>
      <c r="KLE25" s="84"/>
      <c r="KLI25" s="84"/>
      <c r="KLM25" s="84"/>
      <c r="KLQ25" s="84"/>
      <c r="KLU25" s="84"/>
      <c r="KLY25" s="84"/>
      <c r="KMC25" s="84"/>
      <c r="KMG25" s="84"/>
      <c r="KMK25" s="84"/>
      <c r="KMO25" s="84"/>
      <c r="KMS25" s="84"/>
      <c r="KMW25" s="84"/>
      <c r="KNA25" s="84"/>
      <c r="KNE25" s="84"/>
      <c r="KNI25" s="84"/>
      <c r="KNM25" s="84"/>
      <c r="KNQ25" s="84"/>
      <c r="KNU25" s="84"/>
      <c r="KNY25" s="84"/>
      <c r="KOC25" s="84"/>
      <c r="KOG25" s="84"/>
      <c r="KOK25" s="84"/>
      <c r="KOO25" s="84"/>
      <c r="KOS25" s="84"/>
      <c r="KOW25" s="84"/>
      <c r="KPA25" s="84"/>
      <c r="KPE25" s="84"/>
      <c r="KPI25" s="84"/>
      <c r="KPM25" s="84"/>
      <c r="KPQ25" s="84"/>
      <c r="KPU25" s="84"/>
      <c r="KPY25" s="84"/>
      <c r="KQC25" s="84"/>
      <c r="KQG25" s="84"/>
      <c r="KQK25" s="84"/>
      <c r="KQO25" s="84"/>
      <c r="KQS25" s="84"/>
      <c r="KQW25" s="84"/>
      <c r="KRA25" s="84"/>
      <c r="KRE25" s="84"/>
      <c r="KRI25" s="84"/>
      <c r="KRM25" s="84"/>
      <c r="KRQ25" s="84"/>
      <c r="KRU25" s="84"/>
      <c r="KRY25" s="84"/>
      <c r="KSC25" s="84"/>
      <c r="KSG25" s="84"/>
      <c r="KSK25" s="84"/>
      <c r="KSO25" s="84"/>
      <c r="KSS25" s="84"/>
      <c r="KSW25" s="84"/>
      <c r="KTA25" s="84"/>
      <c r="KTE25" s="84"/>
      <c r="KTI25" s="84"/>
      <c r="KTM25" s="84"/>
      <c r="KTQ25" s="84"/>
      <c r="KTU25" s="84"/>
      <c r="KTY25" s="84"/>
      <c r="KUC25" s="84"/>
      <c r="KUG25" s="84"/>
      <c r="KUK25" s="84"/>
      <c r="KUO25" s="84"/>
      <c r="KUS25" s="84"/>
      <c r="KUW25" s="84"/>
      <c r="KVA25" s="84"/>
      <c r="KVE25" s="84"/>
      <c r="KVI25" s="84"/>
      <c r="KVM25" s="84"/>
      <c r="KVQ25" s="84"/>
      <c r="KVU25" s="84"/>
      <c r="KVY25" s="84"/>
      <c r="KWC25" s="84"/>
      <c r="KWG25" s="84"/>
      <c r="KWK25" s="84"/>
      <c r="KWO25" s="84"/>
      <c r="KWS25" s="84"/>
      <c r="KWW25" s="84"/>
      <c r="KXA25" s="84"/>
      <c r="KXE25" s="84"/>
      <c r="KXI25" s="84"/>
      <c r="KXM25" s="84"/>
      <c r="KXQ25" s="84"/>
      <c r="KXU25" s="84"/>
      <c r="KXY25" s="84"/>
      <c r="KYC25" s="84"/>
      <c r="KYG25" s="84"/>
      <c r="KYK25" s="84"/>
      <c r="KYO25" s="84"/>
      <c r="KYS25" s="84"/>
      <c r="KYW25" s="84"/>
      <c r="KZA25" s="84"/>
      <c r="KZE25" s="84"/>
      <c r="KZI25" s="84"/>
      <c r="KZM25" s="84"/>
      <c r="KZQ25" s="84"/>
      <c r="KZU25" s="84"/>
      <c r="KZY25" s="84"/>
      <c r="LAC25" s="84"/>
      <c r="LAG25" s="84"/>
      <c r="LAK25" s="84"/>
      <c r="LAO25" s="84"/>
      <c r="LAS25" s="84"/>
      <c r="LAW25" s="84"/>
      <c r="LBA25" s="84"/>
      <c r="LBE25" s="84"/>
      <c r="LBI25" s="84"/>
      <c r="LBM25" s="84"/>
      <c r="LBQ25" s="84"/>
      <c r="LBU25" s="84"/>
      <c r="LBY25" s="84"/>
      <c r="LCC25" s="84"/>
      <c r="LCG25" s="84"/>
      <c r="LCK25" s="84"/>
      <c r="LCO25" s="84"/>
      <c r="LCS25" s="84"/>
      <c r="LCW25" s="84"/>
      <c r="LDA25" s="84"/>
      <c r="LDE25" s="84"/>
      <c r="LDI25" s="84"/>
      <c r="LDM25" s="84"/>
      <c r="LDQ25" s="84"/>
      <c r="LDU25" s="84"/>
      <c r="LDY25" s="84"/>
      <c r="LEC25" s="84"/>
      <c r="LEG25" s="84"/>
      <c r="LEK25" s="84"/>
      <c r="LEO25" s="84"/>
      <c r="LES25" s="84"/>
      <c r="LEW25" s="84"/>
      <c r="LFA25" s="84"/>
      <c r="LFE25" s="84"/>
      <c r="LFI25" s="84"/>
      <c r="LFM25" s="84"/>
      <c r="LFQ25" s="84"/>
      <c r="LFU25" s="84"/>
      <c r="LFY25" s="84"/>
      <c r="LGC25" s="84"/>
      <c r="LGG25" s="84"/>
      <c r="LGK25" s="84"/>
      <c r="LGO25" s="84"/>
      <c r="LGS25" s="84"/>
      <c r="LGW25" s="84"/>
      <c r="LHA25" s="84"/>
      <c r="LHE25" s="84"/>
      <c r="LHI25" s="84"/>
      <c r="LHM25" s="84"/>
      <c r="LHQ25" s="84"/>
      <c r="LHU25" s="84"/>
      <c r="LHY25" s="84"/>
      <c r="LIC25" s="84"/>
      <c r="LIG25" s="84"/>
      <c r="LIK25" s="84"/>
      <c r="LIO25" s="84"/>
      <c r="LIS25" s="84"/>
      <c r="LIW25" s="84"/>
      <c r="LJA25" s="84"/>
      <c r="LJE25" s="84"/>
      <c r="LJI25" s="84"/>
      <c r="LJM25" s="84"/>
      <c r="LJQ25" s="84"/>
      <c r="LJU25" s="84"/>
      <c r="LJY25" s="84"/>
      <c r="LKC25" s="84"/>
      <c r="LKG25" s="84"/>
      <c r="LKK25" s="84"/>
      <c r="LKO25" s="84"/>
      <c r="LKS25" s="84"/>
      <c r="LKW25" s="84"/>
      <c r="LLA25" s="84"/>
      <c r="LLE25" s="84"/>
      <c r="LLI25" s="84"/>
      <c r="LLM25" s="84"/>
      <c r="LLQ25" s="84"/>
      <c r="LLU25" s="84"/>
      <c r="LLY25" s="84"/>
      <c r="LMC25" s="84"/>
      <c r="LMG25" s="84"/>
      <c r="LMK25" s="84"/>
      <c r="LMO25" s="84"/>
      <c r="LMS25" s="84"/>
      <c r="LMW25" s="84"/>
      <c r="LNA25" s="84"/>
      <c r="LNE25" s="84"/>
      <c r="LNI25" s="84"/>
      <c r="LNM25" s="84"/>
      <c r="LNQ25" s="84"/>
      <c r="LNU25" s="84"/>
      <c r="LNY25" s="84"/>
      <c r="LOC25" s="84"/>
      <c r="LOG25" s="84"/>
      <c r="LOK25" s="84"/>
      <c r="LOO25" s="84"/>
      <c r="LOS25" s="84"/>
      <c r="LOW25" s="84"/>
      <c r="LPA25" s="84"/>
      <c r="LPE25" s="84"/>
      <c r="LPI25" s="84"/>
      <c r="LPM25" s="84"/>
      <c r="LPQ25" s="84"/>
      <c r="LPU25" s="84"/>
      <c r="LPY25" s="84"/>
      <c r="LQC25" s="84"/>
      <c r="LQG25" s="84"/>
      <c r="LQK25" s="84"/>
      <c r="LQO25" s="84"/>
      <c r="LQS25" s="84"/>
      <c r="LQW25" s="84"/>
      <c r="LRA25" s="84"/>
      <c r="LRE25" s="84"/>
      <c r="LRI25" s="84"/>
      <c r="LRM25" s="84"/>
      <c r="LRQ25" s="84"/>
      <c r="LRU25" s="84"/>
      <c r="LRY25" s="84"/>
      <c r="LSC25" s="84"/>
      <c r="LSG25" s="84"/>
      <c r="LSK25" s="84"/>
      <c r="LSO25" s="84"/>
      <c r="LSS25" s="84"/>
      <c r="LSW25" s="84"/>
      <c r="LTA25" s="84"/>
      <c r="LTE25" s="84"/>
      <c r="LTI25" s="84"/>
      <c r="LTM25" s="84"/>
      <c r="LTQ25" s="84"/>
      <c r="LTU25" s="84"/>
      <c r="LTY25" s="84"/>
      <c r="LUC25" s="84"/>
      <c r="LUG25" s="84"/>
      <c r="LUK25" s="84"/>
      <c r="LUO25" s="84"/>
      <c r="LUS25" s="84"/>
      <c r="LUW25" s="84"/>
      <c r="LVA25" s="84"/>
      <c r="LVE25" s="84"/>
      <c r="LVI25" s="84"/>
      <c r="LVM25" s="84"/>
      <c r="LVQ25" s="84"/>
      <c r="LVU25" s="84"/>
      <c r="LVY25" s="84"/>
      <c r="LWC25" s="84"/>
      <c r="LWG25" s="84"/>
      <c r="LWK25" s="84"/>
      <c r="LWO25" s="84"/>
      <c r="LWS25" s="84"/>
      <c r="LWW25" s="84"/>
      <c r="LXA25" s="84"/>
      <c r="LXE25" s="84"/>
      <c r="LXI25" s="84"/>
      <c r="LXM25" s="84"/>
      <c r="LXQ25" s="84"/>
      <c r="LXU25" s="84"/>
      <c r="LXY25" s="84"/>
      <c r="LYC25" s="84"/>
      <c r="LYG25" s="84"/>
      <c r="LYK25" s="84"/>
      <c r="LYO25" s="84"/>
      <c r="LYS25" s="84"/>
      <c r="LYW25" s="84"/>
      <c r="LZA25" s="84"/>
      <c r="LZE25" s="84"/>
      <c r="LZI25" s="84"/>
      <c r="LZM25" s="84"/>
      <c r="LZQ25" s="84"/>
      <c r="LZU25" s="84"/>
      <c r="LZY25" s="84"/>
      <c r="MAC25" s="84"/>
      <c r="MAG25" s="84"/>
      <c r="MAK25" s="84"/>
      <c r="MAO25" s="84"/>
      <c r="MAS25" s="84"/>
      <c r="MAW25" s="84"/>
      <c r="MBA25" s="84"/>
      <c r="MBE25" s="84"/>
      <c r="MBI25" s="84"/>
      <c r="MBM25" s="84"/>
      <c r="MBQ25" s="84"/>
      <c r="MBU25" s="84"/>
      <c r="MBY25" s="84"/>
      <c r="MCC25" s="84"/>
      <c r="MCG25" s="84"/>
      <c r="MCK25" s="84"/>
      <c r="MCO25" s="84"/>
      <c r="MCS25" s="84"/>
      <c r="MCW25" s="84"/>
      <c r="MDA25" s="84"/>
      <c r="MDE25" s="84"/>
      <c r="MDI25" s="84"/>
      <c r="MDM25" s="84"/>
      <c r="MDQ25" s="84"/>
      <c r="MDU25" s="84"/>
      <c r="MDY25" s="84"/>
      <c r="MEC25" s="84"/>
      <c r="MEG25" s="84"/>
      <c r="MEK25" s="84"/>
      <c r="MEO25" s="84"/>
      <c r="MES25" s="84"/>
      <c r="MEW25" s="84"/>
      <c r="MFA25" s="84"/>
      <c r="MFE25" s="84"/>
      <c r="MFI25" s="84"/>
      <c r="MFM25" s="84"/>
      <c r="MFQ25" s="84"/>
      <c r="MFU25" s="84"/>
      <c r="MFY25" s="84"/>
      <c r="MGC25" s="84"/>
      <c r="MGG25" s="84"/>
      <c r="MGK25" s="84"/>
      <c r="MGO25" s="84"/>
      <c r="MGS25" s="84"/>
      <c r="MGW25" s="84"/>
      <c r="MHA25" s="84"/>
      <c r="MHE25" s="84"/>
      <c r="MHI25" s="84"/>
      <c r="MHM25" s="84"/>
      <c r="MHQ25" s="84"/>
      <c r="MHU25" s="84"/>
      <c r="MHY25" s="84"/>
      <c r="MIC25" s="84"/>
      <c r="MIG25" s="84"/>
      <c r="MIK25" s="84"/>
      <c r="MIO25" s="84"/>
      <c r="MIS25" s="84"/>
      <c r="MIW25" s="84"/>
      <c r="MJA25" s="84"/>
      <c r="MJE25" s="84"/>
      <c r="MJI25" s="84"/>
      <c r="MJM25" s="84"/>
      <c r="MJQ25" s="84"/>
      <c r="MJU25" s="84"/>
      <c r="MJY25" s="84"/>
      <c r="MKC25" s="84"/>
      <c r="MKG25" s="84"/>
      <c r="MKK25" s="84"/>
      <c r="MKO25" s="84"/>
      <c r="MKS25" s="84"/>
      <c r="MKW25" s="84"/>
      <c r="MLA25" s="84"/>
      <c r="MLE25" s="84"/>
      <c r="MLI25" s="84"/>
      <c r="MLM25" s="84"/>
      <c r="MLQ25" s="84"/>
      <c r="MLU25" s="84"/>
      <c r="MLY25" s="84"/>
      <c r="MMC25" s="84"/>
      <c r="MMG25" s="84"/>
      <c r="MMK25" s="84"/>
      <c r="MMO25" s="84"/>
      <c r="MMS25" s="84"/>
      <c r="MMW25" s="84"/>
      <c r="MNA25" s="84"/>
      <c r="MNE25" s="84"/>
      <c r="MNI25" s="84"/>
      <c r="MNM25" s="84"/>
      <c r="MNQ25" s="84"/>
      <c r="MNU25" s="84"/>
      <c r="MNY25" s="84"/>
      <c r="MOC25" s="84"/>
      <c r="MOG25" s="84"/>
      <c r="MOK25" s="84"/>
      <c r="MOO25" s="84"/>
      <c r="MOS25" s="84"/>
      <c r="MOW25" s="84"/>
      <c r="MPA25" s="84"/>
      <c r="MPE25" s="84"/>
      <c r="MPI25" s="84"/>
      <c r="MPM25" s="84"/>
      <c r="MPQ25" s="84"/>
      <c r="MPU25" s="84"/>
      <c r="MPY25" s="84"/>
      <c r="MQC25" s="84"/>
      <c r="MQG25" s="84"/>
      <c r="MQK25" s="84"/>
      <c r="MQO25" s="84"/>
      <c r="MQS25" s="84"/>
      <c r="MQW25" s="84"/>
      <c r="MRA25" s="84"/>
      <c r="MRE25" s="84"/>
      <c r="MRI25" s="84"/>
      <c r="MRM25" s="84"/>
      <c r="MRQ25" s="84"/>
      <c r="MRU25" s="84"/>
      <c r="MRY25" s="84"/>
      <c r="MSC25" s="84"/>
      <c r="MSG25" s="84"/>
      <c r="MSK25" s="84"/>
      <c r="MSO25" s="84"/>
      <c r="MSS25" s="84"/>
      <c r="MSW25" s="84"/>
      <c r="MTA25" s="84"/>
      <c r="MTE25" s="84"/>
      <c r="MTI25" s="84"/>
      <c r="MTM25" s="84"/>
      <c r="MTQ25" s="84"/>
      <c r="MTU25" s="84"/>
      <c r="MTY25" s="84"/>
      <c r="MUC25" s="84"/>
      <c r="MUG25" s="84"/>
      <c r="MUK25" s="84"/>
      <c r="MUO25" s="84"/>
      <c r="MUS25" s="84"/>
      <c r="MUW25" s="84"/>
      <c r="MVA25" s="84"/>
      <c r="MVE25" s="84"/>
      <c r="MVI25" s="84"/>
      <c r="MVM25" s="84"/>
      <c r="MVQ25" s="84"/>
      <c r="MVU25" s="84"/>
      <c r="MVY25" s="84"/>
      <c r="MWC25" s="84"/>
      <c r="MWG25" s="84"/>
      <c r="MWK25" s="84"/>
      <c r="MWO25" s="84"/>
      <c r="MWS25" s="84"/>
      <c r="MWW25" s="84"/>
      <c r="MXA25" s="84"/>
      <c r="MXE25" s="84"/>
      <c r="MXI25" s="84"/>
      <c r="MXM25" s="84"/>
      <c r="MXQ25" s="84"/>
      <c r="MXU25" s="84"/>
      <c r="MXY25" s="84"/>
      <c r="MYC25" s="84"/>
      <c r="MYG25" s="84"/>
      <c r="MYK25" s="84"/>
      <c r="MYO25" s="84"/>
      <c r="MYS25" s="84"/>
      <c r="MYW25" s="84"/>
      <c r="MZA25" s="84"/>
      <c r="MZE25" s="84"/>
      <c r="MZI25" s="84"/>
      <c r="MZM25" s="84"/>
      <c r="MZQ25" s="84"/>
      <c r="MZU25" s="84"/>
      <c r="MZY25" s="84"/>
      <c r="NAC25" s="84"/>
      <c r="NAG25" s="84"/>
      <c r="NAK25" s="84"/>
      <c r="NAO25" s="84"/>
      <c r="NAS25" s="84"/>
      <c r="NAW25" s="84"/>
      <c r="NBA25" s="84"/>
      <c r="NBE25" s="84"/>
      <c r="NBI25" s="84"/>
      <c r="NBM25" s="84"/>
      <c r="NBQ25" s="84"/>
      <c r="NBU25" s="84"/>
      <c r="NBY25" s="84"/>
      <c r="NCC25" s="84"/>
      <c r="NCG25" s="84"/>
      <c r="NCK25" s="84"/>
      <c r="NCO25" s="84"/>
      <c r="NCS25" s="84"/>
      <c r="NCW25" s="84"/>
      <c r="NDA25" s="84"/>
      <c r="NDE25" s="84"/>
      <c r="NDI25" s="84"/>
      <c r="NDM25" s="84"/>
      <c r="NDQ25" s="84"/>
      <c r="NDU25" s="84"/>
      <c r="NDY25" s="84"/>
      <c r="NEC25" s="84"/>
      <c r="NEG25" s="84"/>
      <c r="NEK25" s="84"/>
      <c r="NEO25" s="84"/>
      <c r="NES25" s="84"/>
      <c r="NEW25" s="84"/>
      <c r="NFA25" s="84"/>
      <c r="NFE25" s="84"/>
      <c r="NFI25" s="84"/>
      <c r="NFM25" s="84"/>
      <c r="NFQ25" s="84"/>
      <c r="NFU25" s="84"/>
      <c r="NFY25" s="84"/>
      <c r="NGC25" s="84"/>
      <c r="NGG25" s="84"/>
      <c r="NGK25" s="84"/>
      <c r="NGO25" s="84"/>
      <c r="NGS25" s="84"/>
      <c r="NGW25" s="84"/>
      <c r="NHA25" s="84"/>
      <c r="NHE25" s="84"/>
      <c r="NHI25" s="84"/>
      <c r="NHM25" s="84"/>
      <c r="NHQ25" s="84"/>
      <c r="NHU25" s="84"/>
      <c r="NHY25" s="84"/>
      <c r="NIC25" s="84"/>
      <c r="NIG25" s="84"/>
      <c r="NIK25" s="84"/>
      <c r="NIO25" s="84"/>
      <c r="NIS25" s="84"/>
      <c r="NIW25" s="84"/>
      <c r="NJA25" s="84"/>
      <c r="NJE25" s="84"/>
      <c r="NJI25" s="84"/>
      <c r="NJM25" s="84"/>
      <c r="NJQ25" s="84"/>
      <c r="NJU25" s="84"/>
      <c r="NJY25" s="84"/>
      <c r="NKC25" s="84"/>
      <c r="NKG25" s="84"/>
      <c r="NKK25" s="84"/>
      <c r="NKO25" s="84"/>
      <c r="NKS25" s="84"/>
      <c r="NKW25" s="84"/>
      <c r="NLA25" s="84"/>
      <c r="NLE25" s="84"/>
      <c r="NLI25" s="84"/>
      <c r="NLM25" s="84"/>
      <c r="NLQ25" s="84"/>
      <c r="NLU25" s="84"/>
      <c r="NLY25" s="84"/>
      <c r="NMC25" s="84"/>
      <c r="NMG25" s="84"/>
      <c r="NMK25" s="84"/>
      <c r="NMO25" s="84"/>
      <c r="NMS25" s="84"/>
      <c r="NMW25" s="84"/>
      <c r="NNA25" s="84"/>
      <c r="NNE25" s="84"/>
      <c r="NNI25" s="84"/>
      <c r="NNM25" s="84"/>
      <c r="NNQ25" s="84"/>
      <c r="NNU25" s="84"/>
      <c r="NNY25" s="84"/>
      <c r="NOC25" s="84"/>
      <c r="NOG25" s="84"/>
      <c r="NOK25" s="84"/>
      <c r="NOO25" s="84"/>
      <c r="NOS25" s="84"/>
      <c r="NOW25" s="84"/>
      <c r="NPA25" s="84"/>
      <c r="NPE25" s="84"/>
      <c r="NPI25" s="84"/>
      <c r="NPM25" s="84"/>
      <c r="NPQ25" s="84"/>
      <c r="NPU25" s="84"/>
      <c r="NPY25" s="84"/>
      <c r="NQC25" s="84"/>
      <c r="NQG25" s="84"/>
      <c r="NQK25" s="84"/>
      <c r="NQO25" s="84"/>
      <c r="NQS25" s="84"/>
      <c r="NQW25" s="84"/>
      <c r="NRA25" s="84"/>
      <c r="NRE25" s="84"/>
      <c r="NRI25" s="84"/>
      <c r="NRM25" s="84"/>
      <c r="NRQ25" s="84"/>
      <c r="NRU25" s="84"/>
      <c r="NRY25" s="84"/>
      <c r="NSC25" s="84"/>
      <c r="NSG25" s="84"/>
      <c r="NSK25" s="84"/>
      <c r="NSO25" s="84"/>
      <c r="NSS25" s="84"/>
      <c r="NSW25" s="84"/>
      <c r="NTA25" s="84"/>
      <c r="NTE25" s="84"/>
      <c r="NTI25" s="84"/>
      <c r="NTM25" s="84"/>
      <c r="NTQ25" s="84"/>
      <c r="NTU25" s="84"/>
      <c r="NTY25" s="84"/>
      <c r="NUC25" s="84"/>
      <c r="NUG25" s="84"/>
      <c r="NUK25" s="84"/>
      <c r="NUO25" s="84"/>
      <c r="NUS25" s="84"/>
      <c r="NUW25" s="84"/>
      <c r="NVA25" s="84"/>
      <c r="NVE25" s="84"/>
      <c r="NVI25" s="84"/>
      <c r="NVM25" s="84"/>
      <c r="NVQ25" s="84"/>
      <c r="NVU25" s="84"/>
      <c r="NVY25" s="84"/>
      <c r="NWC25" s="84"/>
      <c r="NWG25" s="84"/>
      <c r="NWK25" s="84"/>
      <c r="NWO25" s="84"/>
      <c r="NWS25" s="84"/>
      <c r="NWW25" s="84"/>
      <c r="NXA25" s="84"/>
      <c r="NXE25" s="84"/>
      <c r="NXI25" s="84"/>
      <c r="NXM25" s="84"/>
      <c r="NXQ25" s="84"/>
      <c r="NXU25" s="84"/>
      <c r="NXY25" s="84"/>
      <c r="NYC25" s="84"/>
      <c r="NYG25" s="84"/>
      <c r="NYK25" s="84"/>
      <c r="NYO25" s="84"/>
      <c r="NYS25" s="84"/>
      <c r="NYW25" s="84"/>
      <c r="NZA25" s="84"/>
      <c r="NZE25" s="84"/>
      <c r="NZI25" s="84"/>
      <c r="NZM25" s="84"/>
      <c r="NZQ25" s="84"/>
      <c r="NZU25" s="84"/>
      <c r="NZY25" s="84"/>
      <c r="OAC25" s="84"/>
      <c r="OAG25" s="84"/>
      <c r="OAK25" s="84"/>
      <c r="OAO25" s="84"/>
      <c r="OAS25" s="84"/>
      <c r="OAW25" s="84"/>
      <c r="OBA25" s="84"/>
      <c r="OBE25" s="84"/>
      <c r="OBI25" s="84"/>
      <c r="OBM25" s="84"/>
      <c r="OBQ25" s="84"/>
      <c r="OBU25" s="84"/>
      <c r="OBY25" s="84"/>
      <c r="OCC25" s="84"/>
      <c r="OCG25" s="84"/>
      <c r="OCK25" s="84"/>
      <c r="OCO25" s="84"/>
      <c r="OCS25" s="84"/>
      <c r="OCW25" s="84"/>
      <c r="ODA25" s="84"/>
      <c r="ODE25" s="84"/>
      <c r="ODI25" s="84"/>
      <c r="ODM25" s="84"/>
      <c r="ODQ25" s="84"/>
      <c r="ODU25" s="84"/>
      <c r="ODY25" s="84"/>
      <c r="OEC25" s="84"/>
      <c r="OEG25" s="84"/>
      <c r="OEK25" s="84"/>
      <c r="OEO25" s="84"/>
      <c r="OES25" s="84"/>
      <c r="OEW25" s="84"/>
      <c r="OFA25" s="84"/>
      <c r="OFE25" s="84"/>
      <c r="OFI25" s="84"/>
      <c r="OFM25" s="84"/>
      <c r="OFQ25" s="84"/>
      <c r="OFU25" s="84"/>
      <c r="OFY25" s="84"/>
      <c r="OGC25" s="84"/>
      <c r="OGG25" s="84"/>
      <c r="OGK25" s="84"/>
      <c r="OGO25" s="84"/>
      <c r="OGS25" s="84"/>
      <c r="OGW25" s="84"/>
      <c r="OHA25" s="84"/>
      <c r="OHE25" s="84"/>
      <c r="OHI25" s="84"/>
      <c r="OHM25" s="84"/>
      <c r="OHQ25" s="84"/>
      <c r="OHU25" s="84"/>
      <c r="OHY25" s="84"/>
      <c r="OIC25" s="84"/>
      <c r="OIG25" s="84"/>
      <c r="OIK25" s="84"/>
      <c r="OIO25" s="84"/>
      <c r="OIS25" s="84"/>
      <c r="OIW25" s="84"/>
      <c r="OJA25" s="84"/>
      <c r="OJE25" s="84"/>
      <c r="OJI25" s="84"/>
      <c r="OJM25" s="84"/>
      <c r="OJQ25" s="84"/>
      <c r="OJU25" s="84"/>
      <c r="OJY25" s="84"/>
      <c r="OKC25" s="84"/>
      <c r="OKG25" s="84"/>
      <c r="OKK25" s="84"/>
      <c r="OKO25" s="84"/>
      <c r="OKS25" s="84"/>
      <c r="OKW25" s="84"/>
      <c r="OLA25" s="84"/>
      <c r="OLE25" s="84"/>
      <c r="OLI25" s="84"/>
      <c r="OLM25" s="84"/>
      <c r="OLQ25" s="84"/>
      <c r="OLU25" s="84"/>
      <c r="OLY25" s="84"/>
      <c r="OMC25" s="84"/>
      <c r="OMG25" s="84"/>
      <c r="OMK25" s="84"/>
      <c r="OMO25" s="84"/>
      <c r="OMS25" s="84"/>
      <c r="OMW25" s="84"/>
      <c r="ONA25" s="84"/>
      <c r="ONE25" s="84"/>
      <c r="ONI25" s="84"/>
      <c r="ONM25" s="84"/>
      <c r="ONQ25" s="84"/>
      <c r="ONU25" s="84"/>
      <c r="ONY25" s="84"/>
      <c r="OOC25" s="84"/>
      <c r="OOG25" s="84"/>
      <c r="OOK25" s="84"/>
      <c r="OOO25" s="84"/>
      <c r="OOS25" s="84"/>
      <c r="OOW25" s="84"/>
      <c r="OPA25" s="84"/>
      <c r="OPE25" s="84"/>
      <c r="OPI25" s="84"/>
      <c r="OPM25" s="84"/>
      <c r="OPQ25" s="84"/>
      <c r="OPU25" s="84"/>
      <c r="OPY25" s="84"/>
      <c r="OQC25" s="84"/>
      <c r="OQG25" s="84"/>
      <c r="OQK25" s="84"/>
      <c r="OQO25" s="84"/>
      <c r="OQS25" s="84"/>
      <c r="OQW25" s="84"/>
      <c r="ORA25" s="84"/>
      <c r="ORE25" s="84"/>
      <c r="ORI25" s="84"/>
      <c r="ORM25" s="84"/>
      <c r="ORQ25" s="84"/>
      <c r="ORU25" s="84"/>
      <c r="ORY25" s="84"/>
      <c r="OSC25" s="84"/>
      <c r="OSG25" s="84"/>
      <c r="OSK25" s="84"/>
      <c r="OSO25" s="84"/>
      <c r="OSS25" s="84"/>
      <c r="OSW25" s="84"/>
      <c r="OTA25" s="84"/>
      <c r="OTE25" s="84"/>
      <c r="OTI25" s="84"/>
      <c r="OTM25" s="84"/>
      <c r="OTQ25" s="84"/>
      <c r="OTU25" s="84"/>
      <c r="OTY25" s="84"/>
      <c r="OUC25" s="84"/>
      <c r="OUG25" s="84"/>
      <c r="OUK25" s="84"/>
      <c r="OUO25" s="84"/>
      <c r="OUS25" s="84"/>
      <c r="OUW25" s="84"/>
      <c r="OVA25" s="84"/>
      <c r="OVE25" s="84"/>
      <c r="OVI25" s="84"/>
      <c r="OVM25" s="84"/>
      <c r="OVQ25" s="84"/>
      <c r="OVU25" s="84"/>
      <c r="OVY25" s="84"/>
      <c r="OWC25" s="84"/>
      <c r="OWG25" s="84"/>
      <c r="OWK25" s="84"/>
      <c r="OWO25" s="84"/>
      <c r="OWS25" s="84"/>
      <c r="OWW25" s="84"/>
      <c r="OXA25" s="84"/>
      <c r="OXE25" s="84"/>
      <c r="OXI25" s="84"/>
      <c r="OXM25" s="84"/>
      <c r="OXQ25" s="84"/>
      <c r="OXU25" s="84"/>
      <c r="OXY25" s="84"/>
      <c r="OYC25" s="84"/>
      <c r="OYG25" s="84"/>
      <c r="OYK25" s="84"/>
      <c r="OYO25" s="84"/>
      <c r="OYS25" s="84"/>
      <c r="OYW25" s="84"/>
      <c r="OZA25" s="84"/>
      <c r="OZE25" s="84"/>
      <c r="OZI25" s="84"/>
      <c r="OZM25" s="84"/>
      <c r="OZQ25" s="84"/>
      <c r="OZU25" s="84"/>
      <c r="OZY25" s="84"/>
      <c r="PAC25" s="84"/>
      <c r="PAG25" s="84"/>
      <c r="PAK25" s="84"/>
      <c r="PAO25" s="84"/>
      <c r="PAS25" s="84"/>
      <c r="PAW25" s="84"/>
      <c r="PBA25" s="84"/>
      <c r="PBE25" s="84"/>
      <c r="PBI25" s="84"/>
      <c r="PBM25" s="84"/>
      <c r="PBQ25" s="84"/>
      <c r="PBU25" s="84"/>
      <c r="PBY25" s="84"/>
      <c r="PCC25" s="84"/>
      <c r="PCG25" s="84"/>
      <c r="PCK25" s="84"/>
      <c r="PCO25" s="84"/>
      <c r="PCS25" s="84"/>
      <c r="PCW25" s="84"/>
      <c r="PDA25" s="84"/>
      <c r="PDE25" s="84"/>
      <c r="PDI25" s="84"/>
      <c r="PDM25" s="84"/>
      <c r="PDQ25" s="84"/>
      <c r="PDU25" s="84"/>
      <c r="PDY25" s="84"/>
      <c r="PEC25" s="84"/>
      <c r="PEG25" s="84"/>
      <c r="PEK25" s="84"/>
      <c r="PEO25" s="84"/>
      <c r="PES25" s="84"/>
      <c r="PEW25" s="84"/>
      <c r="PFA25" s="84"/>
      <c r="PFE25" s="84"/>
      <c r="PFI25" s="84"/>
      <c r="PFM25" s="84"/>
      <c r="PFQ25" s="84"/>
      <c r="PFU25" s="84"/>
      <c r="PFY25" s="84"/>
      <c r="PGC25" s="84"/>
      <c r="PGG25" s="84"/>
      <c r="PGK25" s="84"/>
      <c r="PGO25" s="84"/>
      <c r="PGS25" s="84"/>
      <c r="PGW25" s="84"/>
      <c r="PHA25" s="84"/>
      <c r="PHE25" s="84"/>
      <c r="PHI25" s="84"/>
      <c r="PHM25" s="84"/>
      <c r="PHQ25" s="84"/>
      <c r="PHU25" s="84"/>
      <c r="PHY25" s="84"/>
      <c r="PIC25" s="84"/>
      <c r="PIG25" s="84"/>
      <c r="PIK25" s="84"/>
      <c r="PIO25" s="84"/>
      <c r="PIS25" s="84"/>
      <c r="PIW25" s="84"/>
      <c r="PJA25" s="84"/>
      <c r="PJE25" s="84"/>
      <c r="PJI25" s="84"/>
      <c r="PJM25" s="84"/>
      <c r="PJQ25" s="84"/>
      <c r="PJU25" s="84"/>
      <c r="PJY25" s="84"/>
      <c r="PKC25" s="84"/>
      <c r="PKG25" s="84"/>
      <c r="PKK25" s="84"/>
      <c r="PKO25" s="84"/>
      <c r="PKS25" s="84"/>
      <c r="PKW25" s="84"/>
      <c r="PLA25" s="84"/>
      <c r="PLE25" s="84"/>
      <c r="PLI25" s="84"/>
      <c r="PLM25" s="84"/>
      <c r="PLQ25" s="84"/>
      <c r="PLU25" s="84"/>
      <c r="PLY25" s="84"/>
      <c r="PMC25" s="84"/>
      <c r="PMG25" s="84"/>
      <c r="PMK25" s="84"/>
      <c r="PMO25" s="84"/>
      <c r="PMS25" s="84"/>
      <c r="PMW25" s="84"/>
      <c r="PNA25" s="84"/>
      <c r="PNE25" s="84"/>
      <c r="PNI25" s="84"/>
      <c r="PNM25" s="84"/>
      <c r="PNQ25" s="84"/>
      <c r="PNU25" s="84"/>
      <c r="PNY25" s="84"/>
      <c r="POC25" s="84"/>
      <c r="POG25" s="84"/>
      <c r="POK25" s="84"/>
      <c r="POO25" s="84"/>
      <c r="POS25" s="84"/>
      <c r="POW25" s="84"/>
      <c r="PPA25" s="84"/>
      <c r="PPE25" s="84"/>
      <c r="PPI25" s="84"/>
      <c r="PPM25" s="84"/>
      <c r="PPQ25" s="84"/>
      <c r="PPU25" s="84"/>
      <c r="PPY25" s="84"/>
      <c r="PQC25" s="84"/>
      <c r="PQG25" s="84"/>
      <c r="PQK25" s="84"/>
      <c r="PQO25" s="84"/>
      <c r="PQS25" s="84"/>
      <c r="PQW25" s="84"/>
      <c r="PRA25" s="84"/>
      <c r="PRE25" s="84"/>
      <c r="PRI25" s="84"/>
      <c r="PRM25" s="84"/>
      <c r="PRQ25" s="84"/>
      <c r="PRU25" s="84"/>
      <c r="PRY25" s="84"/>
      <c r="PSC25" s="84"/>
      <c r="PSG25" s="84"/>
      <c r="PSK25" s="84"/>
      <c r="PSO25" s="84"/>
      <c r="PSS25" s="84"/>
      <c r="PSW25" s="84"/>
      <c r="PTA25" s="84"/>
      <c r="PTE25" s="84"/>
      <c r="PTI25" s="84"/>
      <c r="PTM25" s="84"/>
      <c r="PTQ25" s="84"/>
      <c r="PTU25" s="84"/>
      <c r="PTY25" s="84"/>
      <c r="PUC25" s="84"/>
      <c r="PUG25" s="84"/>
      <c r="PUK25" s="84"/>
      <c r="PUO25" s="84"/>
      <c r="PUS25" s="84"/>
      <c r="PUW25" s="84"/>
      <c r="PVA25" s="84"/>
      <c r="PVE25" s="84"/>
      <c r="PVI25" s="84"/>
      <c r="PVM25" s="84"/>
      <c r="PVQ25" s="84"/>
      <c r="PVU25" s="84"/>
      <c r="PVY25" s="84"/>
      <c r="PWC25" s="84"/>
      <c r="PWG25" s="84"/>
      <c r="PWK25" s="84"/>
      <c r="PWO25" s="84"/>
      <c r="PWS25" s="84"/>
      <c r="PWW25" s="84"/>
      <c r="PXA25" s="84"/>
      <c r="PXE25" s="84"/>
      <c r="PXI25" s="84"/>
      <c r="PXM25" s="84"/>
      <c r="PXQ25" s="84"/>
      <c r="PXU25" s="84"/>
      <c r="PXY25" s="84"/>
      <c r="PYC25" s="84"/>
      <c r="PYG25" s="84"/>
      <c r="PYK25" s="84"/>
      <c r="PYO25" s="84"/>
      <c r="PYS25" s="84"/>
      <c r="PYW25" s="84"/>
      <c r="PZA25" s="84"/>
      <c r="PZE25" s="84"/>
      <c r="PZI25" s="84"/>
      <c r="PZM25" s="84"/>
      <c r="PZQ25" s="84"/>
      <c r="PZU25" s="84"/>
      <c r="PZY25" s="84"/>
      <c r="QAC25" s="84"/>
      <c r="QAG25" s="84"/>
      <c r="QAK25" s="84"/>
      <c r="QAO25" s="84"/>
      <c r="QAS25" s="84"/>
      <c r="QAW25" s="84"/>
      <c r="QBA25" s="84"/>
      <c r="QBE25" s="84"/>
      <c r="QBI25" s="84"/>
      <c r="QBM25" s="84"/>
      <c r="QBQ25" s="84"/>
      <c r="QBU25" s="84"/>
      <c r="QBY25" s="84"/>
      <c r="QCC25" s="84"/>
      <c r="QCG25" s="84"/>
      <c r="QCK25" s="84"/>
      <c r="QCO25" s="84"/>
      <c r="QCS25" s="84"/>
      <c r="QCW25" s="84"/>
      <c r="QDA25" s="84"/>
      <c r="QDE25" s="84"/>
      <c r="QDI25" s="84"/>
      <c r="QDM25" s="84"/>
      <c r="QDQ25" s="84"/>
      <c r="QDU25" s="84"/>
      <c r="QDY25" s="84"/>
      <c r="QEC25" s="84"/>
      <c r="QEG25" s="84"/>
      <c r="QEK25" s="84"/>
      <c r="QEO25" s="84"/>
      <c r="QES25" s="84"/>
      <c r="QEW25" s="84"/>
      <c r="QFA25" s="84"/>
      <c r="QFE25" s="84"/>
      <c r="QFI25" s="84"/>
      <c r="QFM25" s="84"/>
      <c r="QFQ25" s="84"/>
      <c r="QFU25" s="84"/>
      <c r="QFY25" s="84"/>
      <c r="QGC25" s="84"/>
      <c r="QGG25" s="84"/>
      <c r="QGK25" s="84"/>
      <c r="QGO25" s="84"/>
      <c r="QGS25" s="84"/>
      <c r="QGW25" s="84"/>
      <c r="QHA25" s="84"/>
      <c r="QHE25" s="84"/>
      <c r="QHI25" s="84"/>
      <c r="QHM25" s="84"/>
      <c r="QHQ25" s="84"/>
      <c r="QHU25" s="84"/>
      <c r="QHY25" s="84"/>
      <c r="QIC25" s="84"/>
      <c r="QIG25" s="84"/>
      <c r="QIK25" s="84"/>
      <c r="QIO25" s="84"/>
      <c r="QIS25" s="84"/>
      <c r="QIW25" s="84"/>
      <c r="QJA25" s="84"/>
      <c r="QJE25" s="84"/>
      <c r="QJI25" s="84"/>
      <c r="QJM25" s="84"/>
      <c r="QJQ25" s="84"/>
      <c r="QJU25" s="84"/>
      <c r="QJY25" s="84"/>
      <c r="QKC25" s="84"/>
      <c r="QKG25" s="84"/>
      <c r="QKK25" s="84"/>
      <c r="QKO25" s="84"/>
      <c r="QKS25" s="84"/>
      <c r="QKW25" s="84"/>
      <c r="QLA25" s="84"/>
      <c r="QLE25" s="84"/>
      <c r="QLI25" s="84"/>
      <c r="QLM25" s="84"/>
      <c r="QLQ25" s="84"/>
      <c r="QLU25" s="84"/>
      <c r="QLY25" s="84"/>
      <c r="QMC25" s="84"/>
      <c r="QMG25" s="84"/>
      <c r="QMK25" s="84"/>
      <c r="QMO25" s="84"/>
      <c r="QMS25" s="84"/>
      <c r="QMW25" s="84"/>
      <c r="QNA25" s="84"/>
      <c r="QNE25" s="84"/>
      <c r="QNI25" s="84"/>
      <c r="QNM25" s="84"/>
      <c r="QNQ25" s="84"/>
      <c r="QNU25" s="84"/>
      <c r="QNY25" s="84"/>
      <c r="QOC25" s="84"/>
      <c r="QOG25" s="84"/>
      <c r="QOK25" s="84"/>
      <c r="QOO25" s="84"/>
      <c r="QOS25" s="84"/>
      <c r="QOW25" s="84"/>
      <c r="QPA25" s="84"/>
      <c r="QPE25" s="84"/>
      <c r="QPI25" s="84"/>
      <c r="QPM25" s="84"/>
      <c r="QPQ25" s="84"/>
      <c r="QPU25" s="84"/>
      <c r="QPY25" s="84"/>
      <c r="QQC25" s="84"/>
      <c r="QQG25" s="84"/>
      <c r="QQK25" s="84"/>
      <c r="QQO25" s="84"/>
      <c r="QQS25" s="84"/>
      <c r="QQW25" s="84"/>
      <c r="QRA25" s="84"/>
      <c r="QRE25" s="84"/>
      <c r="QRI25" s="84"/>
      <c r="QRM25" s="84"/>
      <c r="QRQ25" s="84"/>
      <c r="QRU25" s="84"/>
      <c r="QRY25" s="84"/>
      <c r="QSC25" s="84"/>
      <c r="QSG25" s="84"/>
      <c r="QSK25" s="84"/>
      <c r="QSO25" s="84"/>
      <c r="QSS25" s="84"/>
      <c r="QSW25" s="84"/>
      <c r="QTA25" s="84"/>
      <c r="QTE25" s="84"/>
      <c r="QTI25" s="84"/>
      <c r="QTM25" s="84"/>
      <c r="QTQ25" s="84"/>
      <c r="QTU25" s="84"/>
      <c r="QTY25" s="84"/>
      <c r="QUC25" s="84"/>
      <c r="QUG25" s="84"/>
      <c r="QUK25" s="84"/>
      <c r="QUO25" s="84"/>
      <c r="QUS25" s="84"/>
      <c r="QUW25" s="84"/>
      <c r="QVA25" s="84"/>
      <c r="QVE25" s="84"/>
      <c r="QVI25" s="84"/>
      <c r="QVM25" s="84"/>
      <c r="QVQ25" s="84"/>
      <c r="QVU25" s="84"/>
      <c r="QVY25" s="84"/>
      <c r="QWC25" s="84"/>
      <c r="QWG25" s="84"/>
      <c r="QWK25" s="84"/>
      <c r="QWO25" s="84"/>
      <c r="QWS25" s="84"/>
      <c r="QWW25" s="84"/>
      <c r="QXA25" s="84"/>
      <c r="QXE25" s="84"/>
      <c r="QXI25" s="84"/>
      <c r="QXM25" s="84"/>
      <c r="QXQ25" s="84"/>
      <c r="QXU25" s="84"/>
      <c r="QXY25" s="84"/>
      <c r="QYC25" s="84"/>
      <c r="QYG25" s="84"/>
      <c r="QYK25" s="84"/>
      <c r="QYO25" s="84"/>
      <c r="QYS25" s="84"/>
      <c r="QYW25" s="84"/>
      <c r="QZA25" s="84"/>
      <c r="QZE25" s="84"/>
      <c r="QZI25" s="84"/>
      <c r="QZM25" s="84"/>
      <c r="QZQ25" s="84"/>
      <c r="QZU25" s="84"/>
      <c r="QZY25" s="84"/>
      <c r="RAC25" s="84"/>
      <c r="RAG25" s="84"/>
      <c r="RAK25" s="84"/>
      <c r="RAO25" s="84"/>
      <c r="RAS25" s="84"/>
      <c r="RAW25" s="84"/>
      <c r="RBA25" s="84"/>
      <c r="RBE25" s="84"/>
      <c r="RBI25" s="84"/>
      <c r="RBM25" s="84"/>
      <c r="RBQ25" s="84"/>
      <c r="RBU25" s="84"/>
      <c r="RBY25" s="84"/>
      <c r="RCC25" s="84"/>
      <c r="RCG25" s="84"/>
      <c r="RCK25" s="84"/>
      <c r="RCO25" s="84"/>
      <c r="RCS25" s="84"/>
      <c r="RCW25" s="84"/>
      <c r="RDA25" s="84"/>
      <c r="RDE25" s="84"/>
      <c r="RDI25" s="84"/>
      <c r="RDM25" s="84"/>
      <c r="RDQ25" s="84"/>
      <c r="RDU25" s="84"/>
      <c r="RDY25" s="84"/>
      <c r="REC25" s="84"/>
      <c r="REG25" s="84"/>
      <c r="REK25" s="84"/>
      <c r="REO25" s="84"/>
      <c r="RES25" s="84"/>
      <c r="REW25" s="84"/>
      <c r="RFA25" s="84"/>
      <c r="RFE25" s="84"/>
      <c r="RFI25" s="84"/>
      <c r="RFM25" s="84"/>
      <c r="RFQ25" s="84"/>
      <c r="RFU25" s="84"/>
      <c r="RFY25" s="84"/>
      <c r="RGC25" s="84"/>
      <c r="RGG25" s="84"/>
      <c r="RGK25" s="84"/>
      <c r="RGO25" s="84"/>
      <c r="RGS25" s="84"/>
      <c r="RGW25" s="84"/>
      <c r="RHA25" s="84"/>
      <c r="RHE25" s="84"/>
      <c r="RHI25" s="84"/>
      <c r="RHM25" s="84"/>
      <c r="RHQ25" s="84"/>
      <c r="RHU25" s="84"/>
      <c r="RHY25" s="84"/>
      <c r="RIC25" s="84"/>
      <c r="RIG25" s="84"/>
      <c r="RIK25" s="84"/>
      <c r="RIO25" s="84"/>
      <c r="RIS25" s="84"/>
      <c r="RIW25" s="84"/>
      <c r="RJA25" s="84"/>
      <c r="RJE25" s="84"/>
      <c r="RJI25" s="84"/>
      <c r="RJM25" s="84"/>
      <c r="RJQ25" s="84"/>
      <c r="RJU25" s="84"/>
      <c r="RJY25" s="84"/>
      <c r="RKC25" s="84"/>
      <c r="RKG25" s="84"/>
      <c r="RKK25" s="84"/>
      <c r="RKO25" s="84"/>
      <c r="RKS25" s="84"/>
      <c r="RKW25" s="84"/>
      <c r="RLA25" s="84"/>
      <c r="RLE25" s="84"/>
      <c r="RLI25" s="84"/>
      <c r="RLM25" s="84"/>
      <c r="RLQ25" s="84"/>
      <c r="RLU25" s="84"/>
      <c r="RLY25" s="84"/>
      <c r="RMC25" s="84"/>
      <c r="RMG25" s="84"/>
      <c r="RMK25" s="84"/>
      <c r="RMO25" s="84"/>
      <c r="RMS25" s="84"/>
      <c r="RMW25" s="84"/>
      <c r="RNA25" s="84"/>
      <c r="RNE25" s="84"/>
      <c r="RNI25" s="84"/>
      <c r="RNM25" s="84"/>
      <c r="RNQ25" s="84"/>
      <c r="RNU25" s="84"/>
      <c r="RNY25" s="84"/>
      <c r="ROC25" s="84"/>
      <c r="ROG25" s="84"/>
      <c r="ROK25" s="84"/>
      <c r="ROO25" s="84"/>
      <c r="ROS25" s="84"/>
      <c r="ROW25" s="84"/>
      <c r="RPA25" s="84"/>
      <c r="RPE25" s="84"/>
      <c r="RPI25" s="84"/>
      <c r="RPM25" s="84"/>
      <c r="RPQ25" s="84"/>
      <c r="RPU25" s="84"/>
      <c r="RPY25" s="84"/>
      <c r="RQC25" s="84"/>
      <c r="RQG25" s="84"/>
      <c r="RQK25" s="84"/>
      <c r="RQO25" s="84"/>
      <c r="RQS25" s="84"/>
      <c r="RQW25" s="84"/>
      <c r="RRA25" s="84"/>
      <c r="RRE25" s="84"/>
      <c r="RRI25" s="84"/>
      <c r="RRM25" s="84"/>
      <c r="RRQ25" s="84"/>
      <c r="RRU25" s="84"/>
      <c r="RRY25" s="84"/>
      <c r="RSC25" s="84"/>
      <c r="RSG25" s="84"/>
      <c r="RSK25" s="84"/>
      <c r="RSO25" s="84"/>
      <c r="RSS25" s="84"/>
      <c r="RSW25" s="84"/>
      <c r="RTA25" s="84"/>
      <c r="RTE25" s="84"/>
      <c r="RTI25" s="84"/>
      <c r="RTM25" s="84"/>
      <c r="RTQ25" s="84"/>
      <c r="RTU25" s="84"/>
      <c r="RTY25" s="84"/>
      <c r="RUC25" s="84"/>
      <c r="RUG25" s="84"/>
      <c r="RUK25" s="84"/>
      <c r="RUO25" s="84"/>
      <c r="RUS25" s="84"/>
      <c r="RUW25" s="84"/>
      <c r="RVA25" s="84"/>
      <c r="RVE25" s="84"/>
      <c r="RVI25" s="84"/>
      <c r="RVM25" s="84"/>
      <c r="RVQ25" s="84"/>
      <c r="RVU25" s="84"/>
      <c r="RVY25" s="84"/>
      <c r="RWC25" s="84"/>
      <c r="RWG25" s="84"/>
      <c r="RWK25" s="84"/>
      <c r="RWO25" s="84"/>
      <c r="RWS25" s="84"/>
      <c r="RWW25" s="84"/>
      <c r="RXA25" s="84"/>
      <c r="RXE25" s="84"/>
      <c r="RXI25" s="84"/>
      <c r="RXM25" s="84"/>
      <c r="RXQ25" s="84"/>
      <c r="RXU25" s="84"/>
      <c r="RXY25" s="84"/>
      <c r="RYC25" s="84"/>
      <c r="RYG25" s="84"/>
      <c r="RYK25" s="84"/>
      <c r="RYO25" s="84"/>
      <c r="RYS25" s="84"/>
      <c r="RYW25" s="84"/>
      <c r="RZA25" s="84"/>
      <c r="RZE25" s="84"/>
      <c r="RZI25" s="84"/>
      <c r="RZM25" s="84"/>
      <c r="RZQ25" s="84"/>
      <c r="RZU25" s="84"/>
      <c r="RZY25" s="84"/>
      <c r="SAC25" s="84"/>
      <c r="SAG25" s="84"/>
      <c r="SAK25" s="84"/>
      <c r="SAO25" s="84"/>
      <c r="SAS25" s="84"/>
      <c r="SAW25" s="84"/>
      <c r="SBA25" s="84"/>
      <c r="SBE25" s="84"/>
      <c r="SBI25" s="84"/>
      <c r="SBM25" s="84"/>
      <c r="SBQ25" s="84"/>
      <c r="SBU25" s="84"/>
      <c r="SBY25" s="84"/>
      <c r="SCC25" s="84"/>
      <c r="SCG25" s="84"/>
      <c r="SCK25" s="84"/>
      <c r="SCO25" s="84"/>
      <c r="SCS25" s="84"/>
      <c r="SCW25" s="84"/>
      <c r="SDA25" s="84"/>
      <c r="SDE25" s="84"/>
      <c r="SDI25" s="84"/>
      <c r="SDM25" s="84"/>
      <c r="SDQ25" s="84"/>
      <c r="SDU25" s="84"/>
      <c r="SDY25" s="84"/>
      <c r="SEC25" s="84"/>
      <c r="SEG25" s="84"/>
      <c r="SEK25" s="84"/>
      <c r="SEO25" s="84"/>
      <c r="SES25" s="84"/>
      <c r="SEW25" s="84"/>
      <c r="SFA25" s="84"/>
      <c r="SFE25" s="84"/>
      <c r="SFI25" s="84"/>
      <c r="SFM25" s="84"/>
      <c r="SFQ25" s="84"/>
      <c r="SFU25" s="84"/>
      <c r="SFY25" s="84"/>
      <c r="SGC25" s="84"/>
      <c r="SGG25" s="84"/>
      <c r="SGK25" s="84"/>
      <c r="SGO25" s="84"/>
      <c r="SGS25" s="84"/>
      <c r="SGW25" s="84"/>
      <c r="SHA25" s="84"/>
      <c r="SHE25" s="84"/>
      <c r="SHI25" s="84"/>
      <c r="SHM25" s="84"/>
      <c r="SHQ25" s="84"/>
      <c r="SHU25" s="84"/>
      <c r="SHY25" s="84"/>
      <c r="SIC25" s="84"/>
      <c r="SIG25" s="84"/>
      <c r="SIK25" s="84"/>
      <c r="SIO25" s="84"/>
      <c r="SIS25" s="84"/>
      <c r="SIW25" s="84"/>
      <c r="SJA25" s="84"/>
      <c r="SJE25" s="84"/>
      <c r="SJI25" s="84"/>
      <c r="SJM25" s="84"/>
      <c r="SJQ25" s="84"/>
      <c r="SJU25" s="84"/>
      <c r="SJY25" s="84"/>
      <c r="SKC25" s="84"/>
      <c r="SKG25" s="84"/>
      <c r="SKK25" s="84"/>
      <c r="SKO25" s="84"/>
      <c r="SKS25" s="84"/>
      <c r="SKW25" s="84"/>
      <c r="SLA25" s="84"/>
      <c r="SLE25" s="84"/>
      <c r="SLI25" s="84"/>
      <c r="SLM25" s="84"/>
      <c r="SLQ25" s="84"/>
      <c r="SLU25" s="84"/>
      <c r="SLY25" s="84"/>
      <c r="SMC25" s="84"/>
      <c r="SMG25" s="84"/>
      <c r="SMK25" s="84"/>
      <c r="SMO25" s="84"/>
      <c r="SMS25" s="84"/>
      <c r="SMW25" s="84"/>
      <c r="SNA25" s="84"/>
      <c r="SNE25" s="84"/>
      <c r="SNI25" s="84"/>
      <c r="SNM25" s="84"/>
      <c r="SNQ25" s="84"/>
      <c r="SNU25" s="84"/>
      <c r="SNY25" s="84"/>
      <c r="SOC25" s="84"/>
      <c r="SOG25" s="84"/>
      <c r="SOK25" s="84"/>
      <c r="SOO25" s="84"/>
      <c r="SOS25" s="84"/>
      <c r="SOW25" s="84"/>
      <c r="SPA25" s="84"/>
      <c r="SPE25" s="84"/>
      <c r="SPI25" s="84"/>
      <c r="SPM25" s="84"/>
      <c r="SPQ25" s="84"/>
      <c r="SPU25" s="84"/>
      <c r="SPY25" s="84"/>
      <c r="SQC25" s="84"/>
      <c r="SQG25" s="84"/>
      <c r="SQK25" s="84"/>
      <c r="SQO25" s="84"/>
      <c r="SQS25" s="84"/>
      <c r="SQW25" s="84"/>
      <c r="SRA25" s="84"/>
      <c r="SRE25" s="84"/>
      <c r="SRI25" s="84"/>
      <c r="SRM25" s="84"/>
      <c r="SRQ25" s="84"/>
      <c r="SRU25" s="84"/>
      <c r="SRY25" s="84"/>
      <c r="SSC25" s="84"/>
      <c r="SSG25" s="84"/>
      <c r="SSK25" s="84"/>
      <c r="SSO25" s="84"/>
      <c r="SSS25" s="84"/>
      <c r="SSW25" s="84"/>
      <c r="STA25" s="84"/>
      <c r="STE25" s="84"/>
      <c r="STI25" s="84"/>
      <c r="STM25" s="84"/>
      <c r="STQ25" s="84"/>
      <c r="STU25" s="84"/>
      <c r="STY25" s="84"/>
      <c r="SUC25" s="84"/>
      <c r="SUG25" s="84"/>
      <c r="SUK25" s="84"/>
      <c r="SUO25" s="84"/>
      <c r="SUS25" s="84"/>
      <c r="SUW25" s="84"/>
      <c r="SVA25" s="84"/>
      <c r="SVE25" s="84"/>
      <c r="SVI25" s="84"/>
      <c r="SVM25" s="84"/>
      <c r="SVQ25" s="84"/>
      <c r="SVU25" s="84"/>
      <c r="SVY25" s="84"/>
      <c r="SWC25" s="84"/>
      <c r="SWG25" s="84"/>
      <c r="SWK25" s="84"/>
      <c r="SWO25" s="84"/>
      <c r="SWS25" s="84"/>
      <c r="SWW25" s="84"/>
      <c r="SXA25" s="84"/>
      <c r="SXE25" s="84"/>
      <c r="SXI25" s="84"/>
      <c r="SXM25" s="84"/>
      <c r="SXQ25" s="84"/>
      <c r="SXU25" s="84"/>
      <c r="SXY25" s="84"/>
      <c r="SYC25" s="84"/>
      <c r="SYG25" s="84"/>
      <c r="SYK25" s="84"/>
      <c r="SYO25" s="84"/>
      <c r="SYS25" s="84"/>
      <c r="SYW25" s="84"/>
      <c r="SZA25" s="84"/>
      <c r="SZE25" s="84"/>
      <c r="SZI25" s="84"/>
      <c r="SZM25" s="84"/>
      <c r="SZQ25" s="84"/>
      <c r="SZU25" s="84"/>
      <c r="SZY25" s="84"/>
      <c r="TAC25" s="84"/>
      <c r="TAG25" s="84"/>
      <c r="TAK25" s="84"/>
      <c r="TAO25" s="84"/>
      <c r="TAS25" s="84"/>
      <c r="TAW25" s="84"/>
      <c r="TBA25" s="84"/>
      <c r="TBE25" s="84"/>
      <c r="TBI25" s="84"/>
      <c r="TBM25" s="84"/>
      <c r="TBQ25" s="84"/>
      <c r="TBU25" s="84"/>
      <c r="TBY25" s="84"/>
      <c r="TCC25" s="84"/>
      <c r="TCG25" s="84"/>
      <c r="TCK25" s="84"/>
      <c r="TCO25" s="84"/>
      <c r="TCS25" s="84"/>
      <c r="TCW25" s="84"/>
      <c r="TDA25" s="84"/>
      <c r="TDE25" s="84"/>
      <c r="TDI25" s="84"/>
      <c r="TDM25" s="84"/>
      <c r="TDQ25" s="84"/>
      <c r="TDU25" s="84"/>
      <c r="TDY25" s="84"/>
      <c r="TEC25" s="84"/>
      <c r="TEG25" s="84"/>
      <c r="TEK25" s="84"/>
      <c r="TEO25" s="84"/>
      <c r="TES25" s="84"/>
      <c r="TEW25" s="84"/>
      <c r="TFA25" s="84"/>
      <c r="TFE25" s="84"/>
      <c r="TFI25" s="84"/>
      <c r="TFM25" s="84"/>
      <c r="TFQ25" s="84"/>
      <c r="TFU25" s="84"/>
      <c r="TFY25" s="84"/>
      <c r="TGC25" s="84"/>
      <c r="TGG25" s="84"/>
      <c r="TGK25" s="84"/>
      <c r="TGO25" s="84"/>
      <c r="TGS25" s="84"/>
      <c r="TGW25" s="84"/>
      <c r="THA25" s="84"/>
      <c r="THE25" s="84"/>
      <c r="THI25" s="84"/>
      <c r="THM25" s="84"/>
      <c r="THQ25" s="84"/>
      <c r="THU25" s="84"/>
      <c r="THY25" s="84"/>
      <c r="TIC25" s="84"/>
      <c r="TIG25" s="84"/>
      <c r="TIK25" s="84"/>
      <c r="TIO25" s="84"/>
      <c r="TIS25" s="84"/>
      <c r="TIW25" s="84"/>
      <c r="TJA25" s="84"/>
      <c r="TJE25" s="84"/>
      <c r="TJI25" s="84"/>
      <c r="TJM25" s="84"/>
      <c r="TJQ25" s="84"/>
      <c r="TJU25" s="84"/>
      <c r="TJY25" s="84"/>
      <c r="TKC25" s="84"/>
      <c r="TKG25" s="84"/>
      <c r="TKK25" s="84"/>
      <c r="TKO25" s="84"/>
      <c r="TKS25" s="84"/>
      <c r="TKW25" s="84"/>
      <c r="TLA25" s="84"/>
      <c r="TLE25" s="84"/>
      <c r="TLI25" s="84"/>
      <c r="TLM25" s="84"/>
      <c r="TLQ25" s="84"/>
      <c r="TLU25" s="84"/>
      <c r="TLY25" s="84"/>
      <c r="TMC25" s="84"/>
      <c r="TMG25" s="84"/>
      <c r="TMK25" s="84"/>
      <c r="TMO25" s="84"/>
      <c r="TMS25" s="84"/>
      <c r="TMW25" s="84"/>
      <c r="TNA25" s="84"/>
      <c r="TNE25" s="84"/>
      <c r="TNI25" s="84"/>
      <c r="TNM25" s="84"/>
      <c r="TNQ25" s="84"/>
      <c r="TNU25" s="84"/>
      <c r="TNY25" s="84"/>
      <c r="TOC25" s="84"/>
      <c r="TOG25" s="84"/>
      <c r="TOK25" s="84"/>
      <c r="TOO25" s="84"/>
      <c r="TOS25" s="84"/>
      <c r="TOW25" s="84"/>
      <c r="TPA25" s="84"/>
      <c r="TPE25" s="84"/>
      <c r="TPI25" s="84"/>
      <c r="TPM25" s="84"/>
      <c r="TPQ25" s="84"/>
      <c r="TPU25" s="84"/>
      <c r="TPY25" s="84"/>
      <c r="TQC25" s="84"/>
      <c r="TQG25" s="84"/>
      <c r="TQK25" s="84"/>
      <c r="TQO25" s="84"/>
      <c r="TQS25" s="84"/>
      <c r="TQW25" s="84"/>
      <c r="TRA25" s="84"/>
      <c r="TRE25" s="84"/>
      <c r="TRI25" s="84"/>
      <c r="TRM25" s="84"/>
      <c r="TRQ25" s="84"/>
      <c r="TRU25" s="84"/>
      <c r="TRY25" s="84"/>
      <c r="TSC25" s="84"/>
      <c r="TSG25" s="84"/>
      <c r="TSK25" s="84"/>
      <c r="TSO25" s="84"/>
      <c r="TSS25" s="84"/>
      <c r="TSW25" s="84"/>
      <c r="TTA25" s="84"/>
      <c r="TTE25" s="84"/>
      <c r="TTI25" s="84"/>
      <c r="TTM25" s="84"/>
      <c r="TTQ25" s="84"/>
      <c r="TTU25" s="84"/>
      <c r="TTY25" s="84"/>
      <c r="TUC25" s="84"/>
      <c r="TUG25" s="84"/>
      <c r="TUK25" s="84"/>
      <c r="TUO25" s="84"/>
      <c r="TUS25" s="84"/>
      <c r="TUW25" s="84"/>
      <c r="TVA25" s="84"/>
      <c r="TVE25" s="84"/>
      <c r="TVI25" s="84"/>
      <c r="TVM25" s="84"/>
      <c r="TVQ25" s="84"/>
      <c r="TVU25" s="84"/>
      <c r="TVY25" s="84"/>
      <c r="TWC25" s="84"/>
      <c r="TWG25" s="84"/>
      <c r="TWK25" s="84"/>
      <c r="TWO25" s="84"/>
      <c r="TWS25" s="84"/>
      <c r="TWW25" s="84"/>
      <c r="TXA25" s="84"/>
      <c r="TXE25" s="84"/>
      <c r="TXI25" s="84"/>
      <c r="TXM25" s="84"/>
      <c r="TXQ25" s="84"/>
      <c r="TXU25" s="84"/>
      <c r="TXY25" s="84"/>
      <c r="TYC25" s="84"/>
      <c r="TYG25" s="84"/>
      <c r="TYK25" s="84"/>
      <c r="TYO25" s="84"/>
      <c r="TYS25" s="84"/>
      <c r="TYW25" s="84"/>
      <c r="TZA25" s="84"/>
      <c r="TZE25" s="84"/>
      <c r="TZI25" s="84"/>
      <c r="TZM25" s="84"/>
      <c r="TZQ25" s="84"/>
      <c r="TZU25" s="84"/>
      <c r="TZY25" s="84"/>
      <c r="UAC25" s="84"/>
      <c r="UAG25" s="84"/>
      <c r="UAK25" s="84"/>
      <c r="UAO25" s="84"/>
      <c r="UAS25" s="84"/>
      <c r="UAW25" s="84"/>
      <c r="UBA25" s="84"/>
      <c r="UBE25" s="84"/>
      <c r="UBI25" s="84"/>
      <c r="UBM25" s="84"/>
      <c r="UBQ25" s="84"/>
      <c r="UBU25" s="84"/>
      <c r="UBY25" s="84"/>
      <c r="UCC25" s="84"/>
      <c r="UCG25" s="84"/>
      <c r="UCK25" s="84"/>
      <c r="UCO25" s="84"/>
      <c r="UCS25" s="84"/>
      <c r="UCW25" s="84"/>
      <c r="UDA25" s="84"/>
      <c r="UDE25" s="84"/>
      <c r="UDI25" s="84"/>
      <c r="UDM25" s="84"/>
      <c r="UDQ25" s="84"/>
      <c r="UDU25" s="84"/>
      <c r="UDY25" s="84"/>
      <c r="UEC25" s="84"/>
      <c r="UEG25" s="84"/>
      <c r="UEK25" s="84"/>
      <c r="UEO25" s="84"/>
      <c r="UES25" s="84"/>
      <c r="UEW25" s="84"/>
      <c r="UFA25" s="84"/>
      <c r="UFE25" s="84"/>
      <c r="UFI25" s="84"/>
      <c r="UFM25" s="84"/>
      <c r="UFQ25" s="84"/>
      <c r="UFU25" s="84"/>
      <c r="UFY25" s="84"/>
      <c r="UGC25" s="84"/>
      <c r="UGG25" s="84"/>
      <c r="UGK25" s="84"/>
      <c r="UGO25" s="84"/>
      <c r="UGS25" s="84"/>
      <c r="UGW25" s="84"/>
      <c r="UHA25" s="84"/>
      <c r="UHE25" s="84"/>
      <c r="UHI25" s="84"/>
      <c r="UHM25" s="84"/>
      <c r="UHQ25" s="84"/>
      <c r="UHU25" s="84"/>
      <c r="UHY25" s="84"/>
      <c r="UIC25" s="84"/>
      <c r="UIG25" s="84"/>
      <c r="UIK25" s="84"/>
      <c r="UIO25" s="84"/>
      <c r="UIS25" s="84"/>
      <c r="UIW25" s="84"/>
      <c r="UJA25" s="84"/>
      <c r="UJE25" s="84"/>
      <c r="UJI25" s="84"/>
      <c r="UJM25" s="84"/>
      <c r="UJQ25" s="84"/>
      <c r="UJU25" s="84"/>
      <c r="UJY25" s="84"/>
      <c r="UKC25" s="84"/>
      <c r="UKG25" s="84"/>
      <c r="UKK25" s="84"/>
      <c r="UKO25" s="84"/>
      <c r="UKS25" s="84"/>
      <c r="UKW25" s="84"/>
      <c r="ULA25" s="84"/>
      <c r="ULE25" s="84"/>
      <c r="ULI25" s="84"/>
      <c r="ULM25" s="84"/>
      <c r="ULQ25" s="84"/>
      <c r="ULU25" s="84"/>
      <c r="ULY25" s="84"/>
      <c r="UMC25" s="84"/>
      <c r="UMG25" s="84"/>
      <c r="UMK25" s="84"/>
      <c r="UMO25" s="84"/>
      <c r="UMS25" s="84"/>
      <c r="UMW25" s="84"/>
      <c r="UNA25" s="84"/>
      <c r="UNE25" s="84"/>
      <c r="UNI25" s="84"/>
      <c r="UNM25" s="84"/>
      <c r="UNQ25" s="84"/>
      <c r="UNU25" s="84"/>
      <c r="UNY25" s="84"/>
      <c r="UOC25" s="84"/>
      <c r="UOG25" s="84"/>
      <c r="UOK25" s="84"/>
      <c r="UOO25" s="84"/>
      <c r="UOS25" s="84"/>
      <c r="UOW25" s="84"/>
      <c r="UPA25" s="84"/>
      <c r="UPE25" s="84"/>
      <c r="UPI25" s="84"/>
      <c r="UPM25" s="84"/>
      <c r="UPQ25" s="84"/>
      <c r="UPU25" s="84"/>
      <c r="UPY25" s="84"/>
      <c r="UQC25" s="84"/>
      <c r="UQG25" s="84"/>
      <c r="UQK25" s="84"/>
      <c r="UQO25" s="84"/>
      <c r="UQS25" s="84"/>
      <c r="UQW25" s="84"/>
      <c r="URA25" s="84"/>
      <c r="URE25" s="84"/>
      <c r="URI25" s="84"/>
      <c r="URM25" s="84"/>
      <c r="URQ25" s="84"/>
      <c r="URU25" s="84"/>
      <c r="URY25" s="84"/>
      <c r="USC25" s="84"/>
      <c r="USG25" s="84"/>
      <c r="USK25" s="84"/>
      <c r="USO25" s="84"/>
      <c r="USS25" s="84"/>
      <c r="USW25" s="84"/>
      <c r="UTA25" s="84"/>
      <c r="UTE25" s="84"/>
      <c r="UTI25" s="84"/>
      <c r="UTM25" s="84"/>
      <c r="UTQ25" s="84"/>
      <c r="UTU25" s="84"/>
      <c r="UTY25" s="84"/>
      <c r="UUC25" s="84"/>
      <c r="UUG25" s="84"/>
      <c r="UUK25" s="84"/>
      <c r="UUO25" s="84"/>
      <c r="UUS25" s="84"/>
      <c r="UUW25" s="84"/>
      <c r="UVA25" s="84"/>
      <c r="UVE25" s="84"/>
      <c r="UVI25" s="84"/>
      <c r="UVM25" s="84"/>
      <c r="UVQ25" s="84"/>
      <c r="UVU25" s="84"/>
      <c r="UVY25" s="84"/>
      <c r="UWC25" s="84"/>
      <c r="UWG25" s="84"/>
      <c r="UWK25" s="84"/>
      <c r="UWO25" s="84"/>
      <c r="UWS25" s="84"/>
      <c r="UWW25" s="84"/>
      <c r="UXA25" s="84"/>
      <c r="UXE25" s="84"/>
      <c r="UXI25" s="84"/>
      <c r="UXM25" s="84"/>
      <c r="UXQ25" s="84"/>
      <c r="UXU25" s="84"/>
      <c r="UXY25" s="84"/>
      <c r="UYC25" s="84"/>
      <c r="UYG25" s="84"/>
      <c r="UYK25" s="84"/>
      <c r="UYO25" s="84"/>
      <c r="UYS25" s="84"/>
      <c r="UYW25" s="84"/>
      <c r="UZA25" s="84"/>
      <c r="UZE25" s="84"/>
      <c r="UZI25" s="84"/>
      <c r="UZM25" s="84"/>
      <c r="UZQ25" s="84"/>
      <c r="UZU25" s="84"/>
      <c r="UZY25" s="84"/>
      <c r="VAC25" s="84"/>
      <c r="VAG25" s="84"/>
      <c r="VAK25" s="84"/>
      <c r="VAO25" s="84"/>
      <c r="VAS25" s="84"/>
      <c r="VAW25" s="84"/>
      <c r="VBA25" s="84"/>
      <c r="VBE25" s="84"/>
      <c r="VBI25" s="84"/>
      <c r="VBM25" s="84"/>
      <c r="VBQ25" s="84"/>
      <c r="VBU25" s="84"/>
      <c r="VBY25" s="84"/>
      <c r="VCC25" s="84"/>
      <c r="VCG25" s="84"/>
      <c r="VCK25" s="84"/>
      <c r="VCO25" s="84"/>
      <c r="VCS25" s="84"/>
      <c r="VCW25" s="84"/>
      <c r="VDA25" s="84"/>
      <c r="VDE25" s="84"/>
      <c r="VDI25" s="84"/>
      <c r="VDM25" s="84"/>
      <c r="VDQ25" s="84"/>
      <c r="VDU25" s="84"/>
      <c r="VDY25" s="84"/>
      <c r="VEC25" s="84"/>
      <c r="VEG25" s="84"/>
      <c r="VEK25" s="84"/>
      <c r="VEO25" s="84"/>
      <c r="VES25" s="84"/>
      <c r="VEW25" s="84"/>
      <c r="VFA25" s="84"/>
      <c r="VFE25" s="84"/>
      <c r="VFI25" s="84"/>
      <c r="VFM25" s="84"/>
      <c r="VFQ25" s="84"/>
      <c r="VFU25" s="84"/>
      <c r="VFY25" s="84"/>
      <c r="VGC25" s="84"/>
      <c r="VGG25" s="84"/>
      <c r="VGK25" s="84"/>
      <c r="VGO25" s="84"/>
      <c r="VGS25" s="84"/>
      <c r="VGW25" s="84"/>
      <c r="VHA25" s="84"/>
      <c r="VHE25" s="84"/>
      <c r="VHI25" s="84"/>
      <c r="VHM25" s="84"/>
      <c r="VHQ25" s="84"/>
      <c r="VHU25" s="84"/>
      <c r="VHY25" s="84"/>
      <c r="VIC25" s="84"/>
      <c r="VIG25" s="84"/>
      <c r="VIK25" s="84"/>
      <c r="VIO25" s="84"/>
      <c r="VIS25" s="84"/>
      <c r="VIW25" s="84"/>
      <c r="VJA25" s="84"/>
      <c r="VJE25" s="84"/>
      <c r="VJI25" s="84"/>
      <c r="VJM25" s="84"/>
      <c r="VJQ25" s="84"/>
      <c r="VJU25" s="84"/>
      <c r="VJY25" s="84"/>
      <c r="VKC25" s="84"/>
      <c r="VKG25" s="84"/>
      <c r="VKK25" s="84"/>
      <c r="VKO25" s="84"/>
      <c r="VKS25" s="84"/>
      <c r="VKW25" s="84"/>
      <c r="VLA25" s="84"/>
      <c r="VLE25" s="84"/>
      <c r="VLI25" s="84"/>
      <c r="VLM25" s="84"/>
      <c r="VLQ25" s="84"/>
      <c r="VLU25" s="84"/>
      <c r="VLY25" s="84"/>
      <c r="VMC25" s="84"/>
      <c r="VMG25" s="84"/>
      <c r="VMK25" s="84"/>
      <c r="VMO25" s="84"/>
      <c r="VMS25" s="84"/>
      <c r="VMW25" s="84"/>
      <c r="VNA25" s="84"/>
      <c r="VNE25" s="84"/>
      <c r="VNI25" s="84"/>
      <c r="VNM25" s="84"/>
      <c r="VNQ25" s="84"/>
      <c r="VNU25" s="84"/>
      <c r="VNY25" s="84"/>
      <c r="VOC25" s="84"/>
      <c r="VOG25" s="84"/>
      <c r="VOK25" s="84"/>
      <c r="VOO25" s="84"/>
      <c r="VOS25" s="84"/>
      <c r="VOW25" s="84"/>
      <c r="VPA25" s="84"/>
      <c r="VPE25" s="84"/>
      <c r="VPI25" s="84"/>
      <c r="VPM25" s="84"/>
      <c r="VPQ25" s="84"/>
      <c r="VPU25" s="84"/>
      <c r="VPY25" s="84"/>
      <c r="VQC25" s="84"/>
      <c r="VQG25" s="84"/>
      <c r="VQK25" s="84"/>
      <c r="VQO25" s="84"/>
      <c r="VQS25" s="84"/>
      <c r="VQW25" s="84"/>
      <c r="VRA25" s="84"/>
      <c r="VRE25" s="84"/>
      <c r="VRI25" s="84"/>
      <c r="VRM25" s="84"/>
      <c r="VRQ25" s="84"/>
      <c r="VRU25" s="84"/>
      <c r="VRY25" s="84"/>
      <c r="VSC25" s="84"/>
      <c r="VSG25" s="84"/>
      <c r="VSK25" s="84"/>
      <c r="VSO25" s="84"/>
      <c r="VSS25" s="84"/>
      <c r="VSW25" s="84"/>
      <c r="VTA25" s="84"/>
      <c r="VTE25" s="84"/>
      <c r="VTI25" s="84"/>
      <c r="VTM25" s="84"/>
      <c r="VTQ25" s="84"/>
      <c r="VTU25" s="84"/>
      <c r="VTY25" s="84"/>
      <c r="VUC25" s="84"/>
      <c r="VUG25" s="84"/>
      <c r="VUK25" s="84"/>
      <c r="VUO25" s="84"/>
      <c r="VUS25" s="84"/>
      <c r="VUW25" s="84"/>
      <c r="VVA25" s="84"/>
      <c r="VVE25" s="84"/>
      <c r="VVI25" s="84"/>
      <c r="VVM25" s="84"/>
      <c r="VVQ25" s="84"/>
      <c r="VVU25" s="84"/>
      <c r="VVY25" s="84"/>
      <c r="VWC25" s="84"/>
      <c r="VWG25" s="84"/>
      <c r="VWK25" s="84"/>
      <c r="VWO25" s="84"/>
      <c r="VWS25" s="84"/>
      <c r="VWW25" s="84"/>
      <c r="VXA25" s="84"/>
      <c r="VXE25" s="84"/>
      <c r="VXI25" s="84"/>
      <c r="VXM25" s="84"/>
      <c r="VXQ25" s="84"/>
      <c r="VXU25" s="84"/>
      <c r="VXY25" s="84"/>
      <c r="VYC25" s="84"/>
      <c r="VYG25" s="84"/>
      <c r="VYK25" s="84"/>
      <c r="VYO25" s="84"/>
      <c r="VYS25" s="84"/>
      <c r="VYW25" s="84"/>
      <c r="VZA25" s="84"/>
      <c r="VZE25" s="84"/>
      <c r="VZI25" s="84"/>
      <c r="VZM25" s="84"/>
      <c r="VZQ25" s="84"/>
      <c r="VZU25" s="84"/>
      <c r="VZY25" s="84"/>
      <c r="WAC25" s="84"/>
      <c r="WAG25" s="84"/>
      <c r="WAK25" s="84"/>
      <c r="WAO25" s="84"/>
      <c r="WAS25" s="84"/>
      <c r="WAW25" s="84"/>
      <c r="WBA25" s="84"/>
      <c r="WBE25" s="84"/>
      <c r="WBI25" s="84"/>
      <c r="WBM25" s="84"/>
      <c r="WBQ25" s="84"/>
      <c r="WBU25" s="84"/>
      <c r="WBY25" s="84"/>
      <c r="WCC25" s="84"/>
      <c r="WCG25" s="84"/>
      <c r="WCK25" s="84"/>
      <c r="WCO25" s="84"/>
      <c r="WCS25" s="84"/>
      <c r="WCW25" s="84"/>
      <c r="WDA25" s="84"/>
      <c r="WDE25" s="84"/>
      <c r="WDI25" s="84"/>
      <c r="WDM25" s="84"/>
      <c r="WDQ25" s="84"/>
      <c r="WDU25" s="84"/>
      <c r="WDY25" s="84"/>
      <c r="WEC25" s="84"/>
      <c r="WEG25" s="84"/>
      <c r="WEK25" s="84"/>
      <c r="WEO25" s="84"/>
      <c r="WES25" s="84"/>
      <c r="WEW25" s="84"/>
      <c r="WFA25" s="84"/>
      <c r="WFE25" s="84"/>
      <c r="WFI25" s="84"/>
      <c r="WFM25" s="84"/>
      <c r="WFQ25" s="84"/>
      <c r="WFU25" s="84"/>
      <c r="WFY25" s="84"/>
      <c r="WGC25" s="84"/>
      <c r="WGG25" s="84"/>
      <c r="WGK25" s="84"/>
      <c r="WGO25" s="84"/>
      <c r="WGS25" s="84"/>
      <c r="WGW25" s="84"/>
      <c r="WHA25" s="84"/>
      <c r="WHE25" s="84"/>
      <c r="WHI25" s="84"/>
      <c r="WHM25" s="84"/>
      <c r="WHQ25" s="84"/>
      <c r="WHU25" s="84"/>
      <c r="WHY25" s="84"/>
      <c r="WIC25" s="84"/>
      <c r="WIG25" s="84"/>
      <c r="WIK25" s="84"/>
      <c r="WIO25" s="84"/>
      <c r="WIS25" s="84"/>
      <c r="WIW25" s="84"/>
      <c r="WJA25" s="84"/>
      <c r="WJE25" s="84"/>
      <c r="WJI25" s="84"/>
      <c r="WJM25" s="84"/>
      <c r="WJQ25" s="84"/>
      <c r="WJU25" s="84"/>
      <c r="WJY25" s="84"/>
      <c r="WKC25" s="84"/>
      <c r="WKG25" s="84"/>
      <c r="WKK25" s="84"/>
      <c r="WKO25" s="84"/>
      <c r="WKS25" s="84"/>
      <c r="WKW25" s="84"/>
      <c r="WLA25" s="84"/>
      <c r="WLE25" s="84"/>
      <c r="WLI25" s="84"/>
      <c r="WLM25" s="84"/>
      <c r="WLQ25" s="84"/>
      <c r="WLU25" s="84"/>
      <c r="WLY25" s="84"/>
      <c r="WMC25" s="84"/>
      <c r="WMG25" s="84"/>
      <c r="WMK25" s="84"/>
      <c r="WMO25" s="84"/>
      <c r="WMS25" s="84"/>
      <c r="WMW25" s="84"/>
      <c r="WNA25" s="84"/>
      <c r="WNE25" s="84"/>
      <c r="WNI25" s="84"/>
      <c r="WNM25" s="84"/>
      <c r="WNQ25" s="84"/>
      <c r="WNU25" s="84"/>
      <c r="WNY25" s="84"/>
      <c r="WOC25" s="84"/>
      <c r="WOG25" s="84"/>
      <c r="WOK25" s="84"/>
      <c r="WOO25" s="84"/>
      <c r="WOS25" s="84"/>
      <c r="WOW25" s="84"/>
      <c r="WPA25" s="84"/>
      <c r="WPE25" s="84"/>
      <c r="WPI25" s="84"/>
      <c r="WPM25" s="84"/>
      <c r="WPQ25" s="84"/>
      <c r="WPU25" s="84"/>
      <c r="WPY25" s="84"/>
      <c r="WQC25" s="84"/>
      <c r="WQG25" s="84"/>
      <c r="WQK25" s="84"/>
      <c r="WQO25" s="84"/>
      <c r="WQS25" s="84"/>
      <c r="WQW25" s="84"/>
      <c r="WRA25" s="84"/>
      <c r="WRE25" s="84"/>
      <c r="WRI25" s="84"/>
      <c r="WRM25" s="84"/>
      <c r="WRQ25" s="84"/>
      <c r="WRU25" s="84"/>
      <c r="WRY25" s="84"/>
      <c r="WSC25" s="84"/>
      <c r="WSG25" s="84"/>
      <c r="WSK25" s="84"/>
      <c r="WSO25" s="84"/>
      <c r="WSS25" s="84"/>
      <c r="WSW25" s="84"/>
      <c r="WTA25" s="84"/>
      <c r="WTE25" s="84"/>
      <c r="WTI25" s="84"/>
      <c r="WTM25" s="84"/>
      <c r="WTQ25" s="84"/>
      <c r="WTU25" s="84"/>
      <c r="WTY25" s="84"/>
      <c r="WUC25" s="84"/>
      <c r="WUG25" s="84"/>
      <c r="WUK25" s="84"/>
      <c r="WUO25" s="84"/>
      <c r="WUS25" s="84"/>
      <c r="WUW25" s="84"/>
      <c r="WVA25" s="84"/>
      <c r="WVE25" s="84"/>
      <c r="WVI25" s="84"/>
      <c r="WVM25" s="84"/>
      <c r="WVQ25" s="84"/>
      <c r="WVU25" s="84"/>
      <c r="WVY25" s="84"/>
      <c r="WWC25" s="84"/>
      <c r="WWG25" s="84"/>
      <c r="WWK25" s="84"/>
      <c r="WWO25" s="84"/>
      <c r="WWS25" s="84"/>
      <c r="WWW25" s="84"/>
      <c r="WXA25" s="84"/>
      <c r="WXE25" s="84"/>
      <c r="WXI25" s="84"/>
      <c r="WXM25" s="84"/>
      <c r="WXQ25" s="84"/>
      <c r="WXU25" s="84"/>
      <c r="WXY25" s="84"/>
      <c r="WYC25" s="84"/>
      <c r="WYG25" s="84"/>
      <c r="WYK25" s="84"/>
      <c r="WYO25" s="84"/>
      <c r="WYS25" s="84"/>
      <c r="WYW25" s="84"/>
      <c r="WZA25" s="84"/>
      <c r="WZE25" s="84"/>
      <c r="WZI25" s="84"/>
      <c r="WZM25" s="84"/>
      <c r="WZQ25" s="84"/>
      <c r="WZU25" s="84"/>
      <c r="WZY25" s="84"/>
      <c r="XAC25" s="84"/>
      <c r="XAG25" s="84"/>
      <c r="XAK25" s="84"/>
      <c r="XAO25" s="84"/>
      <c r="XAS25" s="84"/>
      <c r="XAW25" s="84"/>
      <c r="XBA25" s="84"/>
      <c r="XBE25" s="84"/>
      <c r="XBI25" s="84"/>
      <c r="XBM25" s="84"/>
      <c r="XBQ25" s="84"/>
      <c r="XBU25" s="84"/>
      <c r="XBY25" s="84"/>
      <c r="XCC25" s="84"/>
      <c r="XCG25" s="84"/>
      <c r="XCK25" s="84"/>
      <c r="XCO25" s="84"/>
      <c r="XCS25" s="84"/>
      <c r="XCW25" s="84"/>
      <c r="XDA25" s="84"/>
      <c r="XDE25" s="84"/>
      <c r="XDI25" s="84"/>
      <c r="XDM25" s="84"/>
      <c r="XDQ25" s="84"/>
      <c r="XDU25" s="84"/>
      <c r="XDY25" s="84"/>
      <c r="XEC25" s="84"/>
      <c r="XEG25" s="84"/>
      <c r="XEK25" s="84"/>
      <c r="XEO25" s="84"/>
      <c r="XES25" s="84"/>
      <c r="XEW25" s="84"/>
      <c r="XFA25" s="84"/>
    </row>
    <row r="26" spans="1:1021 1025:2045 2049:3069 3073:4093 4097:5117 5121:6141 6145:7165 7169:8189 8193:9213 9217:10237 10241:11261 11265:12285 12289:13309 13313:14333 14337:15357 15361:16381" s="80" customFormat="1" outlineLevel="1">
      <c r="A26" s="81"/>
      <c r="C26" s="65" t="s">
        <v>128</v>
      </c>
      <c r="D26" s="4"/>
      <c r="E26" s="82"/>
      <c r="F26" s="82"/>
      <c r="G26" s="71"/>
      <c r="H26" s="71"/>
      <c r="I26" s="71"/>
      <c r="M26" s="81"/>
      <c r="Q26" s="81"/>
      <c r="U26" s="81"/>
      <c r="Y26" s="81"/>
      <c r="AC26" s="81"/>
      <c r="AG26" s="81"/>
      <c r="AK26" s="81"/>
      <c r="AO26" s="81"/>
      <c r="AS26" s="81"/>
      <c r="AW26" s="81"/>
      <c r="BA26" s="81"/>
      <c r="BE26" s="81"/>
      <c r="BI26" s="81"/>
      <c r="BM26" s="81"/>
      <c r="BQ26" s="81"/>
      <c r="BU26" s="81"/>
      <c r="BY26" s="81"/>
      <c r="CC26" s="81"/>
      <c r="CG26" s="81"/>
      <c r="CK26" s="81"/>
      <c r="CO26" s="81"/>
      <c r="CS26" s="81"/>
      <c r="CW26" s="81"/>
      <c r="DA26" s="81"/>
      <c r="DE26" s="81"/>
      <c r="DI26" s="81"/>
      <c r="DM26" s="81"/>
      <c r="DQ26" s="81"/>
      <c r="DU26" s="81"/>
      <c r="DY26" s="81"/>
      <c r="EC26" s="81"/>
      <c r="EG26" s="81"/>
      <c r="EK26" s="81"/>
      <c r="EO26" s="81"/>
      <c r="ES26" s="81"/>
      <c r="EW26" s="81"/>
      <c r="FA26" s="81"/>
      <c r="FE26" s="81"/>
      <c r="FI26" s="81"/>
      <c r="FM26" s="81"/>
      <c r="FQ26" s="81"/>
      <c r="FU26" s="81"/>
      <c r="FY26" s="81"/>
      <c r="GC26" s="81"/>
      <c r="GG26" s="81"/>
      <c r="GK26" s="81"/>
      <c r="GO26" s="81"/>
      <c r="GS26" s="81"/>
      <c r="GW26" s="81"/>
      <c r="HA26" s="81"/>
      <c r="HE26" s="81"/>
      <c r="HI26" s="81"/>
      <c r="HM26" s="81"/>
      <c r="HQ26" s="81"/>
      <c r="HU26" s="81"/>
      <c r="HY26" s="81"/>
      <c r="IC26" s="81"/>
      <c r="IG26" s="81"/>
      <c r="IK26" s="81"/>
      <c r="IO26" s="81"/>
      <c r="IS26" s="81"/>
      <c r="IW26" s="81"/>
      <c r="JA26" s="81"/>
      <c r="JE26" s="81"/>
      <c r="JI26" s="81"/>
      <c r="JM26" s="81"/>
      <c r="JQ26" s="81"/>
      <c r="JU26" s="81"/>
      <c r="JY26" s="81"/>
      <c r="KC26" s="81"/>
      <c r="KG26" s="81"/>
      <c r="KK26" s="81"/>
      <c r="KO26" s="81"/>
      <c r="KS26" s="81"/>
      <c r="KW26" s="81"/>
      <c r="LA26" s="81"/>
      <c r="LE26" s="81"/>
      <c r="LI26" s="81"/>
      <c r="LM26" s="81"/>
      <c r="LQ26" s="81"/>
      <c r="LU26" s="81"/>
      <c r="LY26" s="81"/>
      <c r="MC26" s="81"/>
      <c r="MG26" s="81"/>
      <c r="MK26" s="81"/>
      <c r="MO26" s="81"/>
      <c r="MS26" s="81"/>
      <c r="MW26" s="81"/>
      <c r="NA26" s="81"/>
      <c r="NE26" s="81"/>
      <c r="NI26" s="81"/>
      <c r="NM26" s="81"/>
      <c r="NQ26" s="81"/>
      <c r="NU26" s="81"/>
      <c r="NY26" s="81"/>
      <c r="OC26" s="81"/>
      <c r="OG26" s="81"/>
      <c r="OK26" s="81"/>
      <c r="OO26" s="81"/>
      <c r="OS26" s="81"/>
      <c r="OW26" s="81"/>
      <c r="PA26" s="81"/>
      <c r="PE26" s="81"/>
      <c r="PI26" s="81"/>
      <c r="PM26" s="81"/>
      <c r="PQ26" s="81"/>
      <c r="PU26" s="81"/>
      <c r="PY26" s="81"/>
      <c r="QC26" s="81"/>
      <c r="QG26" s="81"/>
      <c r="QK26" s="81"/>
      <c r="QO26" s="81"/>
      <c r="QS26" s="81"/>
      <c r="QW26" s="81"/>
      <c r="RA26" s="81"/>
      <c r="RE26" s="81"/>
      <c r="RI26" s="81"/>
      <c r="RM26" s="81"/>
      <c r="RQ26" s="81"/>
      <c r="RU26" s="81"/>
      <c r="RY26" s="81"/>
      <c r="SC26" s="81"/>
      <c r="SG26" s="81"/>
      <c r="SK26" s="81"/>
      <c r="SO26" s="81"/>
      <c r="SS26" s="81"/>
      <c r="SW26" s="81"/>
      <c r="TA26" s="81"/>
      <c r="TE26" s="81"/>
      <c r="TI26" s="81"/>
      <c r="TM26" s="81"/>
      <c r="TQ26" s="81"/>
      <c r="TU26" s="81"/>
      <c r="TY26" s="81"/>
      <c r="UC26" s="81"/>
      <c r="UG26" s="81"/>
      <c r="UK26" s="81"/>
      <c r="UO26" s="81"/>
      <c r="US26" s="81"/>
      <c r="UW26" s="81"/>
      <c r="VA26" s="81"/>
      <c r="VE26" s="81"/>
      <c r="VI26" s="81"/>
      <c r="VM26" s="81"/>
      <c r="VQ26" s="81"/>
      <c r="VU26" s="81"/>
      <c r="VY26" s="81"/>
      <c r="WC26" s="81"/>
      <c r="WG26" s="81"/>
      <c r="WK26" s="81"/>
      <c r="WO26" s="81"/>
      <c r="WS26" s="81"/>
      <c r="WW26" s="81"/>
      <c r="XA26" s="81"/>
      <c r="XE26" s="81"/>
      <c r="XI26" s="81"/>
      <c r="XM26" s="81"/>
      <c r="XQ26" s="81"/>
      <c r="XU26" s="81"/>
      <c r="XY26" s="81"/>
      <c r="YC26" s="81"/>
      <c r="YG26" s="81"/>
      <c r="YK26" s="81"/>
      <c r="YO26" s="81"/>
      <c r="YS26" s="81"/>
      <c r="YW26" s="81"/>
      <c r="ZA26" s="81"/>
      <c r="ZE26" s="81"/>
      <c r="ZI26" s="81"/>
      <c r="ZM26" s="81"/>
      <c r="ZQ26" s="81"/>
      <c r="ZU26" s="81"/>
      <c r="ZY26" s="81"/>
      <c r="AAC26" s="81"/>
      <c r="AAG26" s="81"/>
      <c r="AAK26" s="81"/>
      <c r="AAO26" s="81"/>
      <c r="AAS26" s="81"/>
      <c r="AAW26" s="81"/>
      <c r="ABA26" s="81"/>
      <c r="ABE26" s="81"/>
      <c r="ABI26" s="81"/>
      <c r="ABM26" s="81"/>
      <c r="ABQ26" s="81"/>
      <c r="ABU26" s="81"/>
      <c r="ABY26" s="81"/>
      <c r="ACC26" s="81"/>
      <c r="ACG26" s="81"/>
      <c r="ACK26" s="81"/>
      <c r="ACO26" s="81"/>
      <c r="ACS26" s="81"/>
      <c r="ACW26" s="81"/>
      <c r="ADA26" s="81"/>
      <c r="ADE26" s="81"/>
      <c r="ADI26" s="81"/>
      <c r="ADM26" s="81"/>
      <c r="ADQ26" s="81"/>
      <c r="ADU26" s="81"/>
      <c r="ADY26" s="81"/>
      <c r="AEC26" s="81"/>
      <c r="AEG26" s="81"/>
      <c r="AEK26" s="81"/>
      <c r="AEO26" s="81"/>
      <c r="AES26" s="81"/>
      <c r="AEW26" s="81"/>
      <c r="AFA26" s="81"/>
      <c r="AFE26" s="81"/>
      <c r="AFI26" s="81"/>
      <c r="AFM26" s="81"/>
      <c r="AFQ26" s="81"/>
      <c r="AFU26" s="81"/>
      <c r="AFY26" s="81"/>
      <c r="AGC26" s="81"/>
      <c r="AGG26" s="81"/>
      <c r="AGK26" s="81"/>
      <c r="AGO26" s="81"/>
      <c r="AGS26" s="81"/>
      <c r="AGW26" s="81"/>
      <c r="AHA26" s="81"/>
      <c r="AHE26" s="81"/>
      <c r="AHI26" s="81"/>
      <c r="AHM26" s="81"/>
      <c r="AHQ26" s="81"/>
      <c r="AHU26" s="81"/>
      <c r="AHY26" s="81"/>
      <c r="AIC26" s="81"/>
      <c r="AIG26" s="81"/>
      <c r="AIK26" s="81"/>
      <c r="AIO26" s="81"/>
      <c r="AIS26" s="81"/>
      <c r="AIW26" s="81"/>
      <c r="AJA26" s="81"/>
      <c r="AJE26" s="81"/>
      <c r="AJI26" s="81"/>
      <c r="AJM26" s="81"/>
      <c r="AJQ26" s="81"/>
      <c r="AJU26" s="81"/>
      <c r="AJY26" s="81"/>
      <c r="AKC26" s="81"/>
      <c r="AKG26" s="81"/>
      <c r="AKK26" s="81"/>
      <c r="AKO26" s="81"/>
      <c r="AKS26" s="81"/>
      <c r="AKW26" s="81"/>
      <c r="ALA26" s="81"/>
      <c r="ALE26" s="81"/>
      <c r="ALI26" s="81"/>
      <c r="ALM26" s="81"/>
      <c r="ALQ26" s="81"/>
      <c r="ALU26" s="81"/>
      <c r="ALY26" s="81"/>
      <c r="AMC26" s="81"/>
      <c r="AMG26" s="81"/>
      <c r="AMK26" s="81"/>
      <c r="AMO26" s="81"/>
      <c r="AMS26" s="81"/>
      <c r="AMW26" s="81"/>
      <c r="ANA26" s="81"/>
      <c r="ANE26" s="81"/>
      <c r="ANI26" s="81"/>
      <c r="ANM26" s="81"/>
      <c r="ANQ26" s="81"/>
      <c r="ANU26" s="81"/>
      <c r="ANY26" s="81"/>
      <c r="AOC26" s="81"/>
      <c r="AOG26" s="81"/>
      <c r="AOK26" s="81"/>
      <c r="AOO26" s="81"/>
      <c r="AOS26" s="81"/>
      <c r="AOW26" s="81"/>
      <c r="APA26" s="81"/>
      <c r="APE26" s="81"/>
      <c r="API26" s="81"/>
      <c r="APM26" s="81"/>
      <c r="APQ26" s="81"/>
      <c r="APU26" s="81"/>
      <c r="APY26" s="81"/>
      <c r="AQC26" s="81"/>
      <c r="AQG26" s="81"/>
      <c r="AQK26" s="81"/>
      <c r="AQO26" s="81"/>
      <c r="AQS26" s="81"/>
      <c r="AQW26" s="81"/>
      <c r="ARA26" s="81"/>
      <c r="ARE26" s="81"/>
      <c r="ARI26" s="81"/>
      <c r="ARM26" s="81"/>
      <c r="ARQ26" s="81"/>
      <c r="ARU26" s="81"/>
      <c r="ARY26" s="81"/>
      <c r="ASC26" s="81"/>
      <c r="ASG26" s="81"/>
      <c r="ASK26" s="81"/>
      <c r="ASO26" s="81"/>
      <c r="ASS26" s="81"/>
      <c r="ASW26" s="81"/>
      <c r="ATA26" s="81"/>
      <c r="ATE26" s="81"/>
      <c r="ATI26" s="81"/>
      <c r="ATM26" s="81"/>
      <c r="ATQ26" s="81"/>
      <c r="ATU26" s="81"/>
      <c r="ATY26" s="81"/>
      <c r="AUC26" s="81"/>
      <c r="AUG26" s="81"/>
      <c r="AUK26" s="81"/>
      <c r="AUO26" s="81"/>
      <c r="AUS26" s="81"/>
      <c r="AUW26" s="81"/>
      <c r="AVA26" s="81"/>
      <c r="AVE26" s="81"/>
      <c r="AVI26" s="81"/>
      <c r="AVM26" s="81"/>
      <c r="AVQ26" s="81"/>
      <c r="AVU26" s="81"/>
      <c r="AVY26" s="81"/>
      <c r="AWC26" s="81"/>
      <c r="AWG26" s="81"/>
      <c r="AWK26" s="81"/>
      <c r="AWO26" s="81"/>
      <c r="AWS26" s="81"/>
      <c r="AWW26" s="81"/>
      <c r="AXA26" s="81"/>
      <c r="AXE26" s="81"/>
      <c r="AXI26" s="81"/>
      <c r="AXM26" s="81"/>
      <c r="AXQ26" s="81"/>
      <c r="AXU26" s="81"/>
      <c r="AXY26" s="81"/>
      <c r="AYC26" s="81"/>
      <c r="AYG26" s="81"/>
      <c r="AYK26" s="81"/>
      <c r="AYO26" s="81"/>
      <c r="AYS26" s="81"/>
      <c r="AYW26" s="81"/>
      <c r="AZA26" s="81"/>
      <c r="AZE26" s="81"/>
      <c r="AZI26" s="81"/>
      <c r="AZM26" s="81"/>
      <c r="AZQ26" s="81"/>
      <c r="AZU26" s="81"/>
      <c r="AZY26" s="81"/>
      <c r="BAC26" s="81"/>
      <c r="BAG26" s="81"/>
      <c r="BAK26" s="81"/>
      <c r="BAO26" s="81"/>
      <c r="BAS26" s="81"/>
      <c r="BAW26" s="81"/>
      <c r="BBA26" s="81"/>
      <c r="BBE26" s="81"/>
      <c r="BBI26" s="81"/>
      <c r="BBM26" s="81"/>
      <c r="BBQ26" s="81"/>
      <c r="BBU26" s="81"/>
      <c r="BBY26" s="81"/>
      <c r="BCC26" s="81"/>
      <c r="BCG26" s="81"/>
      <c r="BCK26" s="81"/>
      <c r="BCO26" s="81"/>
      <c r="BCS26" s="81"/>
      <c r="BCW26" s="81"/>
      <c r="BDA26" s="81"/>
      <c r="BDE26" s="81"/>
      <c r="BDI26" s="81"/>
      <c r="BDM26" s="81"/>
      <c r="BDQ26" s="81"/>
      <c r="BDU26" s="81"/>
      <c r="BDY26" s="81"/>
      <c r="BEC26" s="81"/>
      <c r="BEG26" s="81"/>
      <c r="BEK26" s="81"/>
      <c r="BEO26" s="81"/>
      <c r="BES26" s="81"/>
      <c r="BEW26" s="81"/>
      <c r="BFA26" s="81"/>
      <c r="BFE26" s="81"/>
      <c r="BFI26" s="81"/>
      <c r="BFM26" s="81"/>
      <c r="BFQ26" s="81"/>
      <c r="BFU26" s="81"/>
      <c r="BFY26" s="81"/>
      <c r="BGC26" s="81"/>
      <c r="BGG26" s="81"/>
      <c r="BGK26" s="81"/>
      <c r="BGO26" s="81"/>
      <c r="BGS26" s="81"/>
      <c r="BGW26" s="81"/>
      <c r="BHA26" s="81"/>
      <c r="BHE26" s="81"/>
      <c r="BHI26" s="81"/>
      <c r="BHM26" s="81"/>
      <c r="BHQ26" s="81"/>
      <c r="BHU26" s="81"/>
      <c r="BHY26" s="81"/>
      <c r="BIC26" s="81"/>
      <c r="BIG26" s="81"/>
      <c r="BIK26" s="81"/>
      <c r="BIO26" s="81"/>
      <c r="BIS26" s="81"/>
      <c r="BIW26" s="81"/>
      <c r="BJA26" s="81"/>
      <c r="BJE26" s="81"/>
      <c r="BJI26" s="81"/>
      <c r="BJM26" s="81"/>
      <c r="BJQ26" s="81"/>
      <c r="BJU26" s="81"/>
      <c r="BJY26" s="81"/>
      <c r="BKC26" s="81"/>
      <c r="BKG26" s="81"/>
      <c r="BKK26" s="81"/>
      <c r="BKO26" s="81"/>
      <c r="BKS26" s="81"/>
      <c r="BKW26" s="81"/>
      <c r="BLA26" s="81"/>
      <c r="BLE26" s="81"/>
      <c r="BLI26" s="81"/>
      <c r="BLM26" s="81"/>
      <c r="BLQ26" s="81"/>
      <c r="BLU26" s="81"/>
      <c r="BLY26" s="81"/>
      <c r="BMC26" s="81"/>
      <c r="BMG26" s="81"/>
      <c r="BMK26" s="81"/>
      <c r="BMO26" s="81"/>
      <c r="BMS26" s="81"/>
      <c r="BMW26" s="81"/>
      <c r="BNA26" s="81"/>
      <c r="BNE26" s="81"/>
      <c r="BNI26" s="81"/>
      <c r="BNM26" s="81"/>
      <c r="BNQ26" s="81"/>
      <c r="BNU26" s="81"/>
      <c r="BNY26" s="81"/>
      <c r="BOC26" s="81"/>
      <c r="BOG26" s="81"/>
      <c r="BOK26" s="81"/>
      <c r="BOO26" s="81"/>
      <c r="BOS26" s="81"/>
      <c r="BOW26" s="81"/>
      <c r="BPA26" s="81"/>
      <c r="BPE26" s="81"/>
      <c r="BPI26" s="81"/>
      <c r="BPM26" s="81"/>
      <c r="BPQ26" s="81"/>
      <c r="BPU26" s="81"/>
      <c r="BPY26" s="81"/>
      <c r="BQC26" s="81"/>
      <c r="BQG26" s="81"/>
      <c r="BQK26" s="81"/>
      <c r="BQO26" s="81"/>
      <c r="BQS26" s="81"/>
      <c r="BQW26" s="81"/>
      <c r="BRA26" s="81"/>
      <c r="BRE26" s="81"/>
      <c r="BRI26" s="81"/>
      <c r="BRM26" s="81"/>
      <c r="BRQ26" s="81"/>
      <c r="BRU26" s="81"/>
      <c r="BRY26" s="81"/>
      <c r="BSC26" s="81"/>
      <c r="BSG26" s="81"/>
      <c r="BSK26" s="81"/>
      <c r="BSO26" s="81"/>
      <c r="BSS26" s="81"/>
      <c r="BSW26" s="81"/>
      <c r="BTA26" s="81"/>
      <c r="BTE26" s="81"/>
      <c r="BTI26" s="81"/>
      <c r="BTM26" s="81"/>
      <c r="BTQ26" s="81"/>
      <c r="BTU26" s="81"/>
      <c r="BTY26" s="81"/>
      <c r="BUC26" s="81"/>
      <c r="BUG26" s="81"/>
      <c r="BUK26" s="81"/>
      <c r="BUO26" s="81"/>
      <c r="BUS26" s="81"/>
      <c r="BUW26" s="81"/>
      <c r="BVA26" s="81"/>
      <c r="BVE26" s="81"/>
      <c r="BVI26" s="81"/>
      <c r="BVM26" s="81"/>
      <c r="BVQ26" s="81"/>
      <c r="BVU26" s="81"/>
      <c r="BVY26" s="81"/>
      <c r="BWC26" s="81"/>
      <c r="BWG26" s="81"/>
      <c r="BWK26" s="81"/>
      <c r="BWO26" s="81"/>
      <c r="BWS26" s="81"/>
      <c r="BWW26" s="81"/>
      <c r="BXA26" s="81"/>
      <c r="BXE26" s="81"/>
      <c r="BXI26" s="81"/>
      <c r="BXM26" s="81"/>
      <c r="BXQ26" s="81"/>
      <c r="BXU26" s="81"/>
      <c r="BXY26" s="81"/>
      <c r="BYC26" s="81"/>
      <c r="BYG26" s="81"/>
      <c r="BYK26" s="81"/>
      <c r="BYO26" s="81"/>
      <c r="BYS26" s="81"/>
      <c r="BYW26" s="81"/>
      <c r="BZA26" s="81"/>
      <c r="BZE26" s="81"/>
      <c r="BZI26" s="81"/>
      <c r="BZM26" s="81"/>
      <c r="BZQ26" s="81"/>
      <c r="BZU26" s="81"/>
      <c r="BZY26" s="81"/>
      <c r="CAC26" s="81"/>
      <c r="CAG26" s="81"/>
      <c r="CAK26" s="81"/>
      <c r="CAO26" s="81"/>
      <c r="CAS26" s="81"/>
      <c r="CAW26" s="81"/>
      <c r="CBA26" s="81"/>
      <c r="CBE26" s="81"/>
      <c r="CBI26" s="81"/>
      <c r="CBM26" s="81"/>
      <c r="CBQ26" s="81"/>
      <c r="CBU26" s="81"/>
      <c r="CBY26" s="81"/>
      <c r="CCC26" s="81"/>
      <c r="CCG26" s="81"/>
      <c r="CCK26" s="81"/>
      <c r="CCO26" s="81"/>
      <c r="CCS26" s="81"/>
      <c r="CCW26" s="81"/>
      <c r="CDA26" s="81"/>
      <c r="CDE26" s="81"/>
      <c r="CDI26" s="81"/>
      <c r="CDM26" s="81"/>
      <c r="CDQ26" s="81"/>
      <c r="CDU26" s="81"/>
      <c r="CDY26" s="81"/>
      <c r="CEC26" s="81"/>
      <c r="CEG26" s="81"/>
      <c r="CEK26" s="81"/>
      <c r="CEO26" s="81"/>
      <c r="CES26" s="81"/>
      <c r="CEW26" s="81"/>
      <c r="CFA26" s="81"/>
      <c r="CFE26" s="81"/>
      <c r="CFI26" s="81"/>
      <c r="CFM26" s="81"/>
      <c r="CFQ26" s="81"/>
      <c r="CFU26" s="81"/>
      <c r="CFY26" s="81"/>
      <c r="CGC26" s="81"/>
      <c r="CGG26" s="81"/>
      <c r="CGK26" s="81"/>
      <c r="CGO26" s="81"/>
      <c r="CGS26" s="81"/>
      <c r="CGW26" s="81"/>
      <c r="CHA26" s="81"/>
      <c r="CHE26" s="81"/>
      <c r="CHI26" s="81"/>
      <c r="CHM26" s="81"/>
      <c r="CHQ26" s="81"/>
      <c r="CHU26" s="81"/>
      <c r="CHY26" s="81"/>
      <c r="CIC26" s="81"/>
      <c r="CIG26" s="81"/>
      <c r="CIK26" s="81"/>
      <c r="CIO26" s="81"/>
      <c r="CIS26" s="81"/>
      <c r="CIW26" s="81"/>
      <c r="CJA26" s="81"/>
      <c r="CJE26" s="81"/>
      <c r="CJI26" s="81"/>
      <c r="CJM26" s="81"/>
      <c r="CJQ26" s="81"/>
      <c r="CJU26" s="81"/>
      <c r="CJY26" s="81"/>
      <c r="CKC26" s="81"/>
      <c r="CKG26" s="81"/>
      <c r="CKK26" s="81"/>
      <c r="CKO26" s="81"/>
      <c r="CKS26" s="81"/>
      <c r="CKW26" s="81"/>
      <c r="CLA26" s="81"/>
      <c r="CLE26" s="81"/>
      <c r="CLI26" s="81"/>
      <c r="CLM26" s="81"/>
      <c r="CLQ26" s="81"/>
      <c r="CLU26" s="81"/>
      <c r="CLY26" s="81"/>
      <c r="CMC26" s="81"/>
      <c r="CMG26" s="81"/>
      <c r="CMK26" s="81"/>
      <c r="CMO26" s="81"/>
      <c r="CMS26" s="81"/>
      <c r="CMW26" s="81"/>
      <c r="CNA26" s="81"/>
      <c r="CNE26" s="81"/>
      <c r="CNI26" s="81"/>
      <c r="CNM26" s="81"/>
      <c r="CNQ26" s="81"/>
      <c r="CNU26" s="81"/>
      <c r="CNY26" s="81"/>
      <c r="COC26" s="81"/>
      <c r="COG26" s="81"/>
      <c r="COK26" s="81"/>
      <c r="COO26" s="81"/>
      <c r="COS26" s="81"/>
      <c r="COW26" s="81"/>
      <c r="CPA26" s="81"/>
      <c r="CPE26" s="81"/>
      <c r="CPI26" s="81"/>
      <c r="CPM26" s="81"/>
      <c r="CPQ26" s="81"/>
      <c r="CPU26" s="81"/>
      <c r="CPY26" s="81"/>
      <c r="CQC26" s="81"/>
      <c r="CQG26" s="81"/>
      <c r="CQK26" s="81"/>
      <c r="CQO26" s="81"/>
      <c r="CQS26" s="81"/>
      <c r="CQW26" s="81"/>
      <c r="CRA26" s="81"/>
      <c r="CRE26" s="81"/>
      <c r="CRI26" s="81"/>
      <c r="CRM26" s="81"/>
      <c r="CRQ26" s="81"/>
      <c r="CRU26" s="81"/>
      <c r="CRY26" s="81"/>
      <c r="CSC26" s="81"/>
      <c r="CSG26" s="81"/>
      <c r="CSK26" s="81"/>
      <c r="CSO26" s="81"/>
      <c r="CSS26" s="81"/>
      <c r="CSW26" s="81"/>
      <c r="CTA26" s="81"/>
      <c r="CTE26" s="81"/>
      <c r="CTI26" s="81"/>
      <c r="CTM26" s="81"/>
      <c r="CTQ26" s="81"/>
      <c r="CTU26" s="81"/>
      <c r="CTY26" s="81"/>
      <c r="CUC26" s="81"/>
      <c r="CUG26" s="81"/>
      <c r="CUK26" s="81"/>
      <c r="CUO26" s="81"/>
      <c r="CUS26" s="81"/>
      <c r="CUW26" s="81"/>
      <c r="CVA26" s="81"/>
      <c r="CVE26" s="81"/>
      <c r="CVI26" s="81"/>
      <c r="CVM26" s="81"/>
      <c r="CVQ26" s="81"/>
      <c r="CVU26" s="81"/>
      <c r="CVY26" s="81"/>
      <c r="CWC26" s="81"/>
      <c r="CWG26" s="81"/>
      <c r="CWK26" s="81"/>
      <c r="CWO26" s="81"/>
      <c r="CWS26" s="81"/>
      <c r="CWW26" s="81"/>
      <c r="CXA26" s="81"/>
      <c r="CXE26" s="81"/>
      <c r="CXI26" s="81"/>
      <c r="CXM26" s="81"/>
      <c r="CXQ26" s="81"/>
      <c r="CXU26" s="81"/>
      <c r="CXY26" s="81"/>
      <c r="CYC26" s="81"/>
      <c r="CYG26" s="81"/>
      <c r="CYK26" s="81"/>
      <c r="CYO26" s="81"/>
      <c r="CYS26" s="81"/>
      <c r="CYW26" s="81"/>
      <c r="CZA26" s="81"/>
      <c r="CZE26" s="81"/>
      <c r="CZI26" s="81"/>
      <c r="CZM26" s="81"/>
      <c r="CZQ26" s="81"/>
      <c r="CZU26" s="81"/>
      <c r="CZY26" s="81"/>
      <c r="DAC26" s="81"/>
      <c r="DAG26" s="81"/>
      <c r="DAK26" s="81"/>
      <c r="DAO26" s="81"/>
      <c r="DAS26" s="81"/>
      <c r="DAW26" s="81"/>
      <c r="DBA26" s="81"/>
      <c r="DBE26" s="81"/>
      <c r="DBI26" s="81"/>
      <c r="DBM26" s="81"/>
      <c r="DBQ26" s="81"/>
      <c r="DBU26" s="81"/>
      <c r="DBY26" s="81"/>
      <c r="DCC26" s="81"/>
      <c r="DCG26" s="81"/>
      <c r="DCK26" s="81"/>
      <c r="DCO26" s="81"/>
      <c r="DCS26" s="81"/>
      <c r="DCW26" s="81"/>
      <c r="DDA26" s="81"/>
      <c r="DDE26" s="81"/>
      <c r="DDI26" s="81"/>
      <c r="DDM26" s="81"/>
      <c r="DDQ26" s="81"/>
      <c r="DDU26" s="81"/>
      <c r="DDY26" s="81"/>
      <c r="DEC26" s="81"/>
      <c r="DEG26" s="81"/>
      <c r="DEK26" s="81"/>
      <c r="DEO26" s="81"/>
      <c r="DES26" s="81"/>
      <c r="DEW26" s="81"/>
      <c r="DFA26" s="81"/>
      <c r="DFE26" s="81"/>
      <c r="DFI26" s="81"/>
      <c r="DFM26" s="81"/>
      <c r="DFQ26" s="81"/>
      <c r="DFU26" s="81"/>
      <c r="DFY26" s="81"/>
      <c r="DGC26" s="81"/>
      <c r="DGG26" s="81"/>
      <c r="DGK26" s="81"/>
      <c r="DGO26" s="81"/>
      <c r="DGS26" s="81"/>
      <c r="DGW26" s="81"/>
      <c r="DHA26" s="81"/>
      <c r="DHE26" s="81"/>
      <c r="DHI26" s="81"/>
      <c r="DHM26" s="81"/>
      <c r="DHQ26" s="81"/>
      <c r="DHU26" s="81"/>
      <c r="DHY26" s="81"/>
      <c r="DIC26" s="81"/>
      <c r="DIG26" s="81"/>
      <c r="DIK26" s="81"/>
      <c r="DIO26" s="81"/>
      <c r="DIS26" s="81"/>
      <c r="DIW26" s="81"/>
      <c r="DJA26" s="81"/>
      <c r="DJE26" s="81"/>
      <c r="DJI26" s="81"/>
      <c r="DJM26" s="81"/>
      <c r="DJQ26" s="81"/>
      <c r="DJU26" s="81"/>
      <c r="DJY26" s="81"/>
      <c r="DKC26" s="81"/>
      <c r="DKG26" s="81"/>
      <c r="DKK26" s="81"/>
      <c r="DKO26" s="81"/>
      <c r="DKS26" s="81"/>
      <c r="DKW26" s="81"/>
      <c r="DLA26" s="81"/>
      <c r="DLE26" s="81"/>
      <c r="DLI26" s="81"/>
      <c r="DLM26" s="81"/>
      <c r="DLQ26" s="81"/>
      <c r="DLU26" s="81"/>
      <c r="DLY26" s="81"/>
      <c r="DMC26" s="81"/>
      <c r="DMG26" s="81"/>
      <c r="DMK26" s="81"/>
      <c r="DMO26" s="81"/>
      <c r="DMS26" s="81"/>
      <c r="DMW26" s="81"/>
      <c r="DNA26" s="81"/>
      <c r="DNE26" s="81"/>
      <c r="DNI26" s="81"/>
      <c r="DNM26" s="81"/>
      <c r="DNQ26" s="81"/>
      <c r="DNU26" s="81"/>
      <c r="DNY26" s="81"/>
      <c r="DOC26" s="81"/>
      <c r="DOG26" s="81"/>
      <c r="DOK26" s="81"/>
      <c r="DOO26" s="81"/>
      <c r="DOS26" s="81"/>
      <c r="DOW26" s="81"/>
      <c r="DPA26" s="81"/>
      <c r="DPE26" s="81"/>
      <c r="DPI26" s="81"/>
      <c r="DPM26" s="81"/>
      <c r="DPQ26" s="81"/>
      <c r="DPU26" s="81"/>
      <c r="DPY26" s="81"/>
      <c r="DQC26" s="81"/>
      <c r="DQG26" s="81"/>
      <c r="DQK26" s="81"/>
      <c r="DQO26" s="81"/>
      <c r="DQS26" s="81"/>
      <c r="DQW26" s="81"/>
      <c r="DRA26" s="81"/>
      <c r="DRE26" s="81"/>
      <c r="DRI26" s="81"/>
      <c r="DRM26" s="81"/>
      <c r="DRQ26" s="81"/>
      <c r="DRU26" s="81"/>
      <c r="DRY26" s="81"/>
      <c r="DSC26" s="81"/>
      <c r="DSG26" s="81"/>
      <c r="DSK26" s="81"/>
      <c r="DSO26" s="81"/>
      <c r="DSS26" s="81"/>
      <c r="DSW26" s="81"/>
      <c r="DTA26" s="81"/>
      <c r="DTE26" s="81"/>
      <c r="DTI26" s="81"/>
      <c r="DTM26" s="81"/>
      <c r="DTQ26" s="81"/>
      <c r="DTU26" s="81"/>
      <c r="DTY26" s="81"/>
      <c r="DUC26" s="81"/>
      <c r="DUG26" s="81"/>
      <c r="DUK26" s="81"/>
      <c r="DUO26" s="81"/>
      <c r="DUS26" s="81"/>
      <c r="DUW26" s="81"/>
      <c r="DVA26" s="81"/>
      <c r="DVE26" s="81"/>
      <c r="DVI26" s="81"/>
      <c r="DVM26" s="81"/>
      <c r="DVQ26" s="81"/>
      <c r="DVU26" s="81"/>
      <c r="DVY26" s="81"/>
      <c r="DWC26" s="81"/>
      <c r="DWG26" s="81"/>
      <c r="DWK26" s="81"/>
      <c r="DWO26" s="81"/>
      <c r="DWS26" s="81"/>
      <c r="DWW26" s="81"/>
      <c r="DXA26" s="81"/>
      <c r="DXE26" s="81"/>
      <c r="DXI26" s="81"/>
      <c r="DXM26" s="81"/>
      <c r="DXQ26" s="81"/>
      <c r="DXU26" s="81"/>
      <c r="DXY26" s="81"/>
      <c r="DYC26" s="81"/>
      <c r="DYG26" s="81"/>
      <c r="DYK26" s="81"/>
      <c r="DYO26" s="81"/>
      <c r="DYS26" s="81"/>
      <c r="DYW26" s="81"/>
      <c r="DZA26" s="81"/>
      <c r="DZE26" s="81"/>
      <c r="DZI26" s="81"/>
      <c r="DZM26" s="81"/>
      <c r="DZQ26" s="81"/>
      <c r="DZU26" s="81"/>
      <c r="DZY26" s="81"/>
      <c r="EAC26" s="81"/>
      <c r="EAG26" s="81"/>
      <c r="EAK26" s="81"/>
      <c r="EAO26" s="81"/>
      <c r="EAS26" s="81"/>
      <c r="EAW26" s="81"/>
      <c r="EBA26" s="81"/>
      <c r="EBE26" s="81"/>
      <c r="EBI26" s="81"/>
      <c r="EBM26" s="81"/>
      <c r="EBQ26" s="81"/>
      <c r="EBU26" s="81"/>
      <c r="EBY26" s="81"/>
      <c r="ECC26" s="81"/>
      <c r="ECG26" s="81"/>
      <c r="ECK26" s="81"/>
      <c r="ECO26" s="81"/>
      <c r="ECS26" s="81"/>
      <c r="ECW26" s="81"/>
      <c r="EDA26" s="81"/>
      <c r="EDE26" s="81"/>
      <c r="EDI26" s="81"/>
      <c r="EDM26" s="81"/>
      <c r="EDQ26" s="81"/>
      <c r="EDU26" s="81"/>
      <c r="EDY26" s="81"/>
      <c r="EEC26" s="81"/>
      <c r="EEG26" s="81"/>
      <c r="EEK26" s="81"/>
      <c r="EEO26" s="81"/>
      <c r="EES26" s="81"/>
      <c r="EEW26" s="81"/>
      <c r="EFA26" s="81"/>
      <c r="EFE26" s="81"/>
      <c r="EFI26" s="81"/>
      <c r="EFM26" s="81"/>
      <c r="EFQ26" s="81"/>
      <c r="EFU26" s="81"/>
      <c r="EFY26" s="81"/>
      <c r="EGC26" s="81"/>
      <c r="EGG26" s="81"/>
      <c r="EGK26" s="81"/>
      <c r="EGO26" s="81"/>
      <c r="EGS26" s="81"/>
      <c r="EGW26" s="81"/>
      <c r="EHA26" s="81"/>
      <c r="EHE26" s="81"/>
      <c r="EHI26" s="81"/>
      <c r="EHM26" s="81"/>
      <c r="EHQ26" s="81"/>
      <c r="EHU26" s="81"/>
      <c r="EHY26" s="81"/>
      <c r="EIC26" s="81"/>
      <c r="EIG26" s="81"/>
      <c r="EIK26" s="81"/>
      <c r="EIO26" s="81"/>
      <c r="EIS26" s="81"/>
      <c r="EIW26" s="81"/>
      <c r="EJA26" s="81"/>
      <c r="EJE26" s="81"/>
      <c r="EJI26" s="81"/>
      <c r="EJM26" s="81"/>
      <c r="EJQ26" s="81"/>
      <c r="EJU26" s="81"/>
      <c r="EJY26" s="81"/>
      <c r="EKC26" s="81"/>
      <c r="EKG26" s="81"/>
      <c r="EKK26" s="81"/>
      <c r="EKO26" s="81"/>
      <c r="EKS26" s="81"/>
      <c r="EKW26" s="81"/>
      <c r="ELA26" s="81"/>
      <c r="ELE26" s="81"/>
      <c r="ELI26" s="81"/>
      <c r="ELM26" s="81"/>
      <c r="ELQ26" s="81"/>
      <c r="ELU26" s="81"/>
      <c r="ELY26" s="81"/>
      <c r="EMC26" s="81"/>
      <c r="EMG26" s="81"/>
      <c r="EMK26" s="81"/>
      <c r="EMO26" s="81"/>
      <c r="EMS26" s="81"/>
      <c r="EMW26" s="81"/>
      <c r="ENA26" s="81"/>
      <c r="ENE26" s="81"/>
      <c r="ENI26" s="81"/>
      <c r="ENM26" s="81"/>
      <c r="ENQ26" s="81"/>
      <c r="ENU26" s="81"/>
      <c r="ENY26" s="81"/>
      <c r="EOC26" s="81"/>
      <c r="EOG26" s="81"/>
      <c r="EOK26" s="81"/>
      <c r="EOO26" s="81"/>
      <c r="EOS26" s="81"/>
      <c r="EOW26" s="81"/>
      <c r="EPA26" s="81"/>
      <c r="EPE26" s="81"/>
      <c r="EPI26" s="81"/>
      <c r="EPM26" s="81"/>
      <c r="EPQ26" s="81"/>
      <c r="EPU26" s="81"/>
      <c r="EPY26" s="81"/>
      <c r="EQC26" s="81"/>
      <c r="EQG26" s="81"/>
      <c r="EQK26" s="81"/>
      <c r="EQO26" s="81"/>
      <c r="EQS26" s="81"/>
      <c r="EQW26" s="81"/>
      <c r="ERA26" s="81"/>
      <c r="ERE26" s="81"/>
      <c r="ERI26" s="81"/>
      <c r="ERM26" s="81"/>
      <c r="ERQ26" s="81"/>
      <c r="ERU26" s="81"/>
      <c r="ERY26" s="81"/>
      <c r="ESC26" s="81"/>
      <c r="ESG26" s="81"/>
      <c r="ESK26" s="81"/>
      <c r="ESO26" s="81"/>
      <c r="ESS26" s="81"/>
      <c r="ESW26" s="81"/>
      <c r="ETA26" s="81"/>
      <c r="ETE26" s="81"/>
      <c r="ETI26" s="81"/>
      <c r="ETM26" s="81"/>
      <c r="ETQ26" s="81"/>
      <c r="ETU26" s="81"/>
      <c r="ETY26" s="81"/>
      <c r="EUC26" s="81"/>
      <c r="EUG26" s="81"/>
      <c r="EUK26" s="81"/>
      <c r="EUO26" s="81"/>
      <c r="EUS26" s="81"/>
      <c r="EUW26" s="81"/>
      <c r="EVA26" s="81"/>
      <c r="EVE26" s="81"/>
      <c r="EVI26" s="81"/>
      <c r="EVM26" s="81"/>
      <c r="EVQ26" s="81"/>
      <c r="EVU26" s="81"/>
      <c r="EVY26" s="81"/>
      <c r="EWC26" s="81"/>
      <c r="EWG26" s="81"/>
      <c r="EWK26" s="81"/>
      <c r="EWO26" s="81"/>
      <c r="EWS26" s="81"/>
      <c r="EWW26" s="81"/>
      <c r="EXA26" s="81"/>
      <c r="EXE26" s="81"/>
      <c r="EXI26" s="81"/>
      <c r="EXM26" s="81"/>
      <c r="EXQ26" s="81"/>
      <c r="EXU26" s="81"/>
      <c r="EXY26" s="81"/>
      <c r="EYC26" s="81"/>
      <c r="EYG26" s="81"/>
      <c r="EYK26" s="81"/>
      <c r="EYO26" s="81"/>
      <c r="EYS26" s="81"/>
      <c r="EYW26" s="81"/>
      <c r="EZA26" s="81"/>
      <c r="EZE26" s="81"/>
      <c r="EZI26" s="81"/>
      <c r="EZM26" s="81"/>
      <c r="EZQ26" s="81"/>
      <c r="EZU26" s="81"/>
      <c r="EZY26" s="81"/>
      <c r="FAC26" s="81"/>
      <c r="FAG26" s="81"/>
      <c r="FAK26" s="81"/>
      <c r="FAO26" s="81"/>
      <c r="FAS26" s="81"/>
      <c r="FAW26" s="81"/>
      <c r="FBA26" s="81"/>
      <c r="FBE26" s="81"/>
      <c r="FBI26" s="81"/>
      <c r="FBM26" s="81"/>
      <c r="FBQ26" s="81"/>
      <c r="FBU26" s="81"/>
      <c r="FBY26" s="81"/>
      <c r="FCC26" s="81"/>
      <c r="FCG26" s="81"/>
      <c r="FCK26" s="81"/>
      <c r="FCO26" s="81"/>
      <c r="FCS26" s="81"/>
      <c r="FCW26" s="81"/>
      <c r="FDA26" s="81"/>
      <c r="FDE26" s="81"/>
      <c r="FDI26" s="81"/>
      <c r="FDM26" s="81"/>
      <c r="FDQ26" s="81"/>
      <c r="FDU26" s="81"/>
      <c r="FDY26" s="81"/>
      <c r="FEC26" s="81"/>
      <c r="FEG26" s="81"/>
      <c r="FEK26" s="81"/>
      <c r="FEO26" s="81"/>
      <c r="FES26" s="81"/>
      <c r="FEW26" s="81"/>
      <c r="FFA26" s="81"/>
      <c r="FFE26" s="81"/>
      <c r="FFI26" s="81"/>
      <c r="FFM26" s="81"/>
      <c r="FFQ26" s="81"/>
      <c r="FFU26" s="81"/>
      <c r="FFY26" s="81"/>
      <c r="FGC26" s="81"/>
      <c r="FGG26" s="81"/>
      <c r="FGK26" s="81"/>
      <c r="FGO26" s="81"/>
      <c r="FGS26" s="81"/>
      <c r="FGW26" s="81"/>
      <c r="FHA26" s="81"/>
      <c r="FHE26" s="81"/>
      <c r="FHI26" s="81"/>
      <c r="FHM26" s="81"/>
      <c r="FHQ26" s="81"/>
      <c r="FHU26" s="81"/>
      <c r="FHY26" s="81"/>
      <c r="FIC26" s="81"/>
      <c r="FIG26" s="81"/>
      <c r="FIK26" s="81"/>
      <c r="FIO26" s="81"/>
      <c r="FIS26" s="81"/>
      <c r="FIW26" s="81"/>
      <c r="FJA26" s="81"/>
      <c r="FJE26" s="81"/>
      <c r="FJI26" s="81"/>
      <c r="FJM26" s="81"/>
      <c r="FJQ26" s="81"/>
      <c r="FJU26" s="81"/>
      <c r="FJY26" s="81"/>
      <c r="FKC26" s="81"/>
      <c r="FKG26" s="81"/>
      <c r="FKK26" s="81"/>
      <c r="FKO26" s="81"/>
      <c r="FKS26" s="81"/>
      <c r="FKW26" s="81"/>
      <c r="FLA26" s="81"/>
      <c r="FLE26" s="81"/>
      <c r="FLI26" s="81"/>
      <c r="FLM26" s="81"/>
      <c r="FLQ26" s="81"/>
      <c r="FLU26" s="81"/>
      <c r="FLY26" s="81"/>
      <c r="FMC26" s="81"/>
      <c r="FMG26" s="81"/>
      <c r="FMK26" s="81"/>
      <c r="FMO26" s="81"/>
      <c r="FMS26" s="81"/>
      <c r="FMW26" s="81"/>
      <c r="FNA26" s="81"/>
      <c r="FNE26" s="81"/>
      <c r="FNI26" s="81"/>
      <c r="FNM26" s="81"/>
      <c r="FNQ26" s="81"/>
      <c r="FNU26" s="81"/>
      <c r="FNY26" s="81"/>
      <c r="FOC26" s="81"/>
      <c r="FOG26" s="81"/>
      <c r="FOK26" s="81"/>
      <c r="FOO26" s="81"/>
      <c r="FOS26" s="81"/>
      <c r="FOW26" s="81"/>
      <c r="FPA26" s="81"/>
      <c r="FPE26" s="81"/>
      <c r="FPI26" s="81"/>
      <c r="FPM26" s="81"/>
      <c r="FPQ26" s="81"/>
      <c r="FPU26" s="81"/>
      <c r="FPY26" s="81"/>
      <c r="FQC26" s="81"/>
      <c r="FQG26" s="81"/>
      <c r="FQK26" s="81"/>
      <c r="FQO26" s="81"/>
      <c r="FQS26" s="81"/>
      <c r="FQW26" s="81"/>
      <c r="FRA26" s="81"/>
      <c r="FRE26" s="81"/>
      <c r="FRI26" s="81"/>
      <c r="FRM26" s="81"/>
      <c r="FRQ26" s="81"/>
      <c r="FRU26" s="81"/>
      <c r="FRY26" s="81"/>
      <c r="FSC26" s="81"/>
      <c r="FSG26" s="81"/>
      <c r="FSK26" s="81"/>
      <c r="FSO26" s="81"/>
      <c r="FSS26" s="81"/>
      <c r="FSW26" s="81"/>
      <c r="FTA26" s="81"/>
      <c r="FTE26" s="81"/>
      <c r="FTI26" s="81"/>
      <c r="FTM26" s="81"/>
      <c r="FTQ26" s="81"/>
      <c r="FTU26" s="81"/>
      <c r="FTY26" s="81"/>
      <c r="FUC26" s="81"/>
      <c r="FUG26" s="81"/>
      <c r="FUK26" s="81"/>
      <c r="FUO26" s="81"/>
      <c r="FUS26" s="81"/>
      <c r="FUW26" s="81"/>
      <c r="FVA26" s="81"/>
      <c r="FVE26" s="81"/>
      <c r="FVI26" s="81"/>
      <c r="FVM26" s="81"/>
      <c r="FVQ26" s="81"/>
      <c r="FVU26" s="81"/>
      <c r="FVY26" s="81"/>
      <c r="FWC26" s="81"/>
      <c r="FWG26" s="81"/>
      <c r="FWK26" s="81"/>
      <c r="FWO26" s="81"/>
      <c r="FWS26" s="81"/>
      <c r="FWW26" s="81"/>
      <c r="FXA26" s="81"/>
      <c r="FXE26" s="81"/>
      <c r="FXI26" s="81"/>
      <c r="FXM26" s="81"/>
      <c r="FXQ26" s="81"/>
      <c r="FXU26" s="81"/>
      <c r="FXY26" s="81"/>
      <c r="FYC26" s="81"/>
      <c r="FYG26" s="81"/>
      <c r="FYK26" s="81"/>
      <c r="FYO26" s="81"/>
      <c r="FYS26" s="81"/>
      <c r="FYW26" s="81"/>
      <c r="FZA26" s="81"/>
      <c r="FZE26" s="81"/>
      <c r="FZI26" s="81"/>
      <c r="FZM26" s="81"/>
      <c r="FZQ26" s="81"/>
      <c r="FZU26" s="81"/>
      <c r="FZY26" s="81"/>
      <c r="GAC26" s="81"/>
      <c r="GAG26" s="81"/>
      <c r="GAK26" s="81"/>
      <c r="GAO26" s="81"/>
      <c r="GAS26" s="81"/>
      <c r="GAW26" s="81"/>
      <c r="GBA26" s="81"/>
      <c r="GBE26" s="81"/>
      <c r="GBI26" s="81"/>
      <c r="GBM26" s="81"/>
      <c r="GBQ26" s="81"/>
      <c r="GBU26" s="81"/>
      <c r="GBY26" s="81"/>
      <c r="GCC26" s="81"/>
      <c r="GCG26" s="81"/>
      <c r="GCK26" s="81"/>
      <c r="GCO26" s="81"/>
      <c r="GCS26" s="81"/>
      <c r="GCW26" s="81"/>
      <c r="GDA26" s="81"/>
      <c r="GDE26" s="81"/>
      <c r="GDI26" s="81"/>
      <c r="GDM26" s="81"/>
      <c r="GDQ26" s="81"/>
      <c r="GDU26" s="81"/>
      <c r="GDY26" s="81"/>
      <c r="GEC26" s="81"/>
      <c r="GEG26" s="81"/>
      <c r="GEK26" s="81"/>
      <c r="GEO26" s="81"/>
      <c r="GES26" s="81"/>
      <c r="GEW26" s="81"/>
      <c r="GFA26" s="81"/>
      <c r="GFE26" s="81"/>
      <c r="GFI26" s="81"/>
      <c r="GFM26" s="81"/>
      <c r="GFQ26" s="81"/>
      <c r="GFU26" s="81"/>
      <c r="GFY26" s="81"/>
      <c r="GGC26" s="81"/>
      <c r="GGG26" s="81"/>
      <c r="GGK26" s="81"/>
      <c r="GGO26" s="81"/>
      <c r="GGS26" s="81"/>
      <c r="GGW26" s="81"/>
      <c r="GHA26" s="81"/>
      <c r="GHE26" s="81"/>
      <c r="GHI26" s="81"/>
      <c r="GHM26" s="81"/>
      <c r="GHQ26" s="81"/>
      <c r="GHU26" s="81"/>
      <c r="GHY26" s="81"/>
      <c r="GIC26" s="81"/>
      <c r="GIG26" s="81"/>
      <c r="GIK26" s="81"/>
      <c r="GIO26" s="81"/>
      <c r="GIS26" s="81"/>
      <c r="GIW26" s="81"/>
      <c r="GJA26" s="81"/>
      <c r="GJE26" s="81"/>
      <c r="GJI26" s="81"/>
      <c r="GJM26" s="81"/>
      <c r="GJQ26" s="81"/>
      <c r="GJU26" s="81"/>
      <c r="GJY26" s="81"/>
      <c r="GKC26" s="81"/>
      <c r="GKG26" s="81"/>
      <c r="GKK26" s="81"/>
      <c r="GKO26" s="81"/>
      <c r="GKS26" s="81"/>
      <c r="GKW26" s="81"/>
      <c r="GLA26" s="81"/>
      <c r="GLE26" s="81"/>
      <c r="GLI26" s="81"/>
      <c r="GLM26" s="81"/>
      <c r="GLQ26" s="81"/>
      <c r="GLU26" s="81"/>
      <c r="GLY26" s="81"/>
      <c r="GMC26" s="81"/>
      <c r="GMG26" s="81"/>
      <c r="GMK26" s="81"/>
      <c r="GMO26" s="81"/>
      <c r="GMS26" s="81"/>
      <c r="GMW26" s="81"/>
      <c r="GNA26" s="81"/>
      <c r="GNE26" s="81"/>
      <c r="GNI26" s="81"/>
      <c r="GNM26" s="81"/>
      <c r="GNQ26" s="81"/>
      <c r="GNU26" s="81"/>
      <c r="GNY26" s="81"/>
      <c r="GOC26" s="81"/>
      <c r="GOG26" s="81"/>
      <c r="GOK26" s="81"/>
      <c r="GOO26" s="81"/>
      <c r="GOS26" s="81"/>
      <c r="GOW26" s="81"/>
      <c r="GPA26" s="81"/>
      <c r="GPE26" s="81"/>
      <c r="GPI26" s="81"/>
      <c r="GPM26" s="81"/>
      <c r="GPQ26" s="81"/>
      <c r="GPU26" s="81"/>
      <c r="GPY26" s="81"/>
      <c r="GQC26" s="81"/>
      <c r="GQG26" s="81"/>
      <c r="GQK26" s="81"/>
      <c r="GQO26" s="81"/>
      <c r="GQS26" s="81"/>
      <c r="GQW26" s="81"/>
      <c r="GRA26" s="81"/>
      <c r="GRE26" s="81"/>
      <c r="GRI26" s="81"/>
      <c r="GRM26" s="81"/>
      <c r="GRQ26" s="81"/>
      <c r="GRU26" s="81"/>
      <c r="GRY26" s="81"/>
      <c r="GSC26" s="81"/>
      <c r="GSG26" s="81"/>
      <c r="GSK26" s="81"/>
      <c r="GSO26" s="81"/>
      <c r="GSS26" s="81"/>
      <c r="GSW26" s="81"/>
      <c r="GTA26" s="81"/>
      <c r="GTE26" s="81"/>
      <c r="GTI26" s="81"/>
      <c r="GTM26" s="81"/>
      <c r="GTQ26" s="81"/>
      <c r="GTU26" s="81"/>
      <c r="GTY26" s="81"/>
      <c r="GUC26" s="81"/>
      <c r="GUG26" s="81"/>
      <c r="GUK26" s="81"/>
      <c r="GUO26" s="81"/>
      <c r="GUS26" s="81"/>
      <c r="GUW26" s="81"/>
      <c r="GVA26" s="81"/>
      <c r="GVE26" s="81"/>
      <c r="GVI26" s="81"/>
      <c r="GVM26" s="81"/>
      <c r="GVQ26" s="81"/>
      <c r="GVU26" s="81"/>
      <c r="GVY26" s="81"/>
      <c r="GWC26" s="81"/>
      <c r="GWG26" s="81"/>
      <c r="GWK26" s="81"/>
      <c r="GWO26" s="81"/>
      <c r="GWS26" s="81"/>
      <c r="GWW26" s="81"/>
      <c r="GXA26" s="81"/>
      <c r="GXE26" s="81"/>
      <c r="GXI26" s="81"/>
      <c r="GXM26" s="81"/>
      <c r="GXQ26" s="81"/>
      <c r="GXU26" s="81"/>
      <c r="GXY26" s="81"/>
      <c r="GYC26" s="81"/>
      <c r="GYG26" s="81"/>
      <c r="GYK26" s="81"/>
      <c r="GYO26" s="81"/>
      <c r="GYS26" s="81"/>
      <c r="GYW26" s="81"/>
      <c r="GZA26" s="81"/>
      <c r="GZE26" s="81"/>
      <c r="GZI26" s="81"/>
      <c r="GZM26" s="81"/>
      <c r="GZQ26" s="81"/>
      <c r="GZU26" s="81"/>
      <c r="GZY26" s="81"/>
      <c r="HAC26" s="81"/>
      <c r="HAG26" s="81"/>
      <c r="HAK26" s="81"/>
      <c r="HAO26" s="81"/>
      <c r="HAS26" s="81"/>
      <c r="HAW26" s="81"/>
      <c r="HBA26" s="81"/>
      <c r="HBE26" s="81"/>
      <c r="HBI26" s="81"/>
      <c r="HBM26" s="81"/>
      <c r="HBQ26" s="81"/>
      <c r="HBU26" s="81"/>
      <c r="HBY26" s="81"/>
      <c r="HCC26" s="81"/>
      <c r="HCG26" s="81"/>
      <c r="HCK26" s="81"/>
      <c r="HCO26" s="81"/>
      <c r="HCS26" s="81"/>
      <c r="HCW26" s="81"/>
      <c r="HDA26" s="81"/>
      <c r="HDE26" s="81"/>
      <c r="HDI26" s="81"/>
      <c r="HDM26" s="81"/>
      <c r="HDQ26" s="81"/>
      <c r="HDU26" s="81"/>
      <c r="HDY26" s="81"/>
      <c r="HEC26" s="81"/>
      <c r="HEG26" s="81"/>
      <c r="HEK26" s="81"/>
      <c r="HEO26" s="81"/>
      <c r="HES26" s="81"/>
      <c r="HEW26" s="81"/>
      <c r="HFA26" s="81"/>
      <c r="HFE26" s="81"/>
      <c r="HFI26" s="81"/>
      <c r="HFM26" s="81"/>
      <c r="HFQ26" s="81"/>
      <c r="HFU26" s="81"/>
      <c r="HFY26" s="81"/>
      <c r="HGC26" s="81"/>
      <c r="HGG26" s="81"/>
      <c r="HGK26" s="81"/>
      <c r="HGO26" s="81"/>
      <c r="HGS26" s="81"/>
      <c r="HGW26" s="81"/>
      <c r="HHA26" s="81"/>
      <c r="HHE26" s="81"/>
      <c r="HHI26" s="81"/>
      <c r="HHM26" s="81"/>
      <c r="HHQ26" s="81"/>
      <c r="HHU26" s="81"/>
      <c r="HHY26" s="81"/>
      <c r="HIC26" s="81"/>
      <c r="HIG26" s="81"/>
      <c r="HIK26" s="81"/>
      <c r="HIO26" s="81"/>
      <c r="HIS26" s="81"/>
      <c r="HIW26" s="81"/>
      <c r="HJA26" s="81"/>
      <c r="HJE26" s="81"/>
      <c r="HJI26" s="81"/>
      <c r="HJM26" s="81"/>
      <c r="HJQ26" s="81"/>
      <c r="HJU26" s="81"/>
      <c r="HJY26" s="81"/>
      <c r="HKC26" s="81"/>
      <c r="HKG26" s="81"/>
      <c r="HKK26" s="81"/>
      <c r="HKO26" s="81"/>
      <c r="HKS26" s="81"/>
      <c r="HKW26" s="81"/>
      <c r="HLA26" s="81"/>
      <c r="HLE26" s="81"/>
      <c r="HLI26" s="81"/>
      <c r="HLM26" s="81"/>
      <c r="HLQ26" s="81"/>
      <c r="HLU26" s="81"/>
      <c r="HLY26" s="81"/>
      <c r="HMC26" s="81"/>
      <c r="HMG26" s="81"/>
      <c r="HMK26" s="81"/>
      <c r="HMO26" s="81"/>
      <c r="HMS26" s="81"/>
      <c r="HMW26" s="81"/>
      <c r="HNA26" s="81"/>
      <c r="HNE26" s="81"/>
      <c r="HNI26" s="81"/>
      <c r="HNM26" s="81"/>
      <c r="HNQ26" s="81"/>
      <c r="HNU26" s="81"/>
      <c r="HNY26" s="81"/>
      <c r="HOC26" s="81"/>
      <c r="HOG26" s="81"/>
      <c r="HOK26" s="81"/>
      <c r="HOO26" s="81"/>
      <c r="HOS26" s="81"/>
      <c r="HOW26" s="81"/>
      <c r="HPA26" s="81"/>
      <c r="HPE26" s="81"/>
      <c r="HPI26" s="81"/>
      <c r="HPM26" s="81"/>
      <c r="HPQ26" s="81"/>
      <c r="HPU26" s="81"/>
      <c r="HPY26" s="81"/>
      <c r="HQC26" s="81"/>
      <c r="HQG26" s="81"/>
      <c r="HQK26" s="81"/>
      <c r="HQO26" s="81"/>
      <c r="HQS26" s="81"/>
      <c r="HQW26" s="81"/>
      <c r="HRA26" s="81"/>
      <c r="HRE26" s="81"/>
      <c r="HRI26" s="81"/>
      <c r="HRM26" s="81"/>
      <c r="HRQ26" s="81"/>
      <c r="HRU26" s="81"/>
      <c r="HRY26" s="81"/>
      <c r="HSC26" s="81"/>
      <c r="HSG26" s="81"/>
      <c r="HSK26" s="81"/>
      <c r="HSO26" s="81"/>
      <c r="HSS26" s="81"/>
      <c r="HSW26" s="81"/>
      <c r="HTA26" s="81"/>
      <c r="HTE26" s="81"/>
      <c r="HTI26" s="81"/>
      <c r="HTM26" s="81"/>
      <c r="HTQ26" s="81"/>
      <c r="HTU26" s="81"/>
      <c r="HTY26" s="81"/>
      <c r="HUC26" s="81"/>
      <c r="HUG26" s="81"/>
      <c r="HUK26" s="81"/>
      <c r="HUO26" s="81"/>
      <c r="HUS26" s="81"/>
      <c r="HUW26" s="81"/>
      <c r="HVA26" s="81"/>
      <c r="HVE26" s="81"/>
      <c r="HVI26" s="81"/>
      <c r="HVM26" s="81"/>
      <c r="HVQ26" s="81"/>
      <c r="HVU26" s="81"/>
      <c r="HVY26" s="81"/>
      <c r="HWC26" s="81"/>
      <c r="HWG26" s="81"/>
      <c r="HWK26" s="81"/>
      <c r="HWO26" s="81"/>
      <c r="HWS26" s="81"/>
      <c r="HWW26" s="81"/>
      <c r="HXA26" s="81"/>
      <c r="HXE26" s="81"/>
      <c r="HXI26" s="81"/>
      <c r="HXM26" s="81"/>
      <c r="HXQ26" s="81"/>
      <c r="HXU26" s="81"/>
      <c r="HXY26" s="81"/>
      <c r="HYC26" s="81"/>
      <c r="HYG26" s="81"/>
      <c r="HYK26" s="81"/>
      <c r="HYO26" s="81"/>
      <c r="HYS26" s="81"/>
      <c r="HYW26" s="81"/>
      <c r="HZA26" s="81"/>
      <c r="HZE26" s="81"/>
      <c r="HZI26" s="81"/>
      <c r="HZM26" s="81"/>
      <c r="HZQ26" s="81"/>
      <c r="HZU26" s="81"/>
      <c r="HZY26" s="81"/>
      <c r="IAC26" s="81"/>
      <c r="IAG26" s="81"/>
      <c r="IAK26" s="81"/>
      <c r="IAO26" s="81"/>
      <c r="IAS26" s="81"/>
      <c r="IAW26" s="81"/>
      <c r="IBA26" s="81"/>
      <c r="IBE26" s="81"/>
      <c r="IBI26" s="81"/>
      <c r="IBM26" s="81"/>
      <c r="IBQ26" s="81"/>
      <c r="IBU26" s="81"/>
      <c r="IBY26" s="81"/>
      <c r="ICC26" s="81"/>
      <c r="ICG26" s="81"/>
      <c r="ICK26" s="81"/>
      <c r="ICO26" s="81"/>
      <c r="ICS26" s="81"/>
      <c r="ICW26" s="81"/>
      <c r="IDA26" s="81"/>
      <c r="IDE26" s="81"/>
      <c r="IDI26" s="81"/>
      <c r="IDM26" s="81"/>
      <c r="IDQ26" s="81"/>
      <c r="IDU26" s="81"/>
      <c r="IDY26" s="81"/>
      <c r="IEC26" s="81"/>
      <c r="IEG26" s="81"/>
      <c r="IEK26" s="81"/>
      <c r="IEO26" s="81"/>
      <c r="IES26" s="81"/>
      <c r="IEW26" s="81"/>
      <c r="IFA26" s="81"/>
      <c r="IFE26" s="81"/>
      <c r="IFI26" s="81"/>
      <c r="IFM26" s="81"/>
      <c r="IFQ26" s="81"/>
      <c r="IFU26" s="81"/>
      <c r="IFY26" s="81"/>
      <c r="IGC26" s="81"/>
      <c r="IGG26" s="81"/>
      <c r="IGK26" s="81"/>
      <c r="IGO26" s="81"/>
      <c r="IGS26" s="81"/>
      <c r="IGW26" s="81"/>
      <c r="IHA26" s="81"/>
      <c r="IHE26" s="81"/>
      <c r="IHI26" s="81"/>
      <c r="IHM26" s="81"/>
      <c r="IHQ26" s="81"/>
      <c r="IHU26" s="81"/>
      <c r="IHY26" s="81"/>
      <c r="IIC26" s="81"/>
      <c r="IIG26" s="81"/>
      <c r="IIK26" s="81"/>
      <c r="IIO26" s="81"/>
      <c r="IIS26" s="81"/>
      <c r="IIW26" s="81"/>
      <c r="IJA26" s="81"/>
      <c r="IJE26" s="81"/>
      <c r="IJI26" s="81"/>
      <c r="IJM26" s="81"/>
      <c r="IJQ26" s="81"/>
      <c r="IJU26" s="81"/>
      <c r="IJY26" s="81"/>
      <c r="IKC26" s="81"/>
      <c r="IKG26" s="81"/>
      <c r="IKK26" s="81"/>
      <c r="IKO26" s="81"/>
      <c r="IKS26" s="81"/>
      <c r="IKW26" s="81"/>
      <c r="ILA26" s="81"/>
      <c r="ILE26" s="81"/>
      <c r="ILI26" s="81"/>
      <c r="ILM26" s="81"/>
      <c r="ILQ26" s="81"/>
      <c r="ILU26" s="81"/>
      <c r="ILY26" s="81"/>
      <c r="IMC26" s="81"/>
      <c r="IMG26" s="81"/>
      <c r="IMK26" s="81"/>
      <c r="IMO26" s="81"/>
      <c r="IMS26" s="81"/>
      <c r="IMW26" s="81"/>
      <c r="INA26" s="81"/>
      <c r="INE26" s="81"/>
      <c r="INI26" s="81"/>
      <c r="INM26" s="81"/>
      <c r="INQ26" s="81"/>
      <c r="INU26" s="81"/>
      <c r="INY26" s="81"/>
      <c r="IOC26" s="81"/>
      <c r="IOG26" s="81"/>
      <c r="IOK26" s="81"/>
      <c r="IOO26" s="81"/>
      <c r="IOS26" s="81"/>
      <c r="IOW26" s="81"/>
      <c r="IPA26" s="81"/>
      <c r="IPE26" s="81"/>
      <c r="IPI26" s="81"/>
      <c r="IPM26" s="81"/>
      <c r="IPQ26" s="81"/>
      <c r="IPU26" s="81"/>
      <c r="IPY26" s="81"/>
      <c r="IQC26" s="81"/>
      <c r="IQG26" s="81"/>
      <c r="IQK26" s="81"/>
      <c r="IQO26" s="81"/>
      <c r="IQS26" s="81"/>
      <c r="IQW26" s="81"/>
      <c r="IRA26" s="81"/>
      <c r="IRE26" s="81"/>
      <c r="IRI26" s="81"/>
      <c r="IRM26" s="81"/>
      <c r="IRQ26" s="81"/>
      <c r="IRU26" s="81"/>
      <c r="IRY26" s="81"/>
      <c r="ISC26" s="81"/>
      <c r="ISG26" s="81"/>
      <c r="ISK26" s="81"/>
      <c r="ISO26" s="81"/>
      <c r="ISS26" s="81"/>
      <c r="ISW26" s="81"/>
      <c r="ITA26" s="81"/>
      <c r="ITE26" s="81"/>
      <c r="ITI26" s="81"/>
      <c r="ITM26" s="81"/>
      <c r="ITQ26" s="81"/>
      <c r="ITU26" s="81"/>
      <c r="ITY26" s="81"/>
      <c r="IUC26" s="81"/>
      <c r="IUG26" s="81"/>
      <c r="IUK26" s="81"/>
      <c r="IUO26" s="81"/>
      <c r="IUS26" s="81"/>
      <c r="IUW26" s="81"/>
      <c r="IVA26" s="81"/>
      <c r="IVE26" s="81"/>
      <c r="IVI26" s="81"/>
      <c r="IVM26" s="81"/>
      <c r="IVQ26" s="81"/>
      <c r="IVU26" s="81"/>
      <c r="IVY26" s="81"/>
      <c r="IWC26" s="81"/>
      <c r="IWG26" s="81"/>
      <c r="IWK26" s="81"/>
      <c r="IWO26" s="81"/>
      <c r="IWS26" s="81"/>
      <c r="IWW26" s="81"/>
      <c r="IXA26" s="81"/>
      <c r="IXE26" s="81"/>
      <c r="IXI26" s="81"/>
      <c r="IXM26" s="81"/>
      <c r="IXQ26" s="81"/>
      <c r="IXU26" s="81"/>
      <c r="IXY26" s="81"/>
      <c r="IYC26" s="81"/>
      <c r="IYG26" s="81"/>
      <c r="IYK26" s="81"/>
      <c r="IYO26" s="81"/>
      <c r="IYS26" s="81"/>
      <c r="IYW26" s="81"/>
      <c r="IZA26" s="81"/>
      <c r="IZE26" s="81"/>
      <c r="IZI26" s="81"/>
      <c r="IZM26" s="81"/>
      <c r="IZQ26" s="81"/>
      <c r="IZU26" s="81"/>
      <c r="IZY26" s="81"/>
      <c r="JAC26" s="81"/>
      <c r="JAG26" s="81"/>
      <c r="JAK26" s="81"/>
      <c r="JAO26" s="81"/>
      <c r="JAS26" s="81"/>
      <c r="JAW26" s="81"/>
      <c r="JBA26" s="81"/>
      <c r="JBE26" s="81"/>
      <c r="JBI26" s="81"/>
      <c r="JBM26" s="81"/>
      <c r="JBQ26" s="81"/>
      <c r="JBU26" s="81"/>
      <c r="JBY26" s="81"/>
      <c r="JCC26" s="81"/>
      <c r="JCG26" s="81"/>
      <c r="JCK26" s="81"/>
      <c r="JCO26" s="81"/>
      <c r="JCS26" s="81"/>
      <c r="JCW26" s="81"/>
      <c r="JDA26" s="81"/>
      <c r="JDE26" s="81"/>
      <c r="JDI26" s="81"/>
      <c r="JDM26" s="81"/>
      <c r="JDQ26" s="81"/>
      <c r="JDU26" s="81"/>
      <c r="JDY26" s="81"/>
      <c r="JEC26" s="81"/>
      <c r="JEG26" s="81"/>
      <c r="JEK26" s="81"/>
      <c r="JEO26" s="81"/>
      <c r="JES26" s="81"/>
      <c r="JEW26" s="81"/>
      <c r="JFA26" s="81"/>
      <c r="JFE26" s="81"/>
      <c r="JFI26" s="81"/>
      <c r="JFM26" s="81"/>
      <c r="JFQ26" s="81"/>
      <c r="JFU26" s="81"/>
      <c r="JFY26" s="81"/>
      <c r="JGC26" s="81"/>
      <c r="JGG26" s="81"/>
      <c r="JGK26" s="81"/>
      <c r="JGO26" s="81"/>
      <c r="JGS26" s="81"/>
      <c r="JGW26" s="81"/>
      <c r="JHA26" s="81"/>
      <c r="JHE26" s="81"/>
      <c r="JHI26" s="81"/>
      <c r="JHM26" s="81"/>
      <c r="JHQ26" s="81"/>
      <c r="JHU26" s="81"/>
      <c r="JHY26" s="81"/>
      <c r="JIC26" s="81"/>
      <c r="JIG26" s="81"/>
      <c r="JIK26" s="81"/>
      <c r="JIO26" s="81"/>
      <c r="JIS26" s="81"/>
      <c r="JIW26" s="81"/>
      <c r="JJA26" s="81"/>
      <c r="JJE26" s="81"/>
      <c r="JJI26" s="81"/>
      <c r="JJM26" s="81"/>
      <c r="JJQ26" s="81"/>
      <c r="JJU26" s="81"/>
      <c r="JJY26" s="81"/>
      <c r="JKC26" s="81"/>
      <c r="JKG26" s="81"/>
      <c r="JKK26" s="81"/>
      <c r="JKO26" s="81"/>
      <c r="JKS26" s="81"/>
      <c r="JKW26" s="81"/>
      <c r="JLA26" s="81"/>
      <c r="JLE26" s="81"/>
      <c r="JLI26" s="81"/>
      <c r="JLM26" s="81"/>
      <c r="JLQ26" s="81"/>
      <c r="JLU26" s="81"/>
      <c r="JLY26" s="81"/>
      <c r="JMC26" s="81"/>
      <c r="JMG26" s="81"/>
      <c r="JMK26" s="81"/>
      <c r="JMO26" s="81"/>
      <c r="JMS26" s="81"/>
      <c r="JMW26" s="81"/>
      <c r="JNA26" s="81"/>
      <c r="JNE26" s="81"/>
      <c r="JNI26" s="81"/>
      <c r="JNM26" s="81"/>
      <c r="JNQ26" s="81"/>
      <c r="JNU26" s="81"/>
      <c r="JNY26" s="81"/>
      <c r="JOC26" s="81"/>
      <c r="JOG26" s="81"/>
      <c r="JOK26" s="81"/>
      <c r="JOO26" s="81"/>
      <c r="JOS26" s="81"/>
      <c r="JOW26" s="81"/>
      <c r="JPA26" s="81"/>
      <c r="JPE26" s="81"/>
      <c r="JPI26" s="81"/>
      <c r="JPM26" s="81"/>
      <c r="JPQ26" s="81"/>
      <c r="JPU26" s="81"/>
      <c r="JPY26" s="81"/>
      <c r="JQC26" s="81"/>
      <c r="JQG26" s="81"/>
      <c r="JQK26" s="81"/>
      <c r="JQO26" s="81"/>
      <c r="JQS26" s="81"/>
      <c r="JQW26" s="81"/>
      <c r="JRA26" s="81"/>
      <c r="JRE26" s="81"/>
      <c r="JRI26" s="81"/>
      <c r="JRM26" s="81"/>
      <c r="JRQ26" s="81"/>
      <c r="JRU26" s="81"/>
      <c r="JRY26" s="81"/>
      <c r="JSC26" s="81"/>
      <c r="JSG26" s="81"/>
      <c r="JSK26" s="81"/>
      <c r="JSO26" s="81"/>
      <c r="JSS26" s="81"/>
      <c r="JSW26" s="81"/>
      <c r="JTA26" s="81"/>
      <c r="JTE26" s="81"/>
      <c r="JTI26" s="81"/>
      <c r="JTM26" s="81"/>
      <c r="JTQ26" s="81"/>
      <c r="JTU26" s="81"/>
      <c r="JTY26" s="81"/>
      <c r="JUC26" s="81"/>
      <c r="JUG26" s="81"/>
      <c r="JUK26" s="81"/>
      <c r="JUO26" s="81"/>
      <c r="JUS26" s="81"/>
      <c r="JUW26" s="81"/>
      <c r="JVA26" s="81"/>
      <c r="JVE26" s="81"/>
      <c r="JVI26" s="81"/>
      <c r="JVM26" s="81"/>
      <c r="JVQ26" s="81"/>
      <c r="JVU26" s="81"/>
      <c r="JVY26" s="81"/>
      <c r="JWC26" s="81"/>
      <c r="JWG26" s="81"/>
      <c r="JWK26" s="81"/>
      <c r="JWO26" s="81"/>
      <c r="JWS26" s="81"/>
      <c r="JWW26" s="81"/>
      <c r="JXA26" s="81"/>
      <c r="JXE26" s="81"/>
      <c r="JXI26" s="81"/>
      <c r="JXM26" s="81"/>
      <c r="JXQ26" s="81"/>
      <c r="JXU26" s="81"/>
      <c r="JXY26" s="81"/>
      <c r="JYC26" s="81"/>
      <c r="JYG26" s="81"/>
      <c r="JYK26" s="81"/>
      <c r="JYO26" s="81"/>
      <c r="JYS26" s="81"/>
      <c r="JYW26" s="81"/>
      <c r="JZA26" s="81"/>
      <c r="JZE26" s="81"/>
      <c r="JZI26" s="81"/>
      <c r="JZM26" s="81"/>
      <c r="JZQ26" s="81"/>
      <c r="JZU26" s="81"/>
      <c r="JZY26" s="81"/>
      <c r="KAC26" s="81"/>
      <c r="KAG26" s="81"/>
      <c r="KAK26" s="81"/>
      <c r="KAO26" s="81"/>
      <c r="KAS26" s="81"/>
      <c r="KAW26" s="81"/>
      <c r="KBA26" s="81"/>
      <c r="KBE26" s="81"/>
      <c r="KBI26" s="81"/>
      <c r="KBM26" s="81"/>
      <c r="KBQ26" s="81"/>
      <c r="KBU26" s="81"/>
      <c r="KBY26" s="81"/>
      <c r="KCC26" s="81"/>
      <c r="KCG26" s="81"/>
      <c r="KCK26" s="81"/>
      <c r="KCO26" s="81"/>
      <c r="KCS26" s="81"/>
      <c r="KCW26" s="81"/>
      <c r="KDA26" s="81"/>
      <c r="KDE26" s="81"/>
      <c r="KDI26" s="81"/>
      <c r="KDM26" s="81"/>
      <c r="KDQ26" s="81"/>
      <c r="KDU26" s="81"/>
      <c r="KDY26" s="81"/>
      <c r="KEC26" s="81"/>
      <c r="KEG26" s="81"/>
      <c r="KEK26" s="81"/>
      <c r="KEO26" s="81"/>
      <c r="KES26" s="81"/>
      <c r="KEW26" s="81"/>
      <c r="KFA26" s="81"/>
      <c r="KFE26" s="81"/>
      <c r="KFI26" s="81"/>
      <c r="KFM26" s="81"/>
      <c r="KFQ26" s="81"/>
      <c r="KFU26" s="81"/>
      <c r="KFY26" s="81"/>
      <c r="KGC26" s="81"/>
      <c r="KGG26" s="81"/>
      <c r="KGK26" s="81"/>
      <c r="KGO26" s="81"/>
      <c r="KGS26" s="81"/>
      <c r="KGW26" s="81"/>
      <c r="KHA26" s="81"/>
      <c r="KHE26" s="81"/>
      <c r="KHI26" s="81"/>
      <c r="KHM26" s="81"/>
      <c r="KHQ26" s="81"/>
      <c r="KHU26" s="81"/>
      <c r="KHY26" s="81"/>
      <c r="KIC26" s="81"/>
      <c r="KIG26" s="81"/>
      <c r="KIK26" s="81"/>
      <c r="KIO26" s="81"/>
      <c r="KIS26" s="81"/>
      <c r="KIW26" s="81"/>
      <c r="KJA26" s="81"/>
      <c r="KJE26" s="81"/>
      <c r="KJI26" s="81"/>
      <c r="KJM26" s="81"/>
      <c r="KJQ26" s="81"/>
      <c r="KJU26" s="81"/>
      <c r="KJY26" s="81"/>
      <c r="KKC26" s="81"/>
      <c r="KKG26" s="81"/>
      <c r="KKK26" s="81"/>
      <c r="KKO26" s="81"/>
      <c r="KKS26" s="81"/>
      <c r="KKW26" s="81"/>
      <c r="KLA26" s="81"/>
      <c r="KLE26" s="81"/>
      <c r="KLI26" s="81"/>
      <c r="KLM26" s="81"/>
      <c r="KLQ26" s="81"/>
      <c r="KLU26" s="81"/>
      <c r="KLY26" s="81"/>
      <c r="KMC26" s="81"/>
      <c r="KMG26" s="81"/>
      <c r="KMK26" s="81"/>
      <c r="KMO26" s="81"/>
      <c r="KMS26" s="81"/>
      <c r="KMW26" s="81"/>
      <c r="KNA26" s="81"/>
      <c r="KNE26" s="81"/>
      <c r="KNI26" s="81"/>
      <c r="KNM26" s="81"/>
      <c r="KNQ26" s="81"/>
      <c r="KNU26" s="81"/>
      <c r="KNY26" s="81"/>
      <c r="KOC26" s="81"/>
      <c r="KOG26" s="81"/>
      <c r="KOK26" s="81"/>
      <c r="KOO26" s="81"/>
      <c r="KOS26" s="81"/>
      <c r="KOW26" s="81"/>
      <c r="KPA26" s="81"/>
      <c r="KPE26" s="81"/>
      <c r="KPI26" s="81"/>
      <c r="KPM26" s="81"/>
      <c r="KPQ26" s="81"/>
      <c r="KPU26" s="81"/>
      <c r="KPY26" s="81"/>
      <c r="KQC26" s="81"/>
      <c r="KQG26" s="81"/>
      <c r="KQK26" s="81"/>
      <c r="KQO26" s="81"/>
      <c r="KQS26" s="81"/>
      <c r="KQW26" s="81"/>
      <c r="KRA26" s="81"/>
      <c r="KRE26" s="81"/>
      <c r="KRI26" s="81"/>
      <c r="KRM26" s="81"/>
      <c r="KRQ26" s="81"/>
      <c r="KRU26" s="81"/>
      <c r="KRY26" s="81"/>
      <c r="KSC26" s="81"/>
      <c r="KSG26" s="81"/>
      <c r="KSK26" s="81"/>
      <c r="KSO26" s="81"/>
      <c r="KSS26" s="81"/>
      <c r="KSW26" s="81"/>
      <c r="KTA26" s="81"/>
      <c r="KTE26" s="81"/>
      <c r="KTI26" s="81"/>
      <c r="KTM26" s="81"/>
      <c r="KTQ26" s="81"/>
      <c r="KTU26" s="81"/>
      <c r="KTY26" s="81"/>
      <c r="KUC26" s="81"/>
      <c r="KUG26" s="81"/>
      <c r="KUK26" s="81"/>
      <c r="KUO26" s="81"/>
      <c r="KUS26" s="81"/>
      <c r="KUW26" s="81"/>
      <c r="KVA26" s="81"/>
      <c r="KVE26" s="81"/>
      <c r="KVI26" s="81"/>
      <c r="KVM26" s="81"/>
      <c r="KVQ26" s="81"/>
      <c r="KVU26" s="81"/>
      <c r="KVY26" s="81"/>
      <c r="KWC26" s="81"/>
      <c r="KWG26" s="81"/>
      <c r="KWK26" s="81"/>
      <c r="KWO26" s="81"/>
      <c r="KWS26" s="81"/>
      <c r="KWW26" s="81"/>
      <c r="KXA26" s="81"/>
      <c r="KXE26" s="81"/>
      <c r="KXI26" s="81"/>
      <c r="KXM26" s="81"/>
      <c r="KXQ26" s="81"/>
      <c r="KXU26" s="81"/>
      <c r="KXY26" s="81"/>
      <c r="KYC26" s="81"/>
      <c r="KYG26" s="81"/>
      <c r="KYK26" s="81"/>
      <c r="KYO26" s="81"/>
      <c r="KYS26" s="81"/>
      <c r="KYW26" s="81"/>
      <c r="KZA26" s="81"/>
      <c r="KZE26" s="81"/>
      <c r="KZI26" s="81"/>
      <c r="KZM26" s="81"/>
      <c r="KZQ26" s="81"/>
      <c r="KZU26" s="81"/>
      <c r="KZY26" s="81"/>
      <c r="LAC26" s="81"/>
      <c r="LAG26" s="81"/>
      <c r="LAK26" s="81"/>
      <c r="LAO26" s="81"/>
      <c r="LAS26" s="81"/>
      <c r="LAW26" s="81"/>
      <c r="LBA26" s="81"/>
      <c r="LBE26" s="81"/>
      <c r="LBI26" s="81"/>
      <c r="LBM26" s="81"/>
      <c r="LBQ26" s="81"/>
      <c r="LBU26" s="81"/>
      <c r="LBY26" s="81"/>
      <c r="LCC26" s="81"/>
      <c r="LCG26" s="81"/>
      <c r="LCK26" s="81"/>
      <c r="LCO26" s="81"/>
      <c r="LCS26" s="81"/>
      <c r="LCW26" s="81"/>
      <c r="LDA26" s="81"/>
      <c r="LDE26" s="81"/>
      <c r="LDI26" s="81"/>
      <c r="LDM26" s="81"/>
      <c r="LDQ26" s="81"/>
      <c r="LDU26" s="81"/>
      <c r="LDY26" s="81"/>
      <c r="LEC26" s="81"/>
      <c r="LEG26" s="81"/>
      <c r="LEK26" s="81"/>
      <c r="LEO26" s="81"/>
      <c r="LES26" s="81"/>
      <c r="LEW26" s="81"/>
      <c r="LFA26" s="81"/>
      <c r="LFE26" s="81"/>
      <c r="LFI26" s="81"/>
      <c r="LFM26" s="81"/>
      <c r="LFQ26" s="81"/>
      <c r="LFU26" s="81"/>
      <c r="LFY26" s="81"/>
      <c r="LGC26" s="81"/>
      <c r="LGG26" s="81"/>
      <c r="LGK26" s="81"/>
      <c r="LGO26" s="81"/>
      <c r="LGS26" s="81"/>
      <c r="LGW26" s="81"/>
      <c r="LHA26" s="81"/>
      <c r="LHE26" s="81"/>
      <c r="LHI26" s="81"/>
      <c r="LHM26" s="81"/>
      <c r="LHQ26" s="81"/>
      <c r="LHU26" s="81"/>
      <c r="LHY26" s="81"/>
      <c r="LIC26" s="81"/>
      <c r="LIG26" s="81"/>
      <c r="LIK26" s="81"/>
      <c r="LIO26" s="81"/>
      <c r="LIS26" s="81"/>
      <c r="LIW26" s="81"/>
      <c r="LJA26" s="81"/>
      <c r="LJE26" s="81"/>
      <c r="LJI26" s="81"/>
      <c r="LJM26" s="81"/>
      <c r="LJQ26" s="81"/>
      <c r="LJU26" s="81"/>
      <c r="LJY26" s="81"/>
      <c r="LKC26" s="81"/>
      <c r="LKG26" s="81"/>
      <c r="LKK26" s="81"/>
      <c r="LKO26" s="81"/>
      <c r="LKS26" s="81"/>
      <c r="LKW26" s="81"/>
      <c r="LLA26" s="81"/>
      <c r="LLE26" s="81"/>
      <c r="LLI26" s="81"/>
      <c r="LLM26" s="81"/>
      <c r="LLQ26" s="81"/>
      <c r="LLU26" s="81"/>
      <c r="LLY26" s="81"/>
      <c r="LMC26" s="81"/>
      <c r="LMG26" s="81"/>
      <c r="LMK26" s="81"/>
      <c r="LMO26" s="81"/>
      <c r="LMS26" s="81"/>
      <c r="LMW26" s="81"/>
      <c r="LNA26" s="81"/>
      <c r="LNE26" s="81"/>
      <c r="LNI26" s="81"/>
      <c r="LNM26" s="81"/>
      <c r="LNQ26" s="81"/>
      <c r="LNU26" s="81"/>
      <c r="LNY26" s="81"/>
      <c r="LOC26" s="81"/>
      <c r="LOG26" s="81"/>
      <c r="LOK26" s="81"/>
      <c r="LOO26" s="81"/>
      <c r="LOS26" s="81"/>
      <c r="LOW26" s="81"/>
      <c r="LPA26" s="81"/>
      <c r="LPE26" s="81"/>
      <c r="LPI26" s="81"/>
      <c r="LPM26" s="81"/>
      <c r="LPQ26" s="81"/>
      <c r="LPU26" s="81"/>
      <c r="LPY26" s="81"/>
      <c r="LQC26" s="81"/>
      <c r="LQG26" s="81"/>
      <c r="LQK26" s="81"/>
      <c r="LQO26" s="81"/>
      <c r="LQS26" s="81"/>
      <c r="LQW26" s="81"/>
      <c r="LRA26" s="81"/>
      <c r="LRE26" s="81"/>
      <c r="LRI26" s="81"/>
      <c r="LRM26" s="81"/>
      <c r="LRQ26" s="81"/>
      <c r="LRU26" s="81"/>
      <c r="LRY26" s="81"/>
      <c r="LSC26" s="81"/>
      <c r="LSG26" s="81"/>
      <c r="LSK26" s="81"/>
      <c r="LSO26" s="81"/>
      <c r="LSS26" s="81"/>
      <c r="LSW26" s="81"/>
      <c r="LTA26" s="81"/>
      <c r="LTE26" s="81"/>
      <c r="LTI26" s="81"/>
      <c r="LTM26" s="81"/>
      <c r="LTQ26" s="81"/>
      <c r="LTU26" s="81"/>
      <c r="LTY26" s="81"/>
      <c r="LUC26" s="81"/>
      <c r="LUG26" s="81"/>
      <c r="LUK26" s="81"/>
      <c r="LUO26" s="81"/>
      <c r="LUS26" s="81"/>
      <c r="LUW26" s="81"/>
      <c r="LVA26" s="81"/>
      <c r="LVE26" s="81"/>
      <c r="LVI26" s="81"/>
      <c r="LVM26" s="81"/>
      <c r="LVQ26" s="81"/>
      <c r="LVU26" s="81"/>
      <c r="LVY26" s="81"/>
      <c r="LWC26" s="81"/>
      <c r="LWG26" s="81"/>
      <c r="LWK26" s="81"/>
      <c r="LWO26" s="81"/>
      <c r="LWS26" s="81"/>
      <c r="LWW26" s="81"/>
      <c r="LXA26" s="81"/>
      <c r="LXE26" s="81"/>
      <c r="LXI26" s="81"/>
      <c r="LXM26" s="81"/>
      <c r="LXQ26" s="81"/>
      <c r="LXU26" s="81"/>
      <c r="LXY26" s="81"/>
      <c r="LYC26" s="81"/>
      <c r="LYG26" s="81"/>
      <c r="LYK26" s="81"/>
      <c r="LYO26" s="81"/>
      <c r="LYS26" s="81"/>
      <c r="LYW26" s="81"/>
      <c r="LZA26" s="81"/>
      <c r="LZE26" s="81"/>
      <c r="LZI26" s="81"/>
      <c r="LZM26" s="81"/>
      <c r="LZQ26" s="81"/>
      <c r="LZU26" s="81"/>
      <c r="LZY26" s="81"/>
      <c r="MAC26" s="81"/>
      <c r="MAG26" s="81"/>
      <c r="MAK26" s="81"/>
      <c r="MAO26" s="81"/>
      <c r="MAS26" s="81"/>
      <c r="MAW26" s="81"/>
      <c r="MBA26" s="81"/>
      <c r="MBE26" s="81"/>
      <c r="MBI26" s="81"/>
      <c r="MBM26" s="81"/>
      <c r="MBQ26" s="81"/>
      <c r="MBU26" s="81"/>
      <c r="MBY26" s="81"/>
      <c r="MCC26" s="81"/>
      <c r="MCG26" s="81"/>
      <c r="MCK26" s="81"/>
      <c r="MCO26" s="81"/>
      <c r="MCS26" s="81"/>
      <c r="MCW26" s="81"/>
      <c r="MDA26" s="81"/>
      <c r="MDE26" s="81"/>
      <c r="MDI26" s="81"/>
      <c r="MDM26" s="81"/>
      <c r="MDQ26" s="81"/>
      <c r="MDU26" s="81"/>
      <c r="MDY26" s="81"/>
      <c r="MEC26" s="81"/>
      <c r="MEG26" s="81"/>
      <c r="MEK26" s="81"/>
      <c r="MEO26" s="81"/>
      <c r="MES26" s="81"/>
      <c r="MEW26" s="81"/>
      <c r="MFA26" s="81"/>
      <c r="MFE26" s="81"/>
      <c r="MFI26" s="81"/>
      <c r="MFM26" s="81"/>
      <c r="MFQ26" s="81"/>
      <c r="MFU26" s="81"/>
      <c r="MFY26" s="81"/>
      <c r="MGC26" s="81"/>
      <c r="MGG26" s="81"/>
      <c r="MGK26" s="81"/>
      <c r="MGO26" s="81"/>
      <c r="MGS26" s="81"/>
      <c r="MGW26" s="81"/>
      <c r="MHA26" s="81"/>
      <c r="MHE26" s="81"/>
      <c r="MHI26" s="81"/>
      <c r="MHM26" s="81"/>
      <c r="MHQ26" s="81"/>
      <c r="MHU26" s="81"/>
      <c r="MHY26" s="81"/>
      <c r="MIC26" s="81"/>
      <c r="MIG26" s="81"/>
      <c r="MIK26" s="81"/>
      <c r="MIO26" s="81"/>
      <c r="MIS26" s="81"/>
      <c r="MIW26" s="81"/>
      <c r="MJA26" s="81"/>
      <c r="MJE26" s="81"/>
      <c r="MJI26" s="81"/>
      <c r="MJM26" s="81"/>
      <c r="MJQ26" s="81"/>
      <c r="MJU26" s="81"/>
      <c r="MJY26" s="81"/>
      <c r="MKC26" s="81"/>
      <c r="MKG26" s="81"/>
      <c r="MKK26" s="81"/>
      <c r="MKO26" s="81"/>
      <c r="MKS26" s="81"/>
      <c r="MKW26" s="81"/>
      <c r="MLA26" s="81"/>
      <c r="MLE26" s="81"/>
      <c r="MLI26" s="81"/>
      <c r="MLM26" s="81"/>
      <c r="MLQ26" s="81"/>
      <c r="MLU26" s="81"/>
      <c r="MLY26" s="81"/>
      <c r="MMC26" s="81"/>
      <c r="MMG26" s="81"/>
      <c r="MMK26" s="81"/>
      <c r="MMO26" s="81"/>
      <c r="MMS26" s="81"/>
      <c r="MMW26" s="81"/>
      <c r="MNA26" s="81"/>
      <c r="MNE26" s="81"/>
      <c r="MNI26" s="81"/>
      <c r="MNM26" s="81"/>
      <c r="MNQ26" s="81"/>
      <c r="MNU26" s="81"/>
      <c r="MNY26" s="81"/>
      <c r="MOC26" s="81"/>
      <c r="MOG26" s="81"/>
      <c r="MOK26" s="81"/>
      <c r="MOO26" s="81"/>
      <c r="MOS26" s="81"/>
      <c r="MOW26" s="81"/>
      <c r="MPA26" s="81"/>
      <c r="MPE26" s="81"/>
      <c r="MPI26" s="81"/>
      <c r="MPM26" s="81"/>
      <c r="MPQ26" s="81"/>
      <c r="MPU26" s="81"/>
      <c r="MPY26" s="81"/>
      <c r="MQC26" s="81"/>
      <c r="MQG26" s="81"/>
      <c r="MQK26" s="81"/>
      <c r="MQO26" s="81"/>
      <c r="MQS26" s="81"/>
      <c r="MQW26" s="81"/>
      <c r="MRA26" s="81"/>
      <c r="MRE26" s="81"/>
      <c r="MRI26" s="81"/>
      <c r="MRM26" s="81"/>
      <c r="MRQ26" s="81"/>
      <c r="MRU26" s="81"/>
      <c r="MRY26" s="81"/>
      <c r="MSC26" s="81"/>
      <c r="MSG26" s="81"/>
      <c r="MSK26" s="81"/>
      <c r="MSO26" s="81"/>
      <c r="MSS26" s="81"/>
      <c r="MSW26" s="81"/>
      <c r="MTA26" s="81"/>
      <c r="MTE26" s="81"/>
      <c r="MTI26" s="81"/>
      <c r="MTM26" s="81"/>
      <c r="MTQ26" s="81"/>
      <c r="MTU26" s="81"/>
      <c r="MTY26" s="81"/>
      <c r="MUC26" s="81"/>
      <c r="MUG26" s="81"/>
      <c r="MUK26" s="81"/>
      <c r="MUO26" s="81"/>
      <c r="MUS26" s="81"/>
      <c r="MUW26" s="81"/>
      <c r="MVA26" s="81"/>
      <c r="MVE26" s="81"/>
      <c r="MVI26" s="81"/>
      <c r="MVM26" s="81"/>
      <c r="MVQ26" s="81"/>
      <c r="MVU26" s="81"/>
      <c r="MVY26" s="81"/>
      <c r="MWC26" s="81"/>
      <c r="MWG26" s="81"/>
      <c r="MWK26" s="81"/>
      <c r="MWO26" s="81"/>
      <c r="MWS26" s="81"/>
      <c r="MWW26" s="81"/>
      <c r="MXA26" s="81"/>
      <c r="MXE26" s="81"/>
      <c r="MXI26" s="81"/>
      <c r="MXM26" s="81"/>
      <c r="MXQ26" s="81"/>
      <c r="MXU26" s="81"/>
      <c r="MXY26" s="81"/>
      <c r="MYC26" s="81"/>
      <c r="MYG26" s="81"/>
      <c r="MYK26" s="81"/>
      <c r="MYO26" s="81"/>
      <c r="MYS26" s="81"/>
      <c r="MYW26" s="81"/>
      <c r="MZA26" s="81"/>
      <c r="MZE26" s="81"/>
      <c r="MZI26" s="81"/>
      <c r="MZM26" s="81"/>
      <c r="MZQ26" s="81"/>
      <c r="MZU26" s="81"/>
      <c r="MZY26" s="81"/>
      <c r="NAC26" s="81"/>
      <c r="NAG26" s="81"/>
      <c r="NAK26" s="81"/>
      <c r="NAO26" s="81"/>
      <c r="NAS26" s="81"/>
      <c r="NAW26" s="81"/>
      <c r="NBA26" s="81"/>
      <c r="NBE26" s="81"/>
      <c r="NBI26" s="81"/>
      <c r="NBM26" s="81"/>
      <c r="NBQ26" s="81"/>
      <c r="NBU26" s="81"/>
      <c r="NBY26" s="81"/>
      <c r="NCC26" s="81"/>
      <c r="NCG26" s="81"/>
      <c r="NCK26" s="81"/>
      <c r="NCO26" s="81"/>
      <c r="NCS26" s="81"/>
      <c r="NCW26" s="81"/>
      <c r="NDA26" s="81"/>
      <c r="NDE26" s="81"/>
      <c r="NDI26" s="81"/>
      <c r="NDM26" s="81"/>
      <c r="NDQ26" s="81"/>
      <c r="NDU26" s="81"/>
      <c r="NDY26" s="81"/>
      <c r="NEC26" s="81"/>
      <c r="NEG26" s="81"/>
      <c r="NEK26" s="81"/>
      <c r="NEO26" s="81"/>
      <c r="NES26" s="81"/>
      <c r="NEW26" s="81"/>
      <c r="NFA26" s="81"/>
      <c r="NFE26" s="81"/>
      <c r="NFI26" s="81"/>
      <c r="NFM26" s="81"/>
      <c r="NFQ26" s="81"/>
      <c r="NFU26" s="81"/>
      <c r="NFY26" s="81"/>
      <c r="NGC26" s="81"/>
      <c r="NGG26" s="81"/>
      <c r="NGK26" s="81"/>
      <c r="NGO26" s="81"/>
      <c r="NGS26" s="81"/>
      <c r="NGW26" s="81"/>
      <c r="NHA26" s="81"/>
      <c r="NHE26" s="81"/>
      <c r="NHI26" s="81"/>
      <c r="NHM26" s="81"/>
      <c r="NHQ26" s="81"/>
      <c r="NHU26" s="81"/>
      <c r="NHY26" s="81"/>
      <c r="NIC26" s="81"/>
      <c r="NIG26" s="81"/>
      <c r="NIK26" s="81"/>
      <c r="NIO26" s="81"/>
      <c r="NIS26" s="81"/>
      <c r="NIW26" s="81"/>
      <c r="NJA26" s="81"/>
      <c r="NJE26" s="81"/>
      <c r="NJI26" s="81"/>
      <c r="NJM26" s="81"/>
      <c r="NJQ26" s="81"/>
      <c r="NJU26" s="81"/>
      <c r="NJY26" s="81"/>
      <c r="NKC26" s="81"/>
      <c r="NKG26" s="81"/>
      <c r="NKK26" s="81"/>
      <c r="NKO26" s="81"/>
      <c r="NKS26" s="81"/>
      <c r="NKW26" s="81"/>
      <c r="NLA26" s="81"/>
      <c r="NLE26" s="81"/>
      <c r="NLI26" s="81"/>
      <c r="NLM26" s="81"/>
      <c r="NLQ26" s="81"/>
      <c r="NLU26" s="81"/>
      <c r="NLY26" s="81"/>
      <c r="NMC26" s="81"/>
      <c r="NMG26" s="81"/>
      <c r="NMK26" s="81"/>
      <c r="NMO26" s="81"/>
      <c r="NMS26" s="81"/>
      <c r="NMW26" s="81"/>
      <c r="NNA26" s="81"/>
      <c r="NNE26" s="81"/>
      <c r="NNI26" s="81"/>
      <c r="NNM26" s="81"/>
      <c r="NNQ26" s="81"/>
      <c r="NNU26" s="81"/>
      <c r="NNY26" s="81"/>
      <c r="NOC26" s="81"/>
      <c r="NOG26" s="81"/>
      <c r="NOK26" s="81"/>
      <c r="NOO26" s="81"/>
      <c r="NOS26" s="81"/>
      <c r="NOW26" s="81"/>
      <c r="NPA26" s="81"/>
      <c r="NPE26" s="81"/>
      <c r="NPI26" s="81"/>
      <c r="NPM26" s="81"/>
      <c r="NPQ26" s="81"/>
      <c r="NPU26" s="81"/>
      <c r="NPY26" s="81"/>
      <c r="NQC26" s="81"/>
      <c r="NQG26" s="81"/>
      <c r="NQK26" s="81"/>
      <c r="NQO26" s="81"/>
      <c r="NQS26" s="81"/>
      <c r="NQW26" s="81"/>
      <c r="NRA26" s="81"/>
      <c r="NRE26" s="81"/>
      <c r="NRI26" s="81"/>
      <c r="NRM26" s="81"/>
      <c r="NRQ26" s="81"/>
      <c r="NRU26" s="81"/>
      <c r="NRY26" s="81"/>
      <c r="NSC26" s="81"/>
      <c r="NSG26" s="81"/>
      <c r="NSK26" s="81"/>
      <c r="NSO26" s="81"/>
      <c r="NSS26" s="81"/>
      <c r="NSW26" s="81"/>
      <c r="NTA26" s="81"/>
      <c r="NTE26" s="81"/>
      <c r="NTI26" s="81"/>
      <c r="NTM26" s="81"/>
      <c r="NTQ26" s="81"/>
      <c r="NTU26" s="81"/>
      <c r="NTY26" s="81"/>
      <c r="NUC26" s="81"/>
      <c r="NUG26" s="81"/>
      <c r="NUK26" s="81"/>
      <c r="NUO26" s="81"/>
      <c r="NUS26" s="81"/>
      <c r="NUW26" s="81"/>
      <c r="NVA26" s="81"/>
      <c r="NVE26" s="81"/>
      <c r="NVI26" s="81"/>
      <c r="NVM26" s="81"/>
      <c r="NVQ26" s="81"/>
      <c r="NVU26" s="81"/>
      <c r="NVY26" s="81"/>
      <c r="NWC26" s="81"/>
      <c r="NWG26" s="81"/>
      <c r="NWK26" s="81"/>
      <c r="NWO26" s="81"/>
      <c r="NWS26" s="81"/>
      <c r="NWW26" s="81"/>
      <c r="NXA26" s="81"/>
      <c r="NXE26" s="81"/>
      <c r="NXI26" s="81"/>
      <c r="NXM26" s="81"/>
      <c r="NXQ26" s="81"/>
      <c r="NXU26" s="81"/>
      <c r="NXY26" s="81"/>
      <c r="NYC26" s="81"/>
      <c r="NYG26" s="81"/>
      <c r="NYK26" s="81"/>
      <c r="NYO26" s="81"/>
      <c r="NYS26" s="81"/>
      <c r="NYW26" s="81"/>
      <c r="NZA26" s="81"/>
      <c r="NZE26" s="81"/>
      <c r="NZI26" s="81"/>
      <c r="NZM26" s="81"/>
      <c r="NZQ26" s="81"/>
      <c r="NZU26" s="81"/>
      <c r="NZY26" s="81"/>
      <c r="OAC26" s="81"/>
      <c r="OAG26" s="81"/>
      <c r="OAK26" s="81"/>
      <c r="OAO26" s="81"/>
      <c r="OAS26" s="81"/>
      <c r="OAW26" s="81"/>
      <c r="OBA26" s="81"/>
      <c r="OBE26" s="81"/>
      <c r="OBI26" s="81"/>
      <c r="OBM26" s="81"/>
      <c r="OBQ26" s="81"/>
      <c r="OBU26" s="81"/>
      <c r="OBY26" s="81"/>
      <c r="OCC26" s="81"/>
      <c r="OCG26" s="81"/>
      <c r="OCK26" s="81"/>
      <c r="OCO26" s="81"/>
      <c r="OCS26" s="81"/>
      <c r="OCW26" s="81"/>
      <c r="ODA26" s="81"/>
      <c r="ODE26" s="81"/>
      <c r="ODI26" s="81"/>
      <c r="ODM26" s="81"/>
      <c r="ODQ26" s="81"/>
      <c r="ODU26" s="81"/>
      <c r="ODY26" s="81"/>
      <c r="OEC26" s="81"/>
      <c r="OEG26" s="81"/>
      <c r="OEK26" s="81"/>
      <c r="OEO26" s="81"/>
      <c r="OES26" s="81"/>
      <c r="OEW26" s="81"/>
      <c r="OFA26" s="81"/>
      <c r="OFE26" s="81"/>
      <c r="OFI26" s="81"/>
      <c r="OFM26" s="81"/>
      <c r="OFQ26" s="81"/>
      <c r="OFU26" s="81"/>
      <c r="OFY26" s="81"/>
      <c r="OGC26" s="81"/>
      <c r="OGG26" s="81"/>
      <c r="OGK26" s="81"/>
      <c r="OGO26" s="81"/>
      <c r="OGS26" s="81"/>
      <c r="OGW26" s="81"/>
      <c r="OHA26" s="81"/>
      <c r="OHE26" s="81"/>
      <c r="OHI26" s="81"/>
      <c r="OHM26" s="81"/>
      <c r="OHQ26" s="81"/>
      <c r="OHU26" s="81"/>
      <c r="OHY26" s="81"/>
      <c r="OIC26" s="81"/>
      <c r="OIG26" s="81"/>
      <c r="OIK26" s="81"/>
      <c r="OIO26" s="81"/>
      <c r="OIS26" s="81"/>
      <c r="OIW26" s="81"/>
      <c r="OJA26" s="81"/>
      <c r="OJE26" s="81"/>
      <c r="OJI26" s="81"/>
      <c r="OJM26" s="81"/>
      <c r="OJQ26" s="81"/>
      <c r="OJU26" s="81"/>
      <c r="OJY26" s="81"/>
      <c r="OKC26" s="81"/>
      <c r="OKG26" s="81"/>
      <c r="OKK26" s="81"/>
      <c r="OKO26" s="81"/>
      <c r="OKS26" s="81"/>
      <c r="OKW26" s="81"/>
      <c r="OLA26" s="81"/>
      <c r="OLE26" s="81"/>
      <c r="OLI26" s="81"/>
      <c r="OLM26" s="81"/>
      <c r="OLQ26" s="81"/>
      <c r="OLU26" s="81"/>
      <c r="OLY26" s="81"/>
      <c r="OMC26" s="81"/>
      <c r="OMG26" s="81"/>
      <c r="OMK26" s="81"/>
      <c r="OMO26" s="81"/>
      <c r="OMS26" s="81"/>
      <c r="OMW26" s="81"/>
      <c r="ONA26" s="81"/>
      <c r="ONE26" s="81"/>
      <c r="ONI26" s="81"/>
      <c r="ONM26" s="81"/>
      <c r="ONQ26" s="81"/>
      <c r="ONU26" s="81"/>
      <c r="ONY26" s="81"/>
      <c r="OOC26" s="81"/>
      <c r="OOG26" s="81"/>
      <c r="OOK26" s="81"/>
      <c r="OOO26" s="81"/>
      <c r="OOS26" s="81"/>
      <c r="OOW26" s="81"/>
      <c r="OPA26" s="81"/>
      <c r="OPE26" s="81"/>
      <c r="OPI26" s="81"/>
      <c r="OPM26" s="81"/>
      <c r="OPQ26" s="81"/>
      <c r="OPU26" s="81"/>
      <c r="OPY26" s="81"/>
      <c r="OQC26" s="81"/>
      <c r="OQG26" s="81"/>
      <c r="OQK26" s="81"/>
      <c r="OQO26" s="81"/>
      <c r="OQS26" s="81"/>
      <c r="OQW26" s="81"/>
      <c r="ORA26" s="81"/>
      <c r="ORE26" s="81"/>
      <c r="ORI26" s="81"/>
      <c r="ORM26" s="81"/>
      <c r="ORQ26" s="81"/>
      <c r="ORU26" s="81"/>
      <c r="ORY26" s="81"/>
      <c r="OSC26" s="81"/>
      <c r="OSG26" s="81"/>
      <c r="OSK26" s="81"/>
      <c r="OSO26" s="81"/>
      <c r="OSS26" s="81"/>
      <c r="OSW26" s="81"/>
      <c r="OTA26" s="81"/>
      <c r="OTE26" s="81"/>
      <c r="OTI26" s="81"/>
      <c r="OTM26" s="81"/>
      <c r="OTQ26" s="81"/>
      <c r="OTU26" s="81"/>
      <c r="OTY26" s="81"/>
      <c r="OUC26" s="81"/>
      <c r="OUG26" s="81"/>
      <c r="OUK26" s="81"/>
      <c r="OUO26" s="81"/>
      <c r="OUS26" s="81"/>
      <c r="OUW26" s="81"/>
      <c r="OVA26" s="81"/>
      <c r="OVE26" s="81"/>
      <c r="OVI26" s="81"/>
      <c r="OVM26" s="81"/>
      <c r="OVQ26" s="81"/>
      <c r="OVU26" s="81"/>
      <c r="OVY26" s="81"/>
      <c r="OWC26" s="81"/>
      <c r="OWG26" s="81"/>
      <c r="OWK26" s="81"/>
      <c r="OWO26" s="81"/>
      <c r="OWS26" s="81"/>
      <c r="OWW26" s="81"/>
      <c r="OXA26" s="81"/>
      <c r="OXE26" s="81"/>
      <c r="OXI26" s="81"/>
      <c r="OXM26" s="81"/>
      <c r="OXQ26" s="81"/>
      <c r="OXU26" s="81"/>
      <c r="OXY26" s="81"/>
      <c r="OYC26" s="81"/>
      <c r="OYG26" s="81"/>
      <c r="OYK26" s="81"/>
      <c r="OYO26" s="81"/>
      <c r="OYS26" s="81"/>
      <c r="OYW26" s="81"/>
      <c r="OZA26" s="81"/>
      <c r="OZE26" s="81"/>
      <c r="OZI26" s="81"/>
      <c r="OZM26" s="81"/>
      <c r="OZQ26" s="81"/>
      <c r="OZU26" s="81"/>
      <c r="OZY26" s="81"/>
      <c r="PAC26" s="81"/>
      <c r="PAG26" s="81"/>
      <c r="PAK26" s="81"/>
      <c r="PAO26" s="81"/>
      <c r="PAS26" s="81"/>
      <c r="PAW26" s="81"/>
      <c r="PBA26" s="81"/>
      <c r="PBE26" s="81"/>
      <c r="PBI26" s="81"/>
      <c r="PBM26" s="81"/>
      <c r="PBQ26" s="81"/>
      <c r="PBU26" s="81"/>
      <c r="PBY26" s="81"/>
      <c r="PCC26" s="81"/>
      <c r="PCG26" s="81"/>
      <c r="PCK26" s="81"/>
      <c r="PCO26" s="81"/>
      <c r="PCS26" s="81"/>
      <c r="PCW26" s="81"/>
      <c r="PDA26" s="81"/>
      <c r="PDE26" s="81"/>
      <c r="PDI26" s="81"/>
      <c r="PDM26" s="81"/>
      <c r="PDQ26" s="81"/>
      <c r="PDU26" s="81"/>
      <c r="PDY26" s="81"/>
      <c r="PEC26" s="81"/>
      <c r="PEG26" s="81"/>
      <c r="PEK26" s="81"/>
      <c r="PEO26" s="81"/>
      <c r="PES26" s="81"/>
      <c r="PEW26" s="81"/>
      <c r="PFA26" s="81"/>
      <c r="PFE26" s="81"/>
      <c r="PFI26" s="81"/>
      <c r="PFM26" s="81"/>
      <c r="PFQ26" s="81"/>
      <c r="PFU26" s="81"/>
      <c r="PFY26" s="81"/>
      <c r="PGC26" s="81"/>
      <c r="PGG26" s="81"/>
      <c r="PGK26" s="81"/>
      <c r="PGO26" s="81"/>
      <c r="PGS26" s="81"/>
      <c r="PGW26" s="81"/>
      <c r="PHA26" s="81"/>
      <c r="PHE26" s="81"/>
      <c r="PHI26" s="81"/>
      <c r="PHM26" s="81"/>
      <c r="PHQ26" s="81"/>
      <c r="PHU26" s="81"/>
      <c r="PHY26" s="81"/>
      <c r="PIC26" s="81"/>
      <c r="PIG26" s="81"/>
      <c r="PIK26" s="81"/>
      <c r="PIO26" s="81"/>
      <c r="PIS26" s="81"/>
      <c r="PIW26" s="81"/>
      <c r="PJA26" s="81"/>
      <c r="PJE26" s="81"/>
      <c r="PJI26" s="81"/>
      <c r="PJM26" s="81"/>
      <c r="PJQ26" s="81"/>
      <c r="PJU26" s="81"/>
      <c r="PJY26" s="81"/>
      <c r="PKC26" s="81"/>
      <c r="PKG26" s="81"/>
      <c r="PKK26" s="81"/>
      <c r="PKO26" s="81"/>
      <c r="PKS26" s="81"/>
      <c r="PKW26" s="81"/>
      <c r="PLA26" s="81"/>
      <c r="PLE26" s="81"/>
      <c r="PLI26" s="81"/>
      <c r="PLM26" s="81"/>
      <c r="PLQ26" s="81"/>
      <c r="PLU26" s="81"/>
      <c r="PLY26" s="81"/>
      <c r="PMC26" s="81"/>
      <c r="PMG26" s="81"/>
      <c r="PMK26" s="81"/>
      <c r="PMO26" s="81"/>
      <c r="PMS26" s="81"/>
      <c r="PMW26" s="81"/>
      <c r="PNA26" s="81"/>
      <c r="PNE26" s="81"/>
      <c r="PNI26" s="81"/>
      <c r="PNM26" s="81"/>
      <c r="PNQ26" s="81"/>
      <c r="PNU26" s="81"/>
      <c r="PNY26" s="81"/>
      <c r="POC26" s="81"/>
      <c r="POG26" s="81"/>
      <c r="POK26" s="81"/>
      <c r="POO26" s="81"/>
      <c r="POS26" s="81"/>
      <c r="POW26" s="81"/>
      <c r="PPA26" s="81"/>
      <c r="PPE26" s="81"/>
      <c r="PPI26" s="81"/>
      <c r="PPM26" s="81"/>
      <c r="PPQ26" s="81"/>
      <c r="PPU26" s="81"/>
      <c r="PPY26" s="81"/>
      <c r="PQC26" s="81"/>
      <c r="PQG26" s="81"/>
      <c r="PQK26" s="81"/>
      <c r="PQO26" s="81"/>
      <c r="PQS26" s="81"/>
      <c r="PQW26" s="81"/>
      <c r="PRA26" s="81"/>
      <c r="PRE26" s="81"/>
      <c r="PRI26" s="81"/>
      <c r="PRM26" s="81"/>
      <c r="PRQ26" s="81"/>
      <c r="PRU26" s="81"/>
      <c r="PRY26" s="81"/>
      <c r="PSC26" s="81"/>
      <c r="PSG26" s="81"/>
      <c r="PSK26" s="81"/>
      <c r="PSO26" s="81"/>
      <c r="PSS26" s="81"/>
      <c r="PSW26" s="81"/>
      <c r="PTA26" s="81"/>
      <c r="PTE26" s="81"/>
      <c r="PTI26" s="81"/>
      <c r="PTM26" s="81"/>
      <c r="PTQ26" s="81"/>
      <c r="PTU26" s="81"/>
      <c r="PTY26" s="81"/>
      <c r="PUC26" s="81"/>
      <c r="PUG26" s="81"/>
      <c r="PUK26" s="81"/>
      <c r="PUO26" s="81"/>
      <c r="PUS26" s="81"/>
      <c r="PUW26" s="81"/>
      <c r="PVA26" s="81"/>
      <c r="PVE26" s="81"/>
      <c r="PVI26" s="81"/>
      <c r="PVM26" s="81"/>
      <c r="PVQ26" s="81"/>
      <c r="PVU26" s="81"/>
      <c r="PVY26" s="81"/>
      <c r="PWC26" s="81"/>
      <c r="PWG26" s="81"/>
      <c r="PWK26" s="81"/>
      <c r="PWO26" s="81"/>
      <c r="PWS26" s="81"/>
      <c r="PWW26" s="81"/>
      <c r="PXA26" s="81"/>
      <c r="PXE26" s="81"/>
      <c r="PXI26" s="81"/>
      <c r="PXM26" s="81"/>
      <c r="PXQ26" s="81"/>
      <c r="PXU26" s="81"/>
      <c r="PXY26" s="81"/>
      <c r="PYC26" s="81"/>
      <c r="PYG26" s="81"/>
      <c r="PYK26" s="81"/>
      <c r="PYO26" s="81"/>
      <c r="PYS26" s="81"/>
      <c r="PYW26" s="81"/>
      <c r="PZA26" s="81"/>
      <c r="PZE26" s="81"/>
      <c r="PZI26" s="81"/>
      <c r="PZM26" s="81"/>
      <c r="PZQ26" s="81"/>
      <c r="PZU26" s="81"/>
      <c r="PZY26" s="81"/>
      <c r="QAC26" s="81"/>
      <c r="QAG26" s="81"/>
      <c r="QAK26" s="81"/>
      <c r="QAO26" s="81"/>
      <c r="QAS26" s="81"/>
      <c r="QAW26" s="81"/>
      <c r="QBA26" s="81"/>
      <c r="QBE26" s="81"/>
      <c r="QBI26" s="81"/>
      <c r="QBM26" s="81"/>
      <c r="QBQ26" s="81"/>
      <c r="QBU26" s="81"/>
      <c r="QBY26" s="81"/>
      <c r="QCC26" s="81"/>
      <c r="QCG26" s="81"/>
      <c r="QCK26" s="81"/>
      <c r="QCO26" s="81"/>
      <c r="QCS26" s="81"/>
      <c r="QCW26" s="81"/>
      <c r="QDA26" s="81"/>
      <c r="QDE26" s="81"/>
      <c r="QDI26" s="81"/>
      <c r="QDM26" s="81"/>
      <c r="QDQ26" s="81"/>
      <c r="QDU26" s="81"/>
      <c r="QDY26" s="81"/>
      <c r="QEC26" s="81"/>
      <c r="QEG26" s="81"/>
      <c r="QEK26" s="81"/>
      <c r="QEO26" s="81"/>
      <c r="QES26" s="81"/>
      <c r="QEW26" s="81"/>
      <c r="QFA26" s="81"/>
      <c r="QFE26" s="81"/>
      <c r="QFI26" s="81"/>
      <c r="QFM26" s="81"/>
      <c r="QFQ26" s="81"/>
      <c r="QFU26" s="81"/>
      <c r="QFY26" s="81"/>
      <c r="QGC26" s="81"/>
      <c r="QGG26" s="81"/>
      <c r="QGK26" s="81"/>
      <c r="QGO26" s="81"/>
      <c r="QGS26" s="81"/>
      <c r="QGW26" s="81"/>
      <c r="QHA26" s="81"/>
      <c r="QHE26" s="81"/>
      <c r="QHI26" s="81"/>
      <c r="QHM26" s="81"/>
      <c r="QHQ26" s="81"/>
      <c r="QHU26" s="81"/>
      <c r="QHY26" s="81"/>
      <c r="QIC26" s="81"/>
      <c r="QIG26" s="81"/>
      <c r="QIK26" s="81"/>
      <c r="QIO26" s="81"/>
      <c r="QIS26" s="81"/>
      <c r="QIW26" s="81"/>
      <c r="QJA26" s="81"/>
      <c r="QJE26" s="81"/>
      <c r="QJI26" s="81"/>
      <c r="QJM26" s="81"/>
      <c r="QJQ26" s="81"/>
      <c r="QJU26" s="81"/>
      <c r="QJY26" s="81"/>
      <c r="QKC26" s="81"/>
      <c r="QKG26" s="81"/>
      <c r="QKK26" s="81"/>
      <c r="QKO26" s="81"/>
      <c r="QKS26" s="81"/>
      <c r="QKW26" s="81"/>
      <c r="QLA26" s="81"/>
      <c r="QLE26" s="81"/>
      <c r="QLI26" s="81"/>
      <c r="QLM26" s="81"/>
      <c r="QLQ26" s="81"/>
      <c r="QLU26" s="81"/>
      <c r="QLY26" s="81"/>
      <c r="QMC26" s="81"/>
      <c r="QMG26" s="81"/>
      <c r="QMK26" s="81"/>
      <c r="QMO26" s="81"/>
      <c r="QMS26" s="81"/>
      <c r="QMW26" s="81"/>
      <c r="QNA26" s="81"/>
      <c r="QNE26" s="81"/>
      <c r="QNI26" s="81"/>
      <c r="QNM26" s="81"/>
      <c r="QNQ26" s="81"/>
      <c r="QNU26" s="81"/>
      <c r="QNY26" s="81"/>
      <c r="QOC26" s="81"/>
      <c r="QOG26" s="81"/>
      <c r="QOK26" s="81"/>
      <c r="QOO26" s="81"/>
      <c r="QOS26" s="81"/>
      <c r="QOW26" s="81"/>
      <c r="QPA26" s="81"/>
      <c r="QPE26" s="81"/>
      <c r="QPI26" s="81"/>
      <c r="QPM26" s="81"/>
      <c r="QPQ26" s="81"/>
      <c r="QPU26" s="81"/>
      <c r="QPY26" s="81"/>
      <c r="QQC26" s="81"/>
      <c r="QQG26" s="81"/>
      <c r="QQK26" s="81"/>
      <c r="QQO26" s="81"/>
      <c r="QQS26" s="81"/>
      <c r="QQW26" s="81"/>
      <c r="QRA26" s="81"/>
      <c r="QRE26" s="81"/>
      <c r="QRI26" s="81"/>
      <c r="QRM26" s="81"/>
      <c r="QRQ26" s="81"/>
      <c r="QRU26" s="81"/>
      <c r="QRY26" s="81"/>
      <c r="QSC26" s="81"/>
      <c r="QSG26" s="81"/>
      <c r="QSK26" s="81"/>
      <c r="QSO26" s="81"/>
      <c r="QSS26" s="81"/>
      <c r="QSW26" s="81"/>
      <c r="QTA26" s="81"/>
      <c r="QTE26" s="81"/>
      <c r="QTI26" s="81"/>
      <c r="QTM26" s="81"/>
      <c r="QTQ26" s="81"/>
      <c r="QTU26" s="81"/>
      <c r="QTY26" s="81"/>
      <c r="QUC26" s="81"/>
      <c r="QUG26" s="81"/>
      <c r="QUK26" s="81"/>
      <c r="QUO26" s="81"/>
      <c r="QUS26" s="81"/>
      <c r="QUW26" s="81"/>
      <c r="QVA26" s="81"/>
      <c r="QVE26" s="81"/>
      <c r="QVI26" s="81"/>
      <c r="QVM26" s="81"/>
      <c r="QVQ26" s="81"/>
      <c r="QVU26" s="81"/>
      <c r="QVY26" s="81"/>
      <c r="QWC26" s="81"/>
      <c r="QWG26" s="81"/>
      <c r="QWK26" s="81"/>
      <c r="QWO26" s="81"/>
      <c r="QWS26" s="81"/>
      <c r="QWW26" s="81"/>
      <c r="QXA26" s="81"/>
      <c r="QXE26" s="81"/>
      <c r="QXI26" s="81"/>
      <c r="QXM26" s="81"/>
      <c r="QXQ26" s="81"/>
      <c r="QXU26" s="81"/>
      <c r="QXY26" s="81"/>
      <c r="QYC26" s="81"/>
      <c r="QYG26" s="81"/>
      <c r="QYK26" s="81"/>
      <c r="QYO26" s="81"/>
      <c r="QYS26" s="81"/>
      <c r="QYW26" s="81"/>
      <c r="QZA26" s="81"/>
      <c r="QZE26" s="81"/>
      <c r="QZI26" s="81"/>
      <c r="QZM26" s="81"/>
      <c r="QZQ26" s="81"/>
      <c r="QZU26" s="81"/>
      <c r="QZY26" s="81"/>
      <c r="RAC26" s="81"/>
      <c r="RAG26" s="81"/>
      <c r="RAK26" s="81"/>
      <c r="RAO26" s="81"/>
      <c r="RAS26" s="81"/>
      <c r="RAW26" s="81"/>
      <c r="RBA26" s="81"/>
      <c r="RBE26" s="81"/>
      <c r="RBI26" s="81"/>
      <c r="RBM26" s="81"/>
      <c r="RBQ26" s="81"/>
      <c r="RBU26" s="81"/>
      <c r="RBY26" s="81"/>
      <c r="RCC26" s="81"/>
      <c r="RCG26" s="81"/>
      <c r="RCK26" s="81"/>
      <c r="RCO26" s="81"/>
      <c r="RCS26" s="81"/>
      <c r="RCW26" s="81"/>
      <c r="RDA26" s="81"/>
      <c r="RDE26" s="81"/>
      <c r="RDI26" s="81"/>
      <c r="RDM26" s="81"/>
      <c r="RDQ26" s="81"/>
      <c r="RDU26" s="81"/>
      <c r="RDY26" s="81"/>
      <c r="REC26" s="81"/>
      <c r="REG26" s="81"/>
      <c r="REK26" s="81"/>
      <c r="REO26" s="81"/>
      <c r="RES26" s="81"/>
      <c r="REW26" s="81"/>
      <c r="RFA26" s="81"/>
      <c r="RFE26" s="81"/>
      <c r="RFI26" s="81"/>
      <c r="RFM26" s="81"/>
      <c r="RFQ26" s="81"/>
      <c r="RFU26" s="81"/>
      <c r="RFY26" s="81"/>
      <c r="RGC26" s="81"/>
      <c r="RGG26" s="81"/>
      <c r="RGK26" s="81"/>
      <c r="RGO26" s="81"/>
      <c r="RGS26" s="81"/>
      <c r="RGW26" s="81"/>
      <c r="RHA26" s="81"/>
      <c r="RHE26" s="81"/>
      <c r="RHI26" s="81"/>
      <c r="RHM26" s="81"/>
      <c r="RHQ26" s="81"/>
      <c r="RHU26" s="81"/>
      <c r="RHY26" s="81"/>
      <c r="RIC26" s="81"/>
      <c r="RIG26" s="81"/>
      <c r="RIK26" s="81"/>
      <c r="RIO26" s="81"/>
      <c r="RIS26" s="81"/>
      <c r="RIW26" s="81"/>
      <c r="RJA26" s="81"/>
      <c r="RJE26" s="81"/>
      <c r="RJI26" s="81"/>
      <c r="RJM26" s="81"/>
      <c r="RJQ26" s="81"/>
      <c r="RJU26" s="81"/>
      <c r="RJY26" s="81"/>
      <c r="RKC26" s="81"/>
      <c r="RKG26" s="81"/>
      <c r="RKK26" s="81"/>
      <c r="RKO26" s="81"/>
      <c r="RKS26" s="81"/>
      <c r="RKW26" s="81"/>
      <c r="RLA26" s="81"/>
      <c r="RLE26" s="81"/>
      <c r="RLI26" s="81"/>
      <c r="RLM26" s="81"/>
      <c r="RLQ26" s="81"/>
      <c r="RLU26" s="81"/>
      <c r="RLY26" s="81"/>
      <c r="RMC26" s="81"/>
      <c r="RMG26" s="81"/>
      <c r="RMK26" s="81"/>
      <c r="RMO26" s="81"/>
      <c r="RMS26" s="81"/>
      <c r="RMW26" s="81"/>
      <c r="RNA26" s="81"/>
      <c r="RNE26" s="81"/>
      <c r="RNI26" s="81"/>
      <c r="RNM26" s="81"/>
      <c r="RNQ26" s="81"/>
      <c r="RNU26" s="81"/>
      <c r="RNY26" s="81"/>
      <c r="ROC26" s="81"/>
      <c r="ROG26" s="81"/>
      <c r="ROK26" s="81"/>
      <c r="ROO26" s="81"/>
      <c r="ROS26" s="81"/>
      <c r="ROW26" s="81"/>
      <c r="RPA26" s="81"/>
      <c r="RPE26" s="81"/>
      <c r="RPI26" s="81"/>
      <c r="RPM26" s="81"/>
      <c r="RPQ26" s="81"/>
      <c r="RPU26" s="81"/>
      <c r="RPY26" s="81"/>
      <c r="RQC26" s="81"/>
      <c r="RQG26" s="81"/>
      <c r="RQK26" s="81"/>
      <c r="RQO26" s="81"/>
      <c r="RQS26" s="81"/>
      <c r="RQW26" s="81"/>
      <c r="RRA26" s="81"/>
      <c r="RRE26" s="81"/>
      <c r="RRI26" s="81"/>
      <c r="RRM26" s="81"/>
      <c r="RRQ26" s="81"/>
      <c r="RRU26" s="81"/>
      <c r="RRY26" s="81"/>
      <c r="RSC26" s="81"/>
      <c r="RSG26" s="81"/>
      <c r="RSK26" s="81"/>
      <c r="RSO26" s="81"/>
      <c r="RSS26" s="81"/>
      <c r="RSW26" s="81"/>
      <c r="RTA26" s="81"/>
      <c r="RTE26" s="81"/>
      <c r="RTI26" s="81"/>
      <c r="RTM26" s="81"/>
      <c r="RTQ26" s="81"/>
      <c r="RTU26" s="81"/>
      <c r="RTY26" s="81"/>
      <c r="RUC26" s="81"/>
      <c r="RUG26" s="81"/>
      <c r="RUK26" s="81"/>
      <c r="RUO26" s="81"/>
      <c r="RUS26" s="81"/>
      <c r="RUW26" s="81"/>
      <c r="RVA26" s="81"/>
      <c r="RVE26" s="81"/>
      <c r="RVI26" s="81"/>
      <c r="RVM26" s="81"/>
      <c r="RVQ26" s="81"/>
      <c r="RVU26" s="81"/>
      <c r="RVY26" s="81"/>
      <c r="RWC26" s="81"/>
      <c r="RWG26" s="81"/>
      <c r="RWK26" s="81"/>
      <c r="RWO26" s="81"/>
      <c r="RWS26" s="81"/>
      <c r="RWW26" s="81"/>
      <c r="RXA26" s="81"/>
      <c r="RXE26" s="81"/>
      <c r="RXI26" s="81"/>
      <c r="RXM26" s="81"/>
      <c r="RXQ26" s="81"/>
      <c r="RXU26" s="81"/>
      <c r="RXY26" s="81"/>
      <c r="RYC26" s="81"/>
      <c r="RYG26" s="81"/>
      <c r="RYK26" s="81"/>
      <c r="RYO26" s="81"/>
      <c r="RYS26" s="81"/>
      <c r="RYW26" s="81"/>
      <c r="RZA26" s="81"/>
      <c r="RZE26" s="81"/>
      <c r="RZI26" s="81"/>
      <c r="RZM26" s="81"/>
      <c r="RZQ26" s="81"/>
      <c r="RZU26" s="81"/>
      <c r="RZY26" s="81"/>
      <c r="SAC26" s="81"/>
      <c r="SAG26" s="81"/>
      <c r="SAK26" s="81"/>
      <c r="SAO26" s="81"/>
      <c r="SAS26" s="81"/>
      <c r="SAW26" s="81"/>
      <c r="SBA26" s="81"/>
      <c r="SBE26" s="81"/>
      <c r="SBI26" s="81"/>
      <c r="SBM26" s="81"/>
      <c r="SBQ26" s="81"/>
      <c r="SBU26" s="81"/>
      <c r="SBY26" s="81"/>
      <c r="SCC26" s="81"/>
      <c r="SCG26" s="81"/>
      <c r="SCK26" s="81"/>
      <c r="SCO26" s="81"/>
      <c r="SCS26" s="81"/>
      <c r="SCW26" s="81"/>
      <c r="SDA26" s="81"/>
      <c r="SDE26" s="81"/>
      <c r="SDI26" s="81"/>
      <c r="SDM26" s="81"/>
      <c r="SDQ26" s="81"/>
      <c r="SDU26" s="81"/>
      <c r="SDY26" s="81"/>
      <c r="SEC26" s="81"/>
      <c r="SEG26" s="81"/>
      <c r="SEK26" s="81"/>
      <c r="SEO26" s="81"/>
      <c r="SES26" s="81"/>
      <c r="SEW26" s="81"/>
      <c r="SFA26" s="81"/>
      <c r="SFE26" s="81"/>
      <c r="SFI26" s="81"/>
      <c r="SFM26" s="81"/>
      <c r="SFQ26" s="81"/>
      <c r="SFU26" s="81"/>
      <c r="SFY26" s="81"/>
      <c r="SGC26" s="81"/>
      <c r="SGG26" s="81"/>
      <c r="SGK26" s="81"/>
      <c r="SGO26" s="81"/>
      <c r="SGS26" s="81"/>
      <c r="SGW26" s="81"/>
      <c r="SHA26" s="81"/>
      <c r="SHE26" s="81"/>
      <c r="SHI26" s="81"/>
      <c r="SHM26" s="81"/>
      <c r="SHQ26" s="81"/>
      <c r="SHU26" s="81"/>
      <c r="SHY26" s="81"/>
      <c r="SIC26" s="81"/>
      <c r="SIG26" s="81"/>
      <c r="SIK26" s="81"/>
      <c r="SIO26" s="81"/>
      <c r="SIS26" s="81"/>
      <c r="SIW26" s="81"/>
      <c r="SJA26" s="81"/>
      <c r="SJE26" s="81"/>
      <c r="SJI26" s="81"/>
      <c r="SJM26" s="81"/>
      <c r="SJQ26" s="81"/>
      <c r="SJU26" s="81"/>
      <c r="SJY26" s="81"/>
      <c r="SKC26" s="81"/>
      <c r="SKG26" s="81"/>
      <c r="SKK26" s="81"/>
      <c r="SKO26" s="81"/>
      <c r="SKS26" s="81"/>
      <c r="SKW26" s="81"/>
      <c r="SLA26" s="81"/>
      <c r="SLE26" s="81"/>
      <c r="SLI26" s="81"/>
      <c r="SLM26" s="81"/>
      <c r="SLQ26" s="81"/>
      <c r="SLU26" s="81"/>
      <c r="SLY26" s="81"/>
      <c r="SMC26" s="81"/>
      <c r="SMG26" s="81"/>
      <c r="SMK26" s="81"/>
      <c r="SMO26" s="81"/>
      <c r="SMS26" s="81"/>
      <c r="SMW26" s="81"/>
      <c r="SNA26" s="81"/>
      <c r="SNE26" s="81"/>
      <c r="SNI26" s="81"/>
      <c r="SNM26" s="81"/>
      <c r="SNQ26" s="81"/>
      <c r="SNU26" s="81"/>
      <c r="SNY26" s="81"/>
      <c r="SOC26" s="81"/>
      <c r="SOG26" s="81"/>
      <c r="SOK26" s="81"/>
      <c r="SOO26" s="81"/>
      <c r="SOS26" s="81"/>
      <c r="SOW26" s="81"/>
      <c r="SPA26" s="81"/>
      <c r="SPE26" s="81"/>
      <c r="SPI26" s="81"/>
      <c r="SPM26" s="81"/>
      <c r="SPQ26" s="81"/>
      <c r="SPU26" s="81"/>
      <c r="SPY26" s="81"/>
      <c r="SQC26" s="81"/>
      <c r="SQG26" s="81"/>
      <c r="SQK26" s="81"/>
      <c r="SQO26" s="81"/>
      <c r="SQS26" s="81"/>
      <c r="SQW26" s="81"/>
      <c r="SRA26" s="81"/>
      <c r="SRE26" s="81"/>
      <c r="SRI26" s="81"/>
      <c r="SRM26" s="81"/>
      <c r="SRQ26" s="81"/>
      <c r="SRU26" s="81"/>
      <c r="SRY26" s="81"/>
      <c r="SSC26" s="81"/>
      <c r="SSG26" s="81"/>
      <c r="SSK26" s="81"/>
      <c r="SSO26" s="81"/>
      <c r="SSS26" s="81"/>
      <c r="SSW26" s="81"/>
      <c r="STA26" s="81"/>
      <c r="STE26" s="81"/>
      <c r="STI26" s="81"/>
      <c r="STM26" s="81"/>
      <c r="STQ26" s="81"/>
      <c r="STU26" s="81"/>
      <c r="STY26" s="81"/>
      <c r="SUC26" s="81"/>
      <c r="SUG26" s="81"/>
      <c r="SUK26" s="81"/>
      <c r="SUO26" s="81"/>
      <c r="SUS26" s="81"/>
      <c r="SUW26" s="81"/>
      <c r="SVA26" s="81"/>
      <c r="SVE26" s="81"/>
      <c r="SVI26" s="81"/>
      <c r="SVM26" s="81"/>
      <c r="SVQ26" s="81"/>
      <c r="SVU26" s="81"/>
      <c r="SVY26" s="81"/>
      <c r="SWC26" s="81"/>
      <c r="SWG26" s="81"/>
      <c r="SWK26" s="81"/>
      <c r="SWO26" s="81"/>
      <c r="SWS26" s="81"/>
      <c r="SWW26" s="81"/>
      <c r="SXA26" s="81"/>
      <c r="SXE26" s="81"/>
      <c r="SXI26" s="81"/>
      <c r="SXM26" s="81"/>
      <c r="SXQ26" s="81"/>
      <c r="SXU26" s="81"/>
      <c r="SXY26" s="81"/>
      <c r="SYC26" s="81"/>
      <c r="SYG26" s="81"/>
      <c r="SYK26" s="81"/>
      <c r="SYO26" s="81"/>
      <c r="SYS26" s="81"/>
      <c r="SYW26" s="81"/>
      <c r="SZA26" s="81"/>
      <c r="SZE26" s="81"/>
      <c r="SZI26" s="81"/>
      <c r="SZM26" s="81"/>
      <c r="SZQ26" s="81"/>
      <c r="SZU26" s="81"/>
      <c r="SZY26" s="81"/>
      <c r="TAC26" s="81"/>
      <c r="TAG26" s="81"/>
      <c r="TAK26" s="81"/>
      <c r="TAO26" s="81"/>
      <c r="TAS26" s="81"/>
      <c r="TAW26" s="81"/>
      <c r="TBA26" s="81"/>
      <c r="TBE26" s="81"/>
      <c r="TBI26" s="81"/>
      <c r="TBM26" s="81"/>
      <c r="TBQ26" s="81"/>
      <c r="TBU26" s="81"/>
      <c r="TBY26" s="81"/>
      <c r="TCC26" s="81"/>
      <c r="TCG26" s="81"/>
      <c r="TCK26" s="81"/>
      <c r="TCO26" s="81"/>
      <c r="TCS26" s="81"/>
      <c r="TCW26" s="81"/>
      <c r="TDA26" s="81"/>
      <c r="TDE26" s="81"/>
      <c r="TDI26" s="81"/>
      <c r="TDM26" s="81"/>
      <c r="TDQ26" s="81"/>
      <c r="TDU26" s="81"/>
      <c r="TDY26" s="81"/>
      <c r="TEC26" s="81"/>
      <c r="TEG26" s="81"/>
      <c r="TEK26" s="81"/>
      <c r="TEO26" s="81"/>
      <c r="TES26" s="81"/>
      <c r="TEW26" s="81"/>
      <c r="TFA26" s="81"/>
      <c r="TFE26" s="81"/>
      <c r="TFI26" s="81"/>
      <c r="TFM26" s="81"/>
      <c r="TFQ26" s="81"/>
      <c r="TFU26" s="81"/>
      <c r="TFY26" s="81"/>
      <c r="TGC26" s="81"/>
      <c r="TGG26" s="81"/>
      <c r="TGK26" s="81"/>
      <c r="TGO26" s="81"/>
      <c r="TGS26" s="81"/>
      <c r="TGW26" s="81"/>
      <c r="THA26" s="81"/>
      <c r="THE26" s="81"/>
      <c r="THI26" s="81"/>
      <c r="THM26" s="81"/>
      <c r="THQ26" s="81"/>
      <c r="THU26" s="81"/>
      <c r="THY26" s="81"/>
      <c r="TIC26" s="81"/>
      <c r="TIG26" s="81"/>
      <c r="TIK26" s="81"/>
      <c r="TIO26" s="81"/>
      <c r="TIS26" s="81"/>
      <c r="TIW26" s="81"/>
      <c r="TJA26" s="81"/>
      <c r="TJE26" s="81"/>
      <c r="TJI26" s="81"/>
      <c r="TJM26" s="81"/>
      <c r="TJQ26" s="81"/>
      <c r="TJU26" s="81"/>
      <c r="TJY26" s="81"/>
      <c r="TKC26" s="81"/>
      <c r="TKG26" s="81"/>
      <c r="TKK26" s="81"/>
      <c r="TKO26" s="81"/>
      <c r="TKS26" s="81"/>
      <c r="TKW26" s="81"/>
      <c r="TLA26" s="81"/>
      <c r="TLE26" s="81"/>
      <c r="TLI26" s="81"/>
      <c r="TLM26" s="81"/>
      <c r="TLQ26" s="81"/>
      <c r="TLU26" s="81"/>
      <c r="TLY26" s="81"/>
      <c r="TMC26" s="81"/>
      <c r="TMG26" s="81"/>
      <c r="TMK26" s="81"/>
      <c r="TMO26" s="81"/>
      <c r="TMS26" s="81"/>
      <c r="TMW26" s="81"/>
      <c r="TNA26" s="81"/>
      <c r="TNE26" s="81"/>
      <c r="TNI26" s="81"/>
      <c r="TNM26" s="81"/>
      <c r="TNQ26" s="81"/>
      <c r="TNU26" s="81"/>
      <c r="TNY26" s="81"/>
      <c r="TOC26" s="81"/>
      <c r="TOG26" s="81"/>
      <c r="TOK26" s="81"/>
      <c r="TOO26" s="81"/>
      <c r="TOS26" s="81"/>
      <c r="TOW26" s="81"/>
      <c r="TPA26" s="81"/>
      <c r="TPE26" s="81"/>
      <c r="TPI26" s="81"/>
      <c r="TPM26" s="81"/>
      <c r="TPQ26" s="81"/>
      <c r="TPU26" s="81"/>
      <c r="TPY26" s="81"/>
      <c r="TQC26" s="81"/>
      <c r="TQG26" s="81"/>
      <c r="TQK26" s="81"/>
      <c r="TQO26" s="81"/>
      <c r="TQS26" s="81"/>
      <c r="TQW26" s="81"/>
      <c r="TRA26" s="81"/>
      <c r="TRE26" s="81"/>
      <c r="TRI26" s="81"/>
      <c r="TRM26" s="81"/>
      <c r="TRQ26" s="81"/>
      <c r="TRU26" s="81"/>
      <c r="TRY26" s="81"/>
      <c r="TSC26" s="81"/>
      <c r="TSG26" s="81"/>
      <c r="TSK26" s="81"/>
      <c r="TSO26" s="81"/>
      <c r="TSS26" s="81"/>
      <c r="TSW26" s="81"/>
      <c r="TTA26" s="81"/>
      <c r="TTE26" s="81"/>
      <c r="TTI26" s="81"/>
      <c r="TTM26" s="81"/>
      <c r="TTQ26" s="81"/>
      <c r="TTU26" s="81"/>
      <c r="TTY26" s="81"/>
      <c r="TUC26" s="81"/>
      <c r="TUG26" s="81"/>
      <c r="TUK26" s="81"/>
      <c r="TUO26" s="81"/>
      <c r="TUS26" s="81"/>
      <c r="TUW26" s="81"/>
      <c r="TVA26" s="81"/>
      <c r="TVE26" s="81"/>
      <c r="TVI26" s="81"/>
      <c r="TVM26" s="81"/>
      <c r="TVQ26" s="81"/>
      <c r="TVU26" s="81"/>
      <c r="TVY26" s="81"/>
      <c r="TWC26" s="81"/>
      <c r="TWG26" s="81"/>
      <c r="TWK26" s="81"/>
      <c r="TWO26" s="81"/>
      <c r="TWS26" s="81"/>
      <c r="TWW26" s="81"/>
      <c r="TXA26" s="81"/>
      <c r="TXE26" s="81"/>
      <c r="TXI26" s="81"/>
      <c r="TXM26" s="81"/>
      <c r="TXQ26" s="81"/>
      <c r="TXU26" s="81"/>
      <c r="TXY26" s="81"/>
      <c r="TYC26" s="81"/>
      <c r="TYG26" s="81"/>
      <c r="TYK26" s="81"/>
      <c r="TYO26" s="81"/>
      <c r="TYS26" s="81"/>
      <c r="TYW26" s="81"/>
      <c r="TZA26" s="81"/>
      <c r="TZE26" s="81"/>
      <c r="TZI26" s="81"/>
      <c r="TZM26" s="81"/>
      <c r="TZQ26" s="81"/>
      <c r="TZU26" s="81"/>
      <c r="TZY26" s="81"/>
      <c r="UAC26" s="81"/>
      <c r="UAG26" s="81"/>
      <c r="UAK26" s="81"/>
      <c r="UAO26" s="81"/>
      <c r="UAS26" s="81"/>
      <c r="UAW26" s="81"/>
      <c r="UBA26" s="81"/>
      <c r="UBE26" s="81"/>
      <c r="UBI26" s="81"/>
      <c r="UBM26" s="81"/>
      <c r="UBQ26" s="81"/>
      <c r="UBU26" s="81"/>
      <c r="UBY26" s="81"/>
      <c r="UCC26" s="81"/>
      <c r="UCG26" s="81"/>
      <c r="UCK26" s="81"/>
      <c r="UCO26" s="81"/>
      <c r="UCS26" s="81"/>
      <c r="UCW26" s="81"/>
      <c r="UDA26" s="81"/>
      <c r="UDE26" s="81"/>
      <c r="UDI26" s="81"/>
      <c r="UDM26" s="81"/>
      <c r="UDQ26" s="81"/>
      <c r="UDU26" s="81"/>
      <c r="UDY26" s="81"/>
      <c r="UEC26" s="81"/>
      <c r="UEG26" s="81"/>
      <c r="UEK26" s="81"/>
      <c r="UEO26" s="81"/>
      <c r="UES26" s="81"/>
      <c r="UEW26" s="81"/>
      <c r="UFA26" s="81"/>
      <c r="UFE26" s="81"/>
      <c r="UFI26" s="81"/>
      <c r="UFM26" s="81"/>
      <c r="UFQ26" s="81"/>
      <c r="UFU26" s="81"/>
      <c r="UFY26" s="81"/>
      <c r="UGC26" s="81"/>
      <c r="UGG26" s="81"/>
      <c r="UGK26" s="81"/>
      <c r="UGO26" s="81"/>
      <c r="UGS26" s="81"/>
      <c r="UGW26" s="81"/>
      <c r="UHA26" s="81"/>
      <c r="UHE26" s="81"/>
      <c r="UHI26" s="81"/>
      <c r="UHM26" s="81"/>
      <c r="UHQ26" s="81"/>
      <c r="UHU26" s="81"/>
      <c r="UHY26" s="81"/>
      <c r="UIC26" s="81"/>
      <c r="UIG26" s="81"/>
      <c r="UIK26" s="81"/>
      <c r="UIO26" s="81"/>
      <c r="UIS26" s="81"/>
      <c r="UIW26" s="81"/>
      <c r="UJA26" s="81"/>
      <c r="UJE26" s="81"/>
      <c r="UJI26" s="81"/>
      <c r="UJM26" s="81"/>
      <c r="UJQ26" s="81"/>
      <c r="UJU26" s="81"/>
      <c r="UJY26" s="81"/>
      <c r="UKC26" s="81"/>
      <c r="UKG26" s="81"/>
      <c r="UKK26" s="81"/>
      <c r="UKO26" s="81"/>
      <c r="UKS26" s="81"/>
      <c r="UKW26" s="81"/>
      <c r="ULA26" s="81"/>
      <c r="ULE26" s="81"/>
      <c r="ULI26" s="81"/>
      <c r="ULM26" s="81"/>
      <c r="ULQ26" s="81"/>
      <c r="ULU26" s="81"/>
      <c r="ULY26" s="81"/>
      <c r="UMC26" s="81"/>
      <c r="UMG26" s="81"/>
      <c r="UMK26" s="81"/>
      <c r="UMO26" s="81"/>
      <c r="UMS26" s="81"/>
      <c r="UMW26" s="81"/>
      <c r="UNA26" s="81"/>
      <c r="UNE26" s="81"/>
      <c r="UNI26" s="81"/>
      <c r="UNM26" s="81"/>
      <c r="UNQ26" s="81"/>
      <c r="UNU26" s="81"/>
      <c r="UNY26" s="81"/>
      <c r="UOC26" s="81"/>
      <c r="UOG26" s="81"/>
      <c r="UOK26" s="81"/>
      <c r="UOO26" s="81"/>
      <c r="UOS26" s="81"/>
      <c r="UOW26" s="81"/>
      <c r="UPA26" s="81"/>
      <c r="UPE26" s="81"/>
      <c r="UPI26" s="81"/>
      <c r="UPM26" s="81"/>
      <c r="UPQ26" s="81"/>
      <c r="UPU26" s="81"/>
      <c r="UPY26" s="81"/>
      <c r="UQC26" s="81"/>
      <c r="UQG26" s="81"/>
      <c r="UQK26" s="81"/>
      <c r="UQO26" s="81"/>
      <c r="UQS26" s="81"/>
      <c r="UQW26" s="81"/>
      <c r="URA26" s="81"/>
      <c r="URE26" s="81"/>
      <c r="URI26" s="81"/>
      <c r="URM26" s="81"/>
      <c r="URQ26" s="81"/>
      <c r="URU26" s="81"/>
      <c r="URY26" s="81"/>
      <c r="USC26" s="81"/>
      <c r="USG26" s="81"/>
      <c r="USK26" s="81"/>
      <c r="USO26" s="81"/>
      <c r="USS26" s="81"/>
      <c r="USW26" s="81"/>
      <c r="UTA26" s="81"/>
      <c r="UTE26" s="81"/>
      <c r="UTI26" s="81"/>
      <c r="UTM26" s="81"/>
      <c r="UTQ26" s="81"/>
      <c r="UTU26" s="81"/>
      <c r="UTY26" s="81"/>
      <c r="UUC26" s="81"/>
      <c r="UUG26" s="81"/>
      <c r="UUK26" s="81"/>
      <c r="UUO26" s="81"/>
      <c r="UUS26" s="81"/>
      <c r="UUW26" s="81"/>
      <c r="UVA26" s="81"/>
      <c r="UVE26" s="81"/>
      <c r="UVI26" s="81"/>
      <c r="UVM26" s="81"/>
      <c r="UVQ26" s="81"/>
      <c r="UVU26" s="81"/>
      <c r="UVY26" s="81"/>
      <c r="UWC26" s="81"/>
      <c r="UWG26" s="81"/>
      <c r="UWK26" s="81"/>
      <c r="UWO26" s="81"/>
      <c r="UWS26" s="81"/>
      <c r="UWW26" s="81"/>
      <c r="UXA26" s="81"/>
      <c r="UXE26" s="81"/>
      <c r="UXI26" s="81"/>
      <c r="UXM26" s="81"/>
      <c r="UXQ26" s="81"/>
      <c r="UXU26" s="81"/>
      <c r="UXY26" s="81"/>
      <c r="UYC26" s="81"/>
      <c r="UYG26" s="81"/>
      <c r="UYK26" s="81"/>
      <c r="UYO26" s="81"/>
      <c r="UYS26" s="81"/>
      <c r="UYW26" s="81"/>
      <c r="UZA26" s="81"/>
      <c r="UZE26" s="81"/>
      <c r="UZI26" s="81"/>
      <c r="UZM26" s="81"/>
      <c r="UZQ26" s="81"/>
      <c r="UZU26" s="81"/>
      <c r="UZY26" s="81"/>
      <c r="VAC26" s="81"/>
      <c r="VAG26" s="81"/>
      <c r="VAK26" s="81"/>
      <c r="VAO26" s="81"/>
      <c r="VAS26" s="81"/>
      <c r="VAW26" s="81"/>
      <c r="VBA26" s="81"/>
      <c r="VBE26" s="81"/>
      <c r="VBI26" s="81"/>
      <c r="VBM26" s="81"/>
      <c r="VBQ26" s="81"/>
      <c r="VBU26" s="81"/>
      <c r="VBY26" s="81"/>
      <c r="VCC26" s="81"/>
      <c r="VCG26" s="81"/>
      <c r="VCK26" s="81"/>
      <c r="VCO26" s="81"/>
      <c r="VCS26" s="81"/>
      <c r="VCW26" s="81"/>
      <c r="VDA26" s="81"/>
      <c r="VDE26" s="81"/>
      <c r="VDI26" s="81"/>
      <c r="VDM26" s="81"/>
      <c r="VDQ26" s="81"/>
      <c r="VDU26" s="81"/>
      <c r="VDY26" s="81"/>
      <c r="VEC26" s="81"/>
      <c r="VEG26" s="81"/>
      <c r="VEK26" s="81"/>
      <c r="VEO26" s="81"/>
      <c r="VES26" s="81"/>
      <c r="VEW26" s="81"/>
      <c r="VFA26" s="81"/>
      <c r="VFE26" s="81"/>
      <c r="VFI26" s="81"/>
      <c r="VFM26" s="81"/>
      <c r="VFQ26" s="81"/>
      <c r="VFU26" s="81"/>
      <c r="VFY26" s="81"/>
      <c r="VGC26" s="81"/>
      <c r="VGG26" s="81"/>
      <c r="VGK26" s="81"/>
      <c r="VGO26" s="81"/>
      <c r="VGS26" s="81"/>
      <c r="VGW26" s="81"/>
      <c r="VHA26" s="81"/>
      <c r="VHE26" s="81"/>
      <c r="VHI26" s="81"/>
      <c r="VHM26" s="81"/>
      <c r="VHQ26" s="81"/>
      <c r="VHU26" s="81"/>
      <c r="VHY26" s="81"/>
      <c r="VIC26" s="81"/>
      <c r="VIG26" s="81"/>
      <c r="VIK26" s="81"/>
      <c r="VIO26" s="81"/>
      <c r="VIS26" s="81"/>
      <c r="VIW26" s="81"/>
      <c r="VJA26" s="81"/>
      <c r="VJE26" s="81"/>
      <c r="VJI26" s="81"/>
      <c r="VJM26" s="81"/>
      <c r="VJQ26" s="81"/>
      <c r="VJU26" s="81"/>
      <c r="VJY26" s="81"/>
      <c r="VKC26" s="81"/>
      <c r="VKG26" s="81"/>
      <c r="VKK26" s="81"/>
      <c r="VKO26" s="81"/>
      <c r="VKS26" s="81"/>
      <c r="VKW26" s="81"/>
      <c r="VLA26" s="81"/>
      <c r="VLE26" s="81"/>
      <c r="VLI26" s="81"/>
      <c r="VLM26" s="81"/>
      <c r="VLQ26" s="81"/>
      <c r="VLU26" s="81"/>
      <c r="VLY26" s="81"/>
      <c r="VMC26" s="81"/>
      <c r="VMG26" s="81"/>
      <c r="VMK26" s="81"/>
      <c r="VMO26" s="81"/>
      <c r="VMS26" s="81"/>
      <c r="VMW26" s="81"/>
      <c r="VNA26" s="81"/>
      <c r="VNE26" s="81"/>
      <c r="VNI26" s="81"/>
      <c r="VNM26" s="81"/>
      <c r="VNQ26" s="81"/>
      <c r="VNU26" s="81"/>
      <c r="VNY26" s="81"/>
      <c r="VOC26" s="81"/>
      <c r="VOG26" s="81"/>
      <c r="VOK26" s="81"/>
      <c r="VOO26" s="81"/>
      <c r="VOS26" s="81"/>
      <c r="VOW26" s="81"/>
      <c r="VPA26" s="81"/>
      <c r="VPE26" s="81"/>
      <c r="VPI26" s="81"/>
      <c r="VPM26" s="81"/>
      <c r="VPQ26" s="81"/>
      <c r="VPU26" s="81"/>
      <c r="VPY26" s="81"/>
      <c r="VQC26" s="81"/>
      <c r="VQG26" s="81"/>
      <c r="VQK26" s="81"/>
      <c r="VQO26" s="81"/>
      <c r="VQS26" s="81"/>
      <c r="VQW26" s="81"/>
      <c r="VRA26" s="81"/>
      <c r="VRE26" s="81"/>
      <c r="VRI26" s="81"/>
      <c r="VRM26" s="81"/>
      <c r="VRQ26" s="81"/>
      <c r="VRU26" s="81"/>
      <c r="VRY26" s="81"/>
      <c r="VSC26" s="81"/>
      <c r="VSG26" s="81"/>
      <c r="VSK26" s="81"/>
      <c r="VSO26" s="81"/>
      <c r="VSS26" s="81"/>
      <c r="VSW26" s="81"/>
      <c r="VTA26" s="81"/>
      <c r="VTE26" s="81"/>
      <c r="VTI26" s="81"/>
      <c r="VTM26" s="81"/>
      <c r="VTQ26" s="81"/>
      <c r="VTU26" s="81"/>
      <c r="VTY26" s="81"/>
      <c r="VUC26" s="81"/>
      <c r="VUG26" s="81"/>
      <c r="VUK26" s="81"/>
      <c r="VUO26" s="81"/>
      <c r="VUS26" s="81"/>
      <c r="VUW26" s="81"/>
      <c r="VVA26" s="81"/>
      <c r="VVE26" s="81"/>
      <c r="VVI26" s="81"/>
      <c r="VVM26" s="81"/>
      <c r="VVQ26" s="81"/>
      <c r="VVU26" s="81"/>
      <c r="VVY26" s="81"/>
      <c r="VWC26" s="81"/>
      <c r="VWG26" s="81"/>
      <c r="VWK26" s="81"/>
      <c r="VWO26" s="81"/>
      <c r="VWS26" s="81"/>
      <c r="VWW26" s="81"/>
      <c r="VXA26" s="81"/>
      <c r="VXE26" s="81"/>
      <c r="VXI26" s="81"/>
      <c r="VXM26" s="81"/>
      <c r="VXQ26" s="81"/>
      <c r="VXU26" s="81"/>
      <c r="VXY26" s="81"/>
      <c r="VYC26" s="81"/>
      <c r="VYG26" s="81"/>
      <c r="VYK26" s="81"/>
      <c r="VYO26" s="81"/>
      <c r="VYS26" s="81"/>
      <c r="VYW26" s="81"/>
      <c r="VZA26" s="81"/>
      <c r="VZE26" s="81"/>
      <c r="VZI26" s="81"/>
      <c r="VZM26" s="81"/>
      <c r="VZQ26" s="81"/>
      <c r="VZU26" s="81"/>
      <c r="VZY26" s="81"/>
      <c r="WAC26" s="81"/>
      <c r="WAG26" s="81"/>
      <c r="WAK26" s="81"/>
      <c r="WAO26" s="81"/>
      <c r="WAS26" s="81"/>
      <c r="WAW26" s="81"/>
      <c r="WBA26" s="81"/>
      <c r="WBE26" s="81"/>
      <c r="WBI26" s="81"/>
      <c r="WBM26" s="81"/>
      <c r="WBQ26" s="81"/>
      <c r="WBU26" s="81"/>
      <c r="WBY26" s="81"/>
      <c r="WCC26" s="81"/>
      <c r="WCG26" s="81"/>
      <c r="WCK26" s="81"/>
      <c r="WCO26" s="81"/>
      <c r="WCS26" s="81"/>
      <c r="WCW26" s="81"/>
      <c r="WDA26" s="81"/>
      <c r="WDE26" s="81"/>
      <c r="WDI26" s="81"/>
      <c r="WDM26" s="81"/>
      <c r="WDQ26" s="81"/>
      <c r="WDU26" s="81"/>
      <c r="WDY26" s="81"/>
      <c r="WEC26" s="81"/>
      <c r="WEG26" s="81"/>
      <c r="WEK26" s="81"/>
      <c r="WEO26" s="81"/>
      <c r="WES26" s="81"/>
      <c r="WEW26" s="81"/>
      <c r="WFA26" s="81"/>
      <c r="WFE26" s="81"/>
      <c r="WFI26" s="81"/>
      <c r="WFM26" s="81"/>
      <c r="WFQ26" s="81"/>
      <c r="WFU26" s="81"/>
      <c r="WFY26" s="81"/>
      <c r="WGC26" s="81"/>
      <c r="WGG26" s="81"/>
      <c r="WGK26" s="81"/>
      <c r="WGO26" s="81"/>
      <c r="WGS26" s="81"/>
      <c r="WGW26" s="81"/>
      <c r="WHA26" s="81"/>
      <c r="WHE26" s="81"/>
      <c r="WHI26" s="81"/>
      <c r="WHM26" s="81"/>
      <c r="WHQ26" s="81"/>
      <c r="WHU26" s="81"/>
      <c r="WHY26" s="81"/>
      <c r="WIC26" s="81"/>
      <c r="WIG26" s="81"/>
      <c r="WIK26" s="81"/>
      <c r="WIO26" s="81"/>
      <c r="WIS26" s="81"/>
      <c r="WIW26" s="81"/>
      <c r="WJA26" s="81"/>
      <c r="WJE26" s="81"/>
      <c r="WJI26" s="81"/>
      <c r="WJM26" s="81"/>
      <c r="WJQ26" s="81"/>
      <c r="WJU26" s="81"/>
      <c r="WJY26" s="81"/>
      <c r="WKC26" s="81"/>
      <c r="WKG26" s="81"/>
      <c r="WKK26" s="81"/>
      <c r="WKO26" s="81"/>
      <c r="WKS26" s="81"/>
      <c r="WKW26" s="81"/>
      <c r="WLA26" s="81"/>
      <c r="WLE26" s="81"/>
      <c r="WLI26" s="81"/>
      <c r="WLM26" s="81"/>
      <c r="WLQ26" s="81"/>
      <c r="WLU26" s="81"/>
      <c r="WLY26" s="81"/>
      <c r="WMC26" s="81"/>
      <c r="WMG26" s="81"/>
      <c r="WMK26" s="81"/>
      <c r="WMO26" s="81"/>
      <c r="WMS26" s="81"/>
      <c r="WMW26" s="81"/>
      <c r="WNA26" s="81"/>
      <c r="WNE26" s="81"/>
      <c r="WNI26" s="81"/>
      <c r="WNM26" s="81"/>
      <c r="WNQ26" s="81"/>
      <c r="WNU26" s="81"/>
      <c r="WNY26" s="81"/>
      <c r="WOC26" s="81"/>
      <c r="WOG26" s="81"/>
      <c r="WOK26" s="81"/>
      <c r="WOO26" s="81"/>
      <c r="WOS26" s="81"/>
      <c r="WOW26" s="81"/>
      <c r="WPA26" s="81"/>
      <c r="WPE26" s="81"/>
      <c r="WPI26" s="81"/>
      <c r="WPM26" s="81"/>
      <c r="WPQ26" s="81"/>
      <c r="WPU26" s="81"/>
      <c r="WPY26" s="81"/>
      <c r="WQC26" s="81"/>
      <c r="WQG26" s="81"/>
      <c r="WQK26" s="81"/>
      <c r="WQO26" s="81"/>
      <c r="WQS26" s="81"/>
      <c r="WQW26" s="81"/>
      <c r="WRA26" s="81"/>
      <c r="WRE26" s="81"/>
      <c r="WRI26" s="81"/>
      <c r="WRM26" s="81"/>
      <c r="WRQ26" s="81"/>
      <c r="WRU26" s="81"/>
      <c r="WRY26" s="81"/>
      <c r="WSC26" s="81"/>
      <c r="WSG26" s="81"/>
      <c r="WSK26" s="81"/>
      <c r="WSO26" s="81"/>
      <c r="WSS26" s="81"/>
      <c r="WSW26" s="81"/>
      <c r="WTA26" s="81"/>
      <c r="WTE26" s="81"/>
      <c r="WTI26" s="81"/>
      <c r="WTM26" s="81"/>
      <c r="WTQ26" s="81"/>
      <c r="WTU26" s="81"/>
      <c r="WTY26" s="81"/>
      <c r="WUC26" s="81"/>
      <c r="WUG26" s="81"/>
      <c r="WUK26" s="81"/>
      <c r="WUO26" s="81"/>
      <c r="WUS26" s="81"/>
      <c r="WUW26" s="81"/>
      <c r="WVA26" s="81"/>
      <c r="WVE26" s="81"/>
      <c r="WVI26" s="81"/>
      <c r="WVM26" s="81"/>
      <c r="WVQ26" s="81"/>
      <c r="WVU26" s="81"/>
      <c r="WVY26" s="81"/>
      <c r="WWC26" s="81"/>
      <c r="WWG26" s="81"/>
      <c r="WWK26" s="81"/>
      <c r="WWO26" s="81"/>
      <c r="WWS26" s="81"/>
      <c r="WWW26" s="81"/>
      <c r="WXA26" s="81"/>
      <c r="WXE26" s="81"/>
      <c r="WXI26" s="81"/>
      <c r="WXM26" s="81"/>
      <c r="WXQ26" s="81"/>
      <c r="WXU26" s="81"/>
      <c r="WXY26" s="81"/>
      <c r="WYC26" s="81"/>
      <c r="WYG26" s="81"/>
      <c r="WYK26" s="81"/>
      <c r="WYO26" s="81"/>
      <c r="WYS26" s="81"/>
      <c r="WYW26" s="81"/>
      <c r="WZA26" s="81"/>
      <c r="WZE26" s="81"/>
      <c r="WZI26" s="81"/>
      <c r="WZM26" s="81"/>
      <c r="WZQ26" s="81"/>
      <c r="WZU26" s="81"/>
      <c r="WZY26" s="81"/>
      <c r="XAC26" s="81"/>
      <c r="XAG26" s="81"/>
      <c r="XAK26" s="81"/>
      <c r="XAO26" s="81"/>
      <c r="XAS26" s="81"/>
      <c r="XAW26" s="81"/>
      <c r="XBA26" s="81"/>
      <c r="XBE26" s="81"/>
      <c r="XBI26" s="81"/>
      <c r="XBM26" s="81"/>
      <c r="XBQ26" s="81"/>
      <c r="XBU26" s="81"/>
      <c r="XBY26" s="81"/>
      <c r="XCC26" s="81"/>
      <c r="XCG26" s="81"/>
      <c r="XCK26" s="81"/>
      <c r="XCO26" s="81"/>
      <c r="XCS26" s="81"/>
      <c r="XCW26" s="81"/>
      <c r="XDA26" s="81"/>
      <c r="XDE26" s="81"/>
      <c r="XDI26" s="81"/>
      <c r="XDM26" s="81"/>
      <c r="XDQ26" s="81"/>
      <c r="XDU26" s="81"/>
      <c r="XDY26" s="81"/>
      <c r="XEC26" s="81"/>
      <c r="XEG26" s="81"/>
      <c r="XEK26" s="81"/>
      <c r="XEO26" s="81"/>
      <c r="XES26" s="81"/>
      <c r="XEW26" s="81"/>
      <c r="XFA26" s="81"/>
    </row>
    <row r="27" spans="1:1021 1025:2045 2049:3069 3073:4093 4097:5117 5121:6141 6145:7165 7169:8189 8193:9213 9217:10237 10241:11261 11265:12285 12289:13309 13313:14333 14337:15357 15361:16381" s="79" customFormat="1" outlineLevel="1">
      <c r="A27" s="78"/>
      <c r="C27" s="63" t="s">
        <v>127</v>
      </c>
      <c r="D27" s="4" t="s">
        <v>0</v>
      </c>
      <c r="E27" s="48">
        <v>2126.3629999999998</v>
      </c>
      <c r="F27" s="48">
        <v>2501.067</v>
      </c>
      <c r="G27" s="48">
        <v>1658.807</v>
      </c>
      <c r="H27" s="48">
        <v>2821.4969999999998</v>
      </c>
      <c r="I27" s="48">
        <v>3648.127</v>
      </c>
      <c r="J27" s="76">
        <f t="shared" ref="J27:S27" si="7">J34</f>
        <v>4515.0716618040478</v>
      </c>
      <c r="K27" s="76">
        <f t="shared" si="7"/>
        <v>5546.627679069129</v>
      </c>
      <c r="L27" s="76">
        <f t="shared" si="7"/>
        <v>6760.9267106431907</v>
      </c>
      <c r="M27" s="76">
        <f t="shared" si="7"/>
        <v>8140.7782376038222</v>
      </c>
      <c r="N27" s="76">
        <f t="shared" si="7"/>
        <v>9614.4697739954208</v>
      </c>
      <c r="O27" s="76">
        <f t="shared" si="7"/>
        <v>11098.707625620213</v>
      </c>
      <c r="P27" s="76">
        <f t="shared" si="7"/>
        <v>12640.452580580684</v>
      </c>
      <c r="Q27" s="76">
        <f t="shared" si="7"/>
        <v>14232.337507867256</v>
      </c>
      <c r="R27" s="76">
        <f t="shared" si="7"/>
        <v>15874.712907740697</v>
      </c>
      <c r="S27" s="76">
        <f t="shared" si="7"/>
        <v>17549.442256531031</v>
      </c>
      <c r="U27" s="78"/>
      <c r="Y27" s="78"/>
      <c r="AC27" s="78"/>
      <c r="AG27" s="78"/>
      <c r="AK27" s="78"/>
      <c r="AO27" s="78"/>
      <c r="AS27" s="78"/>
      <c r="AW27" s="78"/>
      <c r="BA27" s="78"/>
      <c r="BE27" s="78"/>
      <c r="BI27" s="78"/>
      <c r="BM27" s="78"/>
      <c r="BQ27" s="78"/>
      <c r="BU27" s="78"/>
      <c r="BY27" s="78"/>
      <c r="CC27" s="78"/>
      <c r="CG27" s="78"/>
      <c r="CK27" s="78"/>
      <c r="CO27" s="78"/>
      <c r="CS27" s="78"/>
      <c r="CW27" s="78"/>
      <c r="DA27" s="78"/>
      <c r="DE27" s="78"/>
      <c r="DI27" s="78"/>
      <c r="DM27" s="78"/>
      <c r="DQ27" s="78"/>
      <c r="DU27" s="78"/>
      <c r="DY27" s="78"/>
      <c r="EC27" s="78"/>
      <c r="EG27" s="78"/>
      <c r="EK27" s="78"/>
      <c r="EO27" s="78"/>
      <c r="ES27" s="78"/>
      <c r="EW27" s="78"/>
      <c r="FA27" s="78"/>
      <c r="FE27" s="78"/>
      <c r="FI27" s="78"/>
      <c r="FM27" s="78"/>
      <c r="FQ27" s="78"/>
      <c r="FU27" s="78"/>
      <c r="FY27" s="78"/>
      <c r="GC27" s="78"/>
      <c r="GG27" s="78"/>
      <c r="GK27" s="78"/>
      <c r="GO27" s="78"/>
      <c r="GS27" s="78"/>
      <c r="GW27" s="78"/>
      <c r="HA27" s="78"/>
      <c r="HE27" s="78"/>
      <c r="HI27" s="78"/>
      <c r="HM27" s="78"/>
      <c r="HQ27" s="78"/>
      <c r="HU27" s="78"/>
      <c r="HY27" s="78"/>
      <c r="IC27" s="78"/>
      <c r="IG27" s="78"/>
      <c r="IK27" s="78"/>
      <c r="IO27" s="78"/>
      <c r="IS27" s="78"/>
      <c r="IW27" s="78"/>
      <c r="JA27" s="78"/>
      <c r="JE27" s="78"/>
      <c r="JI27" s="78"/>
      <c r="JM27" s="78"/>
      <c r="JQ27" s="78"/>
      <c r="JU27" s="78"/>
      <c r="JY27" s="78"/>
      <c r="KC27" s="78"/>
      <c r="KG27" s="78"/>
      <c r="KK27" s="78"/>
      <c r="KO27" s="78"/>
      <c r="KS27" s="78"/>
      <c r="KW27" s="78"/>
      <c r="LA27" s="78"/>
      <c r="LE27" s="78"/>
      <c r="LI27" s="78"/>
      <c r="LM27" s="78"/>
      <c r="LQ27" s="78"/>
      <c r="LU27" s="78"/>
      <c r="LY27" s="78"/>
      <c r="MC27" s="78"/>
      <c r="MG27" s="78"/>
      <c r="MK27" s="78"/>
      <c r="MO27" s="78"/>
      <c r="MS27" s="78"/>
      <c r="MW27" s="78"/>
      <c r="NA27" s="78"/>
      <c r="NE27" s="78"/>
      <c r="NI27" s="78"/>
      <c r="NM27" s="78"/>
      <c r="NQ27" s="78"/>
      <c r="NU27" s="78"/>
      <c r="NY27" s="78"/>
      <c r="OC27" s="78"/>
      <c r="OG27" s="78"/>
      <c r="OK27" s="78"/>
      <c r="OO27" s="78"/>
      <c r="OS27" s="78"/>
      <c r="OW27" s="78"/>
      <c r="PA27" s="78"/>
      <c r="PE27" s="78"/>
      <c r="PI27" s="78"/>
      <c r="PM27" s="78"/>
      <c r="PQ27" s="78"/>
      <c r="PU27" s="78"/>
      <c r="PY27" s="78"/>
      <c r="QC27" s="78"/>
      <c r="QG27" s="78"/>
      <c r="QK27" s="78"/>
      <c r="QO27" s="78"/>
      <c r="QS27" s="78"/>
      <c r="QW27" s="78"/>
      <c r="RA27" s="78"/>
      <c r="RE27" s="78"/>
      <c r="RI27" s="78"/>
      <c r="RM27" s="78"/>
      <c r="RQ27" s="78"/>
      <c r="RU27" s="78"/>
      <c r="RY27" s="78"/>
      <c r="SC27" s="78"/>
      <c r="SG27" s="78"/>
      <c r="SK27" s="78"/>
      <c r="SO27" s="78"/>
      <c r="SS27" s="78"/>
      <c r="SW27" s="78"/>
      <c r="TA27" s="78"/>
      <c r="TE27" s="78"/>
      <c r="TI27" s="78"/>
      <c r="TM27" s="78"/>
      <c r="TQ27" s="78"/>
      <c r="TU27" s="78"/>
      <c r="TY27" s="78"/>
      <c r="UC27" s="78"/>
      <c r="UG27" s="78"/>
      <c r="UK27" s="78"/>
      <c r="UO27" s="78"/>
      <c r="US27" s="78"/>
      <c r="UW27" s="78"/>
      <c r="VA27" s="78"/>
      <c r="VE27" s="78"/>
      <c r="VI27" s="78"/>
      <c r="VM27" s="78"/>
      <c r="VQ27" s="78"/>
      <c r="VU27" s="78"/>
      <c r="VY27" s="78"/>
      <c r="WC27" s="78"/>
      <c r="WG27" s="78"/>
      <c r="WK27" s="78"/>
      <c r="WO27" s="78"/>
      <c r="WS27" s="78"/>
      <c r="WW27" s="78"/>
      <c r="XA27" s="78"/>
      <c r="XE27" s="78"/>
      <c r="XI27" s="78"/>
      <c r="XM27" s="78"/>
      <c r="XQ27" s="78"/>
      <c r="XU27" s="78"/>
      <c r="XY27" s="78"/>
      <c r="YC27" s="78"/>
      <c r="YG27" s="78"/>
      <c r="YK27" s="78"/>
      <c r="YO27" s="78"/>
      <c r="YS27" s="78"/>
      <c r="YW27" s="78"/>
      <c r="ZA27" s="78"/>
      <c r="ZE27" s="78"/>
      <c r="ZI27" s="78"/>
      <c r="ZM27" s="78"/>
      <c r="ZQ27" s="78"/>
      <c r="ZU27" s="78"/>
      <c r="ZY27" s="78"/>
      <c r="AAC27" s="78"/>
      <c r="AAG27" s="78"/>
      <c r="AAK27" s="78"/>
      <c r="AAO27" s="78"/>
      <c r="AAS27" s="78"/>
      <c r="AAW27" s="78"/>
      <c r="ABA27" s="78"/>
      <c r="ABE27" s="78"/>
      <c r="ABI27" s="78"/>
      <c r="ABM27" s="78"/>
      <c r="ABQ27" s="78"/>
      <c r="ABU27" s="78"/>
      <c r="ABY27" s="78"/>
      <c r="ACC27" s="78"/>
      <c r="ACG27" s="78"/>
      <c r="ACK27" s="78"/>
      <c r="ACO27" s="78"/>
      <c r="ACS27" s="78"/>
      <c r="ACW27" s="78"/>
      <c r="ADA27" s="78"/>
      <c r="ADE27" s="78"/>
      <c r="ADI27" s="78"/>
      <c r="ADM27" s="78"/>
      <c r="ADQ27" s="78"/>
      <c r="ADU27" s="78"/>
      <c r="ADY27" s="78"/>
      <c r="AEC27" s="78"/>
      <c r="AEG27" s="78"/>
      <c r="AEK27" s="78"/>
      <c r="AEO27" s="78"/>
      <c r="AES27" s="78"/>
      <c r="AEW27" s="78"/>
      <c r="AFA27" s="78"/>
      <c r="AFE27" s="78"/>
      <c r="AFI27" s="78"/>
      <c r="AFM27" s="78"/>
      <c r="AFQ27" s="78"/>
      <c r="AFU27" s="78"/>
      <c r="AFY27" s="78"/>
      <c r="AGC27" s="78"/>
      <c r="AGG27" s="78"/>
      <c r="AGK27" s="78"/>
      <c r="AGO27" s="78"/>
      <c r="AGS27" s="78"/>
      <c r="AGW27" s="78"/>
      <c r="AHA27" s="78"/>
      <c r="AHE27" s="78"/>
      <c r="AHI27" s="78"/>
      <c r="AHM27" s="78"/>
      <c r="AHQ27" s="78"/>
      <c r="AHU27" s="78"/>
      <c r="AHY27" s="78"/>
      <c r="AIC27" s="78"/>
      <c r="AIG27" s="78"/>
      <c r="AIK27" s="78"/>
      <c r="AIO27" s="78"/>
      <c r="AIS27" s="78"/>
      <c r="AIW27" s="78"/>
      <c r="AJA27" s="78"/>
      <c r="AJE27" s="78"/>
      <c r="AJI27" s="78"/>
      <c r="AJM27" s="78"/>
      <c r="AJQ27" s="78"/>
      <c r="AJU27" s="78"/>
      <c r="AJY27" s="78"/>
      <c r="AKC27" s="78"/>
      <c r="AKG27" s="78"/>
      <c r="AKK27" s="78"/>
      <c r="AKO27" s="78"/>
      <c r="AKS27" s="78"/>
      <c r="AKW27" s="78"/>
      <c r="ALA27" s="78"/>
      <c r="ALE27" s="78"/>
      <c r="ALI27" s="78"/>
      <c r="ALM27" s="78"/>
      <c r="ALQ27" s="78"/>
      <c r="ALU27" s="78"/>
      <c r="ALY27" s="78"/>
      <c r="AMC27" s="78"/>
      <c r="AMG27" s="78"/>
      <c r="AMK27" s="78"/>
      <c r="AMO27" s="78"/>
      <c r="AMS27" s="78"/>
      <c r="AMW27" s="78"/>
      <c r="ANA27" s="78"/>
      <c r="ANE27" s="78"/>
      <c r="ANI27" s="78"/>
      <c r="ANM27" s="78"/>
      <c r="ANQ27" s="78"/>
      <c r="ANU27" s="78"/>
      <c r="ANY27" s="78"/>
      <c r="AOC27" s="78"/>
      <c r="AOG27" s="78"/>
      <c r="AOK27" s="78"/>
      <c r="AOO27" s="78"/>
      <c r="AOS27" s="78"/>
      <c r="AOW27" s="78"/>
      <c r="APA27" s="78"/>
      <c r="APE27" s="78"/>
      <c r="API27" s="78"/>
      <c r="APM27" s="78"/>
      <c r="APQ27" s="78"/>
      <c r="APU27" s="78"/>
      <c r="APY27" s="78"/>
      <c r="AQC27" s="78"/>
      <c r="AQG27" s="78"/>
      <c r="AQK27" s="78"/>
      <c r="AQO27" s="78"/>
      <c r="AQS27" s="78"/>
      <c r="AQW27" s="78"/>
      <c r="ARA27" s="78"/>
      <c r="ARE27" s="78"/>
      <c r="ARI27" s="78"/>
      <c r="ARM27" s="78"/>
      <c r="ARQ27" s="78"/>
      <c r="ARU27" s="78"/>
      <c r="ARY27" s="78"/>
      <c r="ASC27" s="78"/>
      <c r="ASG27" s="78"/>
      <c r="ASK27" s="78"/>
      <c r="ASO27" s="78"/>
      <c r="ASS27" s="78"/>
      <c r="ASW27" s="78"/>
      <c r="ATA27" s="78"/>
      <c r="ATE27" s="78"/>
      <c r="ATI27" s="78"/>
      <c r="ATM27" s="78"/>
      <c r="ATQ27" s="78"/>
      <c r="ATU27" s="78"/>
      <c r="ATY27" s="78"/>
      <c r="AUC27" s="78"/>
      <c r="AUG27" s="78"/>
      <c r="AUK27" s="78"/>
      <c r="AUO27" s="78"/>
      <c r="AUS27" s="78"/>
      <c r="AUW27" s="78"/>
      <c r="AVA27" s="78"/>
      <c r="AVE27" s="78"/>
      <c r="AVI27" s="78"/>
      <c r="AVM27" s="78"/>
      <c r="AVQ27" s="78"/>
      <c r="AVU27" s="78"/>
      <c r="AVY27" s="78"/>
      <c r="AWC27" s="78"/>
      <c r="AWG27" s="78"/>
      <c r="AWK27" s="78"/>
      <c r="AWO27" s="78"/>
      <c r="AWS27" s="78"/>
      <c r="AWW27" s="78"/>
      <c r="AXA27" s="78"/>
      <c r="AXE27" s="78"/>
      <c r="AXI27" s="78"/>
      <c r="AXM27" s="78"/>
      <c r="AXQ27" s="78"/>
      <c r="AXU27" s="78"/>
      <c r="AXY27" s="78"/>
      <c r="AYC27" s="78"/>
      <c r="AYG27" s="78"/>
      <c r="AYK27" s="78"/>
      <c r="AYO27" s="78"/>
      <c r="AYS27" s="78"/>
      <c r="AYW27" s="78"/>
      <c r="AZA27" s="78"/>
      <c r="AZE27" s="78"/>
      <c r="AZI27" s="78"/>
      <c r="AZM27" s="78"/>
      <c r="AZQ27" s="78"/>
      <c r="AZU27" s="78"/>
      <c r="AZY27" s="78"/>
      <c r="BAC27" s="78"/>
      <c r="BAG27" s="78"/>
      <c r="BAK27" s="78"/>
      <c r="BAO27" s="78"/>
      <c r="BAS27" s="78"/>
      <c r="BAW27" s="78"/>
      <c r="BBA27" s="78"/>
      <c r="BBE27" s="78"/>
      <c r="BBI27" s="78"/>
      <c r="BBM27" s="78"/>
      <c r="BBQ27" s="78"/>
      <c r="BBU27" s="78"/>
      <c r="BBY27" s="78"/>
      <c r="BCC27" s="78"/>
      <c r="BCG27" s="78"/>
      <c r="BCK27" s="78"/>
      <c r="BCO27" s="78"/>
      <c r="BCS27" s="78"/>
      <c r="BCW27" s="78"/>
      <c r="BDA27" s="78"/>
      <c r="BDE27" s="78"/>
      <c r="BDI27" s="78"/>
      <c r="BDM27" s="78"/>
      <c r="BDQ27" s="78"/>
      <c r="BDU27" s="78"/>
      <c r="BDY27" s="78"/>
      <c r="BEC27" s="78"/>
      <c r="BEG27" s="78"/>
      <c r="BEK27" s="78"/>
      <c r="BEO27" s="78"/>
      <c r="BES27" s="78"/>
      <c r="BEW27" s="78"/>
      <c r="BFA27" s="78"/>
      <c r="BFE27" s="78"/>
      <c r="BFI27" s="78"/>
      <c r="BFM27" s="78"/>
      <c r="BFQ27" s="78"/>
      <c r="BFU27" s="78"/>
      <c r="BFY27" s="78"/>
      <c r="BGC27" s="78"/>
      <c r="BGG27" s="78"/>
      <c r="BGK27" s="78"/>
      <c r="BGO27" s="78"/>
      <c r="BGS27" s="78"/>
      <c r="BGW27" s="78"/>
      <c r="BHA27" s="78"/>
      <c r="BHE27" s="78"/>
      <c r="BHI27" s="78"/>
      <c r="BHM27" s="78"/>
      <c r="BHQ27" s="78"/>
      <c r="BHU27" s="78"/>
      <c r="BHY27" s="78"/>
      <c r="BIC27" s="78"/>
      <c r="BIG27" s="78"/>
      <c r="BIK27" s="78"/>
      <c r="BIO27" s="78"/>
      <c r="BIS27" s="78"/>
      <c r="BIW27" s="78"/>
      <c r="BJA27" s="78"/>
      <c r="BJE27" s="78"/>
      <c r="BJI27" s="78"/>
      <c r="BJM27" s="78"/>
      <c r="BJQ27" s="78"/>
      <c r="BJU27" s="78"/>
      <c r="BJY27" s="78"/>
      <c r="BKC27" s="78"/>
      <c r="BKG27" s="78"/>
      <c r="BKK27" s="78"/>
      <c r="BKO27" s="78"/>
      <c r="BKS27" s="78"/>
      <c r="BKW27" s="78"/>
      <c r="BLA27" s="78"/>
      <c r="BLE27" s="78"/>
      <c r="BLI27" s="78"/>
      <c r="BLM27" s="78"/>
      <c r="BLQ27" s="78"/>
      <c r="BLU27" s="78"/>
      <c r="BLY27" s="78"/>
      <c r="BMC27" s="78"/>
      <c r="BMG27" s="78"/>
      <c r="BMK27" s="78"/>
      <c r="BMO27" s="78"/>
      <c r="BMS27" s="78"/>
      <c r="BMW27" s="78"/>
      <c r="BNA27" s="78"/>
      <c r="BNE27" s="78"/>
      <c r="BNI27" s="78"/>
      <c r="BNM27" s="78"/>
      <c r="BNQ27" s="78"/>
      <c r="BNU27" s="78"/>
      <c r="BNY27" s="78"/>
      <c r="BOC27" s="78"/>
      <c r="BOG27" s="78"/>
      <c r="BOK27" s="78"/>
      <c r="BOO27" s="78"/>
      <c r="BOS27" s="78"/>
      <c r="BOW27" s="78"/>
      <c r="BPA27" s="78"/>
      <c r="BPE27" s="78"/>
      <c r="BPI27" s="78"/>
      <c r="BPM27" s="78"/>
      <c r="BPQ27" s="78"/>
      <c r="BPU27" s="78"/>
      <c r="BPY27" s="78"/>
      <c r="BQC27" s="78"/>
      <c r="BQG27" s="78"/>
      <c r="BQK27" s="78"/>
      <c r="BQO27" s="78"/>
      <c r="BQS27" s="78"/>
      <c r="BQW27" s="78"/>
      <c r="BRA27" s="78"/>
      <c r="BRE27" s="78"/>
      <c r="BRI27" s="78"/>
      <c r="BRM27" s="78"/>
      <c r="BRQ27" s="78"/>
      <c r="BRU27" s="78"/>
      <c r="BRY27" s="78"/>
      <c r="BSC27" s="78"/>
      <c r="BSG27" s="78"/>
      <c r="BSK27" s="78"/>
      <c r="BSO27" s="78"/>
      <c r="BSS27" s="78"/>
      <c r="BSW27" s="78"/>
      <c r="BTA27" s="78"/>
      <c r="BTE27" s="78"/>
      <c r="BTI27" s="78"/>
      <c r="BTM27" s="78"/>
      <c r="BTQ27" s="78"/>
      <c r="BTU27" s="78"/>
      <c r="BTY27" s="78"/>
      <c r="BUC27" s="78"/>
      <c r="BUG27" s="78"/>
      <c r="BUK27" s="78"/>
      <c r="BUO27" s="78"/>
      <c r="BUS27" s="78"/>
      <c r="BUW27" s="78"/>
      <c r="BVA27" s="78"/>
      <c r="BVE27" s="78"/>
      <c r="BVI27" s="78"/>
      <c r="BVM27" s="78"/>
      <c r="BVQ27" s="78"/>
      <c r="BVU27" s="78"/>
      <c r="BVY27" s="78"/>
      <c r="BWC27" s="78"/>
      <c r="BWG27" s="78"/>
      <c r="BWK27" s="78"/>
      <c r="BWO27" s="78"/>
      <c r="BWS27" s="78"/>
      <c r="BWW27" s="78"/>
      <c r="BXA27" s="78"/>
      <c r="BXE27" s="78"/>
      <c r="BXI27" s="78"/>
      <c r="BXM27" s="78"/>
      <c r="BXQ27" s="78"/>
      <c r="BXU27" s="78"/>
      <c r="BXY27" s="78"/>
      <c r="BYC27" s="78"/>
      <c r="BYG27" s="78"/>
      <c r="BYK27" s="78"/>
      <c r="BYO27" s="78"/>
      <c r="BYS27" s="78"/>
      <c r="BYW27" s="78"/>
      <c r="BZA27" s="78"/>
      <c r="BZE27" s="78"/>
      <c r="BZI27" s="78"/>
      <c r="BZM27" s="78"/>
      <c r="BZQ27" s="78"/>
      <c r="BZU27" s="78"/>
      <c r="BZY27" s="78"/>
      <c r="CAC27" s="78"/>
      <c r="CAG27" s="78"/>
      <c r="CAK27" s="78"/>
      <c r="CAO27" s="78"/>
      <c r="CAS27" s="78"/>
      <c r="CAW27" s="78"/>
      <c r="CBA27" s="78"/>
      <c r="CBE27" s="78"/>
      <c r="CBI27" s="78"/>
      <c r="CBM27" s="78"/>
      <c r="CBQ27" s="78"/>
      <c r="CBU27" s="78"/>
      <c r="CBY27" s="78"/>
      <c r="CCC27" s="78"/>
      <c r="CCG27" s="78"/>
      <c r="CCK27" s="78"/>
      <c r="CCO27" s="78"/>
      <c r="CCS27" s="78"/>
      <c r="CCW27" s="78"/>
      <c r="CDA27" s="78"/>
      <c r="CDE27" s="78"/>
      <c r="CDI27" s="78"/>
      <c r="CDM27" s="78"/>
      <c r="CDQ27" s="78"/>
      <c r="CDU27" s="78"/>
      <c r="CDY27" s="78"/>
      <c r="CEC27" s="78"/>
      <c r="CEG27" s="78"/>
      <c r="CEK27" s="78"/>
      <c r="CEO27" s="78"/>
      <c r="CES27" s="78"/>
      <c r="CEW27" s="78"/>
      <c r="CFA27" s="78"/>
      <c r="CFE27" s="78"/>
      <c r="CFI27" s="78"/>
      <c r="CFM27" s="78"/>
      <c r="CFQ27" s="78"/>
      <c r="CFU27" s="78"/>
      <c r="CFY27" s="78"/>
      <c r="CGC27" s="78"/>
      <c r="CGG27" s="78"/>
      <c r="CGK27" s="78"/>
      <c r="CGO27" s="78"/>
      <c r="CGS27" s="78"/>
      <c r="CGW27" s="78"/>
      <c r="CHA27" s="78"/>
      <c r="CHE27" s="78"/>
      <c r="CHI27" s="78"/>
      <c r="CHM27" s="78"/>
      <c r="CHQ27" s="78"/>
      <c r="CHU27" s="78"/>
      <c r="CHY27" s="78"/>
      <c r="CIC27" s="78"/>
      <c r="CIG27" s="78"/>
      <c r="CIK27" s="78"/>
      <c r="CIO27" s="78"/>
      <c r="CIS27" s="78"/>
      <c r="CIW27" s="78"/>
      <c r="CJA27" s="78"/>
      <c r="CJE27" s="78"/>
      <c r="CJI27" s="78"/>
      <c r="CJM27" s="78"/>
      <c r="CJQ27" s="78"/>
      <c r="CJU27" s="78"/>
      <c r="CJY27" s="78"/>
      <c r="CKC27" s="78"/>
      <c r="CKG27" s="78"/>
      <c r="CKK27" s="78"/>
      <c r="CKO27" s="78"/>
      <c r="CKS27" s="78"/>
      <c r="CKW27" s="78"/>
      <c r="CLA27" s="78"/>
      <c r="CLE27" s="78"/>
      <c r="CLI27" s="78"/>
      <c r="CLM27" s="78"/>
      <c r="CLQ27" s="78"/>
      <c r="CLU27" s="78"/>
      <c r="CLY27" s="78"/>
      <c r="CMC27" s="78"/>
      <c r="CMG27" s="78"/>
      <c r="CMK27" s="78"/>
      <c r="CMO27" s="78"/>
      <c r="CMS27" s="78"/>
      <c r="CMW27" s="78"/>
      <c r="CNA27" s="78"/>
      <c r="CNE27" s="78"/>
      <c r="CNI27" s="78"/>
      <c r="CNM27" s="78"/>
      <c r="CNQ27" s="78"/>
      <c r="CNU27" s="78"/>
      <c r="CNY27" s="78"/>
      <c r="COC27" s="78"/>
      <c r="COG27" s="78"/>
      <c r="COK27" s="78"/>
      <c r="COO27" s="78"/>
      <c r="COS27" s="78"/>
      <c r="COW27" s="78"/>
      <c r="CPA27" s="78"/>
      <c r="CPE27" s="78"/>
      <c r="CPI27" s="78"/>
      <c r="CPM27" s="78"/>
      <c r="CPQ27" s="78"/>
      <c r="CPU27" s="78"/>
      <c r="CPY27" s="78"/>
      <c r="CQC27" s="78"/>
      <c r="CQG27" s="78"/>
      <c r="CQK27" s="78"/>
      <c r="CQO27" s="78"/>
      <c r="CQS27" s="78"/>
      <c r="CQW27" s="78"/>
      <c r="CRA27" s="78"/>
      <c r="CRE27" s="78"/>
      <c r="CRI27" s="78"/>
      <c r="CRM27" s="78"/>
      <c r="CRQ27" s="78"/>
      <c r="CRU27" s="78"/>
      <c r="CRY27" s="78"/>
      <c r="CSC27" s="78"/>
      <c r="CSG27" s="78"/>
      <c r="CSK27" s="78"/>
      <c r="CSO27" s="78"/>
      <c r="CSS27" s="78"/>
      <c r="CSW27" s="78"/>
      <c r="CTA27" s="78"/>
      <c r="CTE27" s="78"/>
      <c r="CTI27" s="78"/>
      <c r="CTM27" s="78"/>
      <c r="CTQ27" s="78"/>
      <c r="CTU27" s="78"/>
      <c r="CTY27" s="78"/>
      <c r="CUC27" s="78"/>
      <c r="CUG27" s="78"/>
      <c r="CUK27" s="78"/>
      <c r="CUO27" s="78"/>
      <c r="CUS27" s="78"/>
      <c r="CUW27" s="78"/>
      <c r="CVA27" s="78"/>
      <c r="CVE27" s="78"/>
      <c r="CVI27" s="78"/>
      <c r="CVM27" s="78"/>
      <c r="CVQ27" s="78"/>
      <c r="CVU27" s="78"/>
      <c r="CVY27" s="78"/>
      <c r="CWC27" s="78"/>
      <c r="CWG27" s="78"/>
      <c r="CWK27" s="78"/>
      <c r="CWO27" s="78"/>
      <c r="CWS27" s="78"/>
      <c r="CWW27" s="78"/>
      <c r="CXA27" s="78"/>
      <c r="CXE27" s="78"/>
      <c r="CXI27" s="78"/>
      <c r="CXM27" s="78"/>
      <c r="CXQ27" s="78"/>
      <c r="CXU27" s="78"/>
      <c r="CXY27" s="78"/>
      <c r="CYC27" s="78"/>
      <c r="CYG27" s="78"/>
      <c r="CYK27" s="78"/>
      <c r="CYO27" s="78"/>
      <c r="CYS27" s="78"/>
      <c r="CYW27" s="78"/>
      <c r="CZA27" s="78"/>
      <c r="CZE27" s="78"/>
      <c r="CZI27" s="78"/>
      <c r="CZM27" s="78"/>
      <c r="CZQ27" s="78"/>
      <c r="CZU27" s="78"/>
      <c r="CZY27" s="78"/>
      <c r="DAC27" s="78"/>
      <c r="DAG27" s="78"/>
      <c r="DAK27" s="78"/>
      <c r="DAO27" s="78"/>
      <c r="DAS27" s="78"/>
      <c r="DAW27" s="78"/>
      <c r="DBA27" s="78"/>
      <c r="DBE27" s="78"/>
      <c r="DBI27" s="78"/>
      <c r="DBM27" s="78"/>
      <c r="DBQ27" s="78"/>
      <c r="DBU27" s="78"/>
      <c r="DBY27" s="78"/>
      <c r="DCC27" s="78"/>
      <c r="DCG27" s="78"/>
      <c r="DCK27" s="78"/>
      <c r="DCO27" s="78"/>
      <c r="DCS27" s="78"/>
      <c r="DCW27" s="78"/>
      <c r="DDA27" s="78"/>
      <c r="DDE27" s="78"/>
      <c r="DDI27" s="78"/>
      <c r="DDM27" s="78"/>
      <c r="DDQ27" s="78"/>
      <c r="DDU27" s="78"/>
      <c r="DDY27" s="78"/>
      <c r="DEC27" s="78"/>
      <c r="DEG27" s="78"/>
      <c r="DEK27" s="78"/>
      <c r="DEO27" s="78"/>
      <c r="DES27" s="78"/>
      <c r="DEW27" s="78"/>
      <c r="DFA27" s="78"/>
      <c r="DFE27" s="78"/>
      <c r="DFI27" s="78"/>
      <c r="DFM27" s="78"/>
      <c r="DFQ27" s="78"/>
      <c r="DFU27" s="78"/>
      <c r="DFY27" s="78"/>
      <c r="DGC27" s="78"/>
      <c r="DGG27" s="78"/>
      <c r="DGK27" s="78"/>
      <c r="DGO27" s="78"/>
      <c r="DGS27" s="78"/>
      <c r="DGW27" s="78"/>
      <c r="DHA27" s="78"/>
      <c r="DHE27" s="78"/>
      <c r="DHI27" s="78"/>
      <c r="DHM27" s="78"/>
      <c r="DHQ27" s="78"/>
      <c r="DHU27" s="78"/>
      <c r="DHY27" s="78"/>
      <c r="DIC27" s="78"/>
      <c r="DIG27" s="78"/>
      <c r="DIK27" s="78"/>
      <c r="DIO27" s="78"/>
      <c r="DIS27" s="78"/>
      <c r="DIW27" s="78"/>
      <c r="DJA27" s="78"/>
      <c r="DJE27" s="78"/>
      <c r="DJI27" s="78"/>
      <c r="DJM27" s="78"/>
      <c r="DJQ27" s="78"/>
      <c r="DJU27" s="78"/>
      <c r="DJY27" s="78"/>
      <c r="DKC27" s="78"/>
      <c r="DKG27" s="78"/>
      <c r="DKK27" s="78"/>
      <c r="DKO27" s="78"/>
      <c r="DKS27" s="78"/>
      <c r="DKW27" s="78"/>
      <c r="DLA27" s="78"/>
      <c r="DLE27" s="78"/>
      <c r="DLI27" s="78"/>
      <c r="DLM27" s="78"/>
      <c r="DLQ27" s="78"/>
      <c r="DLU27" s="78"/>
      <c r="DLY27" s="78"/>
      <c r="DMC27" s="78"/>
      <c r="DMG27" s="78"/>
      <c r="DMK27" s="78"/>
      <c r="DMO27" s="78"/>
      <c r="DMS27" s="78"/>
      <c r="DMW27" s="78"/>
      <c r="DNA27" s="78"/>
      <c r="DNE27" s="78"/>
      <c r="DNI27" s="78"/>
      <c r="DNM27" s="78"/>
      <c r="DNQ27" s="78"/>
      <c r="DNU27" s="78"/>
      <c r="DNY27" s="78"/>
      <c r="DOC27" s="78"/>
      <c r="DOG27" s="78"/>
      <c r="DOK27" s="78"/>
      <c r="DOO27" s="78"/>
      <c r="DOS27" s="78"/>
      <c r="DOW27" s="78"/>
      <c r="DPA27" s="78"/>
      <c r="DPE27" s="78"/>
      <c r="DPI27" s="78"/>
      <c r="DPM27" s="78"/>
      <c r="DPQ27" s="78"/>
      <c r="DPU27" s="78"/>
      <c r="DPY27" s="78"/>
      <c r="DQC27" s="78"/>
      <c r="DQG27" s="78"/>
      <c r="DQK27" s="78"/>
      <c r="DQO27" s="78"/>
      <c r="DQS27" s="78"/>
      <c r="DQW27" s="78"/>
      <c r="DRA27" s="78"/>
      <c r="DRE27" s="78"/>
      <c r="DRI27" s="78"/>
      <c r="DRM27" s="78"/>
      <c r="DRQ27" s="78"/>
      <c r="DRU27" s="78"/>
      <c r="DRY27" s="78"/>
      <c r="DSC27" s="78"/>
      <c r="DSG27" s="78"/>
      <c r="DSK27" s="78"/>
      <c r="DSO27" s="78"/>
      <c r="DSS27" s="78"/>
      <c r="DSW27" s="78"/>
      <c r="DTA27" s="78"/>
      <c r="DTE27" s="78"/>
      <c r="DTI27" s="78"/>
      <c r="DTM27" s="78"/>
      <c r="DTQ27" s="78"/>
      <c r="DTU27" s="78"/>
      <c r="DTY27" s="78"/>
      <c r="DUC27" s="78"/>
      <c r="DUG27" s="78"/>
      <c r="DUK27" s="78"/>
      <c r="DUO27" s="78"/>
      <c r="DUS27" s="78"/>
      <c r="DUW27" s="78"/>
      <c r="DVA27" s="78"/>
      <c r="DVE27" s="78"/>
      <c r="DVI27" s="78"/>
      <c r="DVM27" s="78"/>
      <c r="DVQ27" s="78"/>
      <c r="DVU27" s="78"/>
      <c r="DVY27" s="78"/>
      <c r="DWC27" s="78"/>
      <c r="DWG27" s="78"/>
      <c r="DWK27" s="78"/>
      <c r="DWO27" s="78"/>
      <c r="DWS27" s="78"/>
      <c r="DWW27" s="78"/>
      <c r="DXA27" s="78"/>
      <c r="DXE27" s="78"/>
      <c r="DXI27" s="78"/>
      <c r="DXM27" s="78"/>
      <c r="DXQ27" s="78"/>
      <c r="DXU27" s="78"/>
      <c r="DXY27" s="78"/>
      <c r="DYC27" s="78"/>
      <c r="DYG27" s="78"/>
      <c r="DYK27" s="78"/>
      <c r="DYO27" s="78"/>
      <c r="DYS27" s="78"/>
      <c r="DYW27" s="78"/>
      <c r="DZA27" s="78"/>
      <c r="DZE27" s="78"/>
      <c r="DZI27" s="78"/>
      <c r="DZM27" s="78"/>
      <c r="DZQ27" s="78"/>
      <c r="DZU27" s="78"/>
      <c r="DZY27" s="78"/>
      <c r="EAC27" s="78"/>
      <c r="EAG27" s="78"/>
      <c r="EAK27" s="78"/>
      <c r="EAO27" s="78"/>
      <c r="EAS27" s="78"/>
      <c r="EAW27" s="78"/>
      <c r="EBA27" s="78"/>
      <c r="EBE27" s="78"/>
      <c r="EBI27" s="78"/>
      <c r="EBM27" s="78"/>
      <c r="EBQ27" s="78"/>
      <c r="EBU27" s="78"/>
      <c r="EBY27" s="78"/>
      <c r="ECC27" s="78"/>
      <c r="ECG27" s="78"/>
      <c r="ECK27" s="78"/>
      <c r="ECO27" s="78"/>
      <c r="ECS27" s="78"/>
      <c r="ECW27" s="78"/>
      <c r="EDA27" s="78"/>
      <c r="EDE27" s="78"/>
      <c r="EDI27" s="78"/>
      <c r="EDM27" s="78"/>
      <c r="EDQ27" s="78"/>
      <c r="EDU27" s="78"/>
      <c r="EDY27" s="78"/>
      <c r="EEC27" s="78"/>
      <c r="EEG27" s="78"/>
      <c r="EEK27" s="78"/>
      <c r="EEO27" s="78"/>
      <c r="EES27" s="78"/>
      <c r="EEW27" s="78"/>
      <c r="EFA27" s="78"/>
      <c r="EFE27" s="78"/>
      <c r="EFI27" s="78"/>
      <c r="EFM27" s="78"/>
      <c r="EFQ27" s="78"/>
      <c r="EFU27" s="78"/>
      <c r="EFY27" s="78"/>
      <c r="EGC27" s="78"/>
      <c r="EGG27" s="78"/>
      <c r="EGK27" s="78"/>
      <c r="EGO27" s="78"/>
      <c r="EGS27" s="78"/>
      <c r="EGW27" s="78"/>
      <c r="EHA27" s="78"/>
      <c r="EHE27" s="78"/>
      <c r="EHI27" s="78"/>
      <c r="EHM27" s="78"/>
      <c r="EHQ27" s="78"/>
      <c r="EHU27" s="78"/>
      <c r="EHY27" s="78"/>
      <c r="EIC27" s="78"/>
      <c r="EIG27" s="78"/>
      <c r="EIK27" s="78"/>
      <c r="EIO27" s="78"/>
      <c r="EIS27" s="78"/>
      <c r="EIW27" s="78"/>
      <c r="EJA27" s="78"/>
      <c r="EJE27" s="78"/>
      <c r="EJI27" s="78"/>
      <c r="EJM27" s="78"/>
      <c r="EJQ27" s="78"/>
      <c r="EJU27" s="78"/>
      <c r="EJY27" s="78"/>
      <c r="EKC27" s="78"/>
      <c r="EKG27" s="78"/>
      <c r="EKK27" s="78"/>
      <c r="EKO27" s="78"/>
      <c r="EKS27" s="78"/>
      <c r="EKW27" s="78"/>
      <c r="ELA27" s="78"/>
      <c r="ELE27" s="78"/>
      <c r="ELI27" s="78"/>
      <c r="ELM27" s="78"/>
      <c r="ELQ27" s="78"/>
      <c r="ELU27" s="78"/>
      <c r="ELY27" s="78"/>
      <c r="EMC27" s="78"/>
      <c r="EMG27" s="78"/>
      <c r="EMK27" s="78"/>
      <c r="EMO27" s="78"/>
      <c r="EMS27" s="78"/>
      <c r="EMW27" s="78"/>
      <c r="ENA27" s="78"/>
      <c r="ENE27" s="78"/>
      <c r="ENI27" s="78"/>
      <c r="ENM27" s="78"/>
      <c r="ENQ27" s="78"/>
      <c r="ENU27" s="78"/>
      <c r="ENY27" s="78"/>
      <c r="EOC27" s="78"/>
      <c r="EOG27" s="78"/>
      <c r="EOK27" s="78"/>
      <c r="EOO27" s="78"/>
      <c r="EOS27" s="78"/>
      <c r="EOW27" s="78"/>
      <c r="EPA27" s="78"/>
      <c r="EPE27" s="78"/>
      <c r="EPI27" s="78"/>
      <c r="EPM27" s="78"/>
      <c r="EPQ27" s="78"/>
      <c r="EPU27" s="78"/>
      <c r="EPY27" s="78"/>
      <c r="EQC27" s="78"/>
      <c r="EQG27" s="78"/>
      <c r="EQK27" s="78"/>
      <c r="EQO27" s="78"/>
      <c r="EQS27" s="78"/>
      <c r="EQW27" s="78"/>
      <c r="ERA27" s="78"/>
      <c r="ERE27" s="78"/>
      <c r="ERI27" s="78"/>
      <c r="ERM27" s="78"/>
      <c r="ERQ27" s="78"/>
      <c r="ERU27" s="78"/>
      <c r="ERY27" s="78"/>
      <c r="ESC27" s="78"/>
      <c r="ESG27" s="78"/>
      <c r="ESK27" s="78"/>
      <c r="ESO27" s="78"/>
      <c r="ESS27" s="78"/>
      <c r="ESW27" s="78"/>
      <c r="ETA27" s="78"/>
      <c r="ETE27" s="78"/>
      <c r="ETI27" s="78"/>
      <c r="ETM27" s="78"/>
      <c r="ETQ27" s="78"/>
      <c r="ETU27" s="78"/>
      <c r="ETY27" s="78"/>
      <c r="EUC27" s="78"/>
      <c r="EUG27" s="78"/>
      <c r="EUK27" s="78"/>
      <c r="EUO27" s="78"/>
      <c r="EUS27" s="78"/>
      <c r="EUW27" s="78"/>
      <c r="EVA27" s="78"/>
      <c r="EVE27" s="78"/>
      <c r="EVI27" s="78"/>
      <c r="EVM27" s="78"/>
      <c r="EVQ27" s="78"/>
      <c r="EVU27" s="78"/>
      <c r="EVY27" s="78"/>
      <c r="EWC27" s="78"/>
      <c r="EWG27" s="78"/>
      <c r="EWK27" s="78"/>
      <c r="EWO27" s="78"/>
      <c r="EWS27" s="78"/>
      <c r="EWW27" s="78"/>
      <c r="EXA27" s="78"/>
      <c r="EXE27" s="78"/>
      <c r="EXI27" s="78"/>
      <c r="EXM27" s="78"/>
      <c r="EXQ27" s="78"/>
      <c r="EXU27" s="78"/>
      <c r="EXY27" s="78"/>
      <c r="EYC27" s="78"/>
      <c r="EYG27" s="78"/>
      <c r="EYK27" s="78"/>
      <c r="EYO27" s="78"/>
      <c r="EYS27" s="78"/>
      <c r="EYW27" s="78"/>
      <c r="EZA27" s="78"/>
      <c r="EZE27" s="78"/>
      <c r="EZI27" s="78"/>
      <c r="EZM27" s="78"/>
      <c r="EZQ27" s="78"/>
      <c r="EZU27" s="78"/>
      <c r="EZY27" s="78"/>
      <c r="FAC27" s="78"/>
      <c r="FAG27" s="78"/>
      <c r="FAK27" s="78"/>
      <c r="FAO27" s="78"/>
      <c r="FAS27" s="78"/>
      <c r="FAW27" s="78"/>
      <c r="FBA27" s="78"/>
      <c r="FBE27" s="78"/>
      <c r="FBI27" s="78"/>
      <c r="FBM27" s="78"/>
      <c r="FBQ27" s="78"/>
      <c r="FBU27" s="78"/>
      <c r="FBY27" s="78"/>
      <c r="FCC27" s="78"/>
      <c r="FCG27" s="78"/>
      <c r="FCK27" s="78"/>
      <c r="FCO27" s="78"/>
      <c r="FCS27" s="78"/>
      <c r="FCW27" s="78"/>
      <c r="FDA27" s="78"/>
      <c r="FDE27" s="78"/>
      <c r="FDI27" s="78"/>
      <c r="FDM27" s="78"/>
      <c r="FDQ27" s="78"/>
      <c r="FDU27" s="78"/>
      <c r="FDY27" s="78"/>
      <c r="FEC27" s="78"/>
      <c r="FEG27" s="78"/>
      <c r="FEK27" s="78"/>
      <c r="FEO27" s="78"/>
      <c r="FES27" s="78"/>
      <c r="FEW27" s="78"/>
      <c r="FFA27" s="78"/>
      <c r="FFE27" s="78"/>
      <c r="FFI27" s="78"/>
      <c r="FFM27" s="78"/>
      <c r="FFQ27" s="78"/>
      <c r="FFU27" s="78"/>
      <c r="FFY27" s="78"/>
      <c r="FGC27" s="78"/>
      <c r="FGG27" s="78"/>
      <c r="FGK27" s="78"/>
      <c r="FGO27" s="78"/>
      <c r="FGS27" s="78"/>
      <c r="FGW27" s="78"/>
      <c r="FHA27" s="78"/>
      <c r="FHE27" s="78"/>
      <c r="FHI27" s="78"/>
      <c r="FHM27" s="78"/>
      <c r="FHQ27" s="78"/>
      <c r="FHU27" s="78"/>
      <c r="FHY27" s="78"/>
      <c r="FIC27" s="78"/>
      <c r="FIG27" s="78"/>
      <c r="FIK27" s="78"/>
      <c r="FIO27" s="78"/>
      <c r="FIS27" s="78"/>
      <c r="FIW27" s="78"/>
      <c r="FJA27" s="78"/>
      <c r="FJE27" s="78"/>
      <c r="FJI27" s="78"/>
      <c r="FJM27" s="78"/>
      <c r="FJQ27" s="78"/>
      <c r="FJU27" s="78"/>
      <c r="FJY27" s="78"/>
      <c r="FKC27" s="78"/>
      <c r="FKG27" s="78"/>
      <c r="FKK27" s="78"/>
      <c r="FKO27" s="78"/>
      <c r="FKS27" s="78"/>
      <c r="FKW27" s="78"/>
      <c r="FLA27" s="78"/>
      <c r="FLE27" s="78"/>
      <c r="FLI27" s="78"/>
      <c r="FLM27" s="78"/>
      <c r="FLQ27" s="78"/>
      <c r="FLU27" s="78"/>
      <c r="FLY27" s="78"/>
      <c r="FMC27" s="78"/>
      <c r="FMG27" s="78"/>
      <c r="FMK27" s="78"/>
      <c r="FMO27" s="78"/>
      <c r="FMS27" s="78"/>
      <c r="FMW27" s="78"/>
      <c r="FNA27" s="78"/>
      <c r="FNE27" s="78"/>
      <c r="FNI27" s="78"/>
      <c r="FNM27" s="78"/>
      <c r="FNQ27" s="78"/>
      <c r="FNU27" s="78"/>
      <c r="FNY27" s="78"/>
      <c r="FOC27" s="78"/>
      <c r="FOG27" s="78"/>
      <c r="FOK27" s="78"/>
      <c r="FOO27" s="78"/>
      <c r="FOS27" s="78"/>
      <c r="FOW27" s="78"/>
      <c r="FPA27" s="78"/>
      <c r="FPE27" s="78"/>
      <c r="FPI27" s="78"/>
      <c r="FPM27" s="78"/>
      <c r="FPQ27" s="78"/>
      <c r="FPU27" s="78"/>
      <c r="FPY27" s="78"/>
      <c r="FQC27" s="78"/>
      <c r="FQG27" s="78"/>
      <c r="FQK27" s="78"/>
      <c r="FQO27" s="78"/>
      <c r="FQS27" s="78"/>
      <c r="FQW27" s="78"/>
      <c r="FRA27" s="78"/>
      <c r="FRE27" s="78"/>
      <c r="FRI27" s="78"/>
      <c r="FRM27" s="78"/>
      <c r="FRQ27" s="78"/>
      <c r="FRU27" s="78"/>
      <c r="FRY27" s="78"/>
      <c r="FSC27" s="78"/>
      <c r="FSG27" s="78"/>
      <c r="FSK27" s="78"/>
      <c r="FSO27" s="78"/>
      <c r="FSS27" s="78"/>
      <c r="FSW27" s="78"/>
      <c r="FTA27" s="78"/>
      <c r="FTE27" s="78"/>
      <c r="FTI27" s="78"/>
      <c r="FTM27" s="78"/>
      <c r="FTQ27" s="78"/>
      <c r="FTU27" s="78"/>
      <c r="FTY27" s="78"/>
      <c r="FUC27" s="78"/>
      <c r="FUG27" s="78"/>
      <c r="FUK27" s="78"/>
      <c r="FUO27" s="78"/>
      <c r="FUS27" s="78"/>
      <c r="FUW27" s="78"/>
      <c r="FVA27" s="78"/>
      <c r="FVE27" s="78"/>
      <c r="FVI27" s="78"/>
      <c r="FVM27" s="78"/>
      <c r="FVQ27" s="78"/>
      <c r="FVU27" s="78"/>
      <c r="FVY27" s="78"/>
      <c r="FWC27" s="78"/>
      <c r="FWG27" s="78"/>
      <c r="FWK27" s="78"/>
      <c r="FWO27" s="78"/>
      <c r="FWS27" s="78"/>
      <c r="FWW27" s="78"/>
      <c r="FXA27" s="78"/>
      <c r="FXE27" s="78"/>
      <c r="FXI27" s="78"/>
      <c r="FXM27" s="78"/>
      <c r="FXQ27" s="78"/>
      <c r="FXU27" s="78"/>
      <c r="FXY27" s="78"/>
      <c r="FYC27" s="78"/>
      <c r="FYG27" s="78"/>
      <c r="FYK27" s="78"/>
      <c r="FYO27" s="78"/>
      <c r="FYS27" s="78"/>
      <c r="FYW27" s="78"/>
      <c r="FZA27" s="78"/>
      <c r="FZE27" s="78"/>
      <c r="FZI27" s="78"/>
      <c r="FZM27" s="78"/>
      <c r="FZQ27" s="78"/>
      <c r="FZU27" s="78"/>
      <c r="FZY27" s="78"/>
      <c r="GAC27" s="78"/>
      <c r="GAG27" s="78"/>
      <c r="GAK27" s="78"/>
      <c r="GAO27" s="78"/>
      <c r="GAS27" s="78"/>
      <c r="GAW27" s="78"/>
      <c r="GBA27" s="78"/>
      <c r="GBE27" s="78"/>
      <c r="GBI27" s="78"/>
      <c r="GBM27" s="78"/>
      <c r="GBQ27" s="78"/>
      <c r="GBU27" s="78"/>
      <c r="GBY27" s="78"/>
      <c r="GCC27" s="78"/>
      <c r="GCG27" s="78"/>
      <c r="GCK27" s="78"/>
      <c r="GCO27" s="78"/>
      <c r="GCS27" s="78"/>
      <c r="GCW27" s="78"/>
      <c r="GDA27" s="78"/>
      <c r="GDE27" s="78"/>
      <c r="GDI27" s="78"/>
      <c r="GDM27" s="78"/>
      <c r="GDQ27" s="78"/>
      <c r="GDU27" s="78"/>
      <c r="GDY27" s="78"/>
      <c r="GEC27" s="78"/>
      <c r="GEG27" s="78"/>
      <c r="GEK27" s="78"/>
      <c r="GEO27" s="78"/>
      <c r="GES27" s="78"/>
      <c r="GEW27" s="78"/>
      <c r="GFA27" s="78"/>
      <c r="GFE27" s="78"/>
      <c r="GFI27" s="78"/>
      <c r="GFM27" s="78"/>
      <c r="GFQ27" s="78"/>
      <c r="GFU27" s="78"/>
      <c r="GFY27" s="78"/>
      <c r="GGC27" s="78"/>
      <c r="GGG27" s="78"/>
      <c r="GGK27" s="78"/>
      <c r="GGO27" s="78"/>
      <c r="GGS27" s="78"/>
      <c r="GGW27" s="78"/>
      <c r="GHA27" s="78"/>
      <c r="GHE27" s="78"/>
      <c r="GHI27" s="78"/>
      <c r="GHM27" s="78"/>
      <c r="GHQ27" s="78"/>
      <c r="GHU27" s="78"/>
      <c r="GHY27" s="78"/>
      <c r="GIC27" s="78"/>
      <c r="GIG27" s="78"/>
      <c r="GIK27" s="78"/>
      <c r="GIO27" s="78"/>
      <c r="GIS27" s="78"/>
      <c r="GIW27" s="78"/>
      <c r="GJA27" s="78"/>
      <c r="GJE27" s="78"/>
      <c r="GJI27" s="78"/>
      <c r="GJM27" s="78"/>
      <c r="GJQ27" s="78"/>
      <c r="GJU27" s="78"/>
      <c r="GJY27" s="78"/>
      <c r="GKC27" s="78"/>
      <c r="GKG27" s="78"/>
      <c r="GKK27" s="78"/>
      <c r="GKO27" s="78"/>
      <c r="GKS27" s="78"/>
      <c r="GKW27" s="78"/>
      <c r="GLA27" s="78"/>
      <c r="GLE27" s="78"/>
      <c r="GLI27" s="78"/>
      <c r="GLM27" s="78"/>
      <c r="GLQ27" s="78"/>
      <c r="GLU27" s="78"/>
      <c r="GLY27" s="78"/>
      <c r="GMC27" s="78"/>
      <c r="GMG27" s="78"/>
      <c r="GMK27" s="78"/>
      <c r="GMO27" s="78"/>
      <c r="GMS27" s="78"/>
      <c r="GMW27" s="78"/>
      <c r="GNA27" s="78"/>
      <c r="GNE27" s="78"/>
      <c r="GNI27" s="78"/>
      <c r="GNM27" s="78"/>
      <c r="GNQ27" s="78"/>
      <c r="GNU27" s="78"/>
      <c r="GNY27" s="78"/>
      <c r="GOC27" s="78"/>
      <c r="GOG27" s="78"/>
      <c r="GOK27" s="78"/>
      <c r="GOO27" s="78"/>
      <c r="GOS27" s="78"/>
      <c r="GOW27" s="78"/>
      <c r="GPA27" s="78"/>
      <c r="GPE27" s="78"/>
      <c r="GPI27" s="78"/>
      <c r="GPM27" s="78"/>
      <c r="GPQ27" s="78"/>
      <c r="GPU27" s="78"/>
      <c r="GPY27" s="78"/>
      <c r="GQC27" s="78"/>
      <c r="GQG27" s="78"/>
      <c r="GQK27" s="78"/>
      <c r="GQO27" s="78"/>
      <c r="GQS27" s="78"/>
      <c r="GQW27" s="78"/>
      <c r="GRA27" s="78"/>
      <c r="GRE27" s="78"/>
      <c r="GRI27" s="78"/>
      <c r="GRM27" s="78"/>
      <c r="GRQ27" s="78"/>
      <c r="GRU27" s="78"/>
      <c r="GRY27" s="78"/>
      <c r="GSC27" s="78"/>
      <c r="GSG27" s="78"/>
      <c r="GSK27" s="78"/>
      <c r="GSO27" s="78"/>
      <c r="GSS27" s="78"/>
      <c r="GSW27" s="78"/>
      <c r="GTA27" s="78"/>
      <c r="GTE27" s="78"/>
      <c r="GTI27" s="78"/>
      <c r="GTM27" s="78"/>
      <c r="GTQ27" s="78"/>
      <c r="GTU27" s="78"/>
      <c r="GTY27" s="78"/>
      <c r="GUC27" s="78"/>
      <c r="GUG27" s="78"/>
      <c r="GUK27" s="78"/>
      <c r="GUO27" s="78"/>
      <c r="GUS27" s="78"/>
      <c r="GUW27" s="78"/>
      <c r="GVA27" s="78"/>
      <c r="GVE27" s="78"/>
      <c r="GVI27" s="78"/>
      <c r="GVM27" s="78"/>
      <c r="GVQ27" s="78"/>
      <c r="GVU27" s="78"/>
      <c r="GVY27" s="78"/>
      <c r="GWC27" s="78"/>
      <c r="GWG27" s="78"/>
      <c r="GWK27" s="78"/>
      <c r="GWO27" s="78"/>
      <c r="GWS27" s="78"/>
      <c r="GWW27" s="78"/>
      <c r="GXA27" s="78"/>
      <c r="GXE27" s="78"/>
      <c r="GXI27" s="78"/>
      <c r="GXM27" s="78"/>
      <c r="GXQ27" s="78"/>
      <c r="GXU27" s="78"/>
      <c r="GXY27" s="78"/>
      <c r="GYC27" s="78"/>
      <c r="GYG27" s="78"/>
      <c r="GYK27" s="78"/>
      <c r="GYO27" s="78"/>
      <c r="GYS27" s="78"/>
      <c r="GYW27" s="78"/>
      <c r="GZA27" s="78"/>
      <c r="GZE27" s="78"/>
      <c r="GZI27" s="78"/>
      <c r="GZM27" s="78"/>
      <c r="GZQ27" s="78"/>
      <c r="GZU27" s="78"/>
      <c r="GZY27" s="78"/>
      <c r="HAC27" s="78"/>
      <c r="HAG27" s="78"/>
      <c r="HAK27" s="78"/>
      <c r="HAO27" s="78"/>
      <c r="HAS27" s="78"/>
      <c r="HAW27" s="78"/>
      <c r="HBA27" s="78"/>
      <c r="HBE27" s="78"/>
      <c r="HBI27" s="78"/>
      <c r="HBM27" s="78"/>
      <c r="HBQ27" s="78"/>
      <c r="HBU27" s="78"/>
      <c r="HBY27" s="78"/>
      <c r="HCC27" s="78"/>
      <c r="HCG27" s="78"/>
      <c r="HCK27" s="78"/>
      <c r="HCO27" s="78"/>
      <c r="HCS27" s="78"/>
      <c r="HCW27" s="78"/>
      <c r="HDA27" s="78"/>
      <c r="HDE27" s="78"/>
      <c r="HDI27" s="78"/>
      <c r="HDM27" s="78"/>
      <c r="HDQ27" s="78"/>
      <c r="HDU27" s="78"/>
      <c r="HDY27" s="78"/>
      <c r="HEC27" s="78"/>
      <c r="HEG27" s="78"/>
      <c r="HEK27" s="78"/>
      <c r="HEO27" s="78"/>
      <c r="HES27" s="78"/>
      <c r="HEW27" s="78"/>
      <c r="HFA27" s="78"/>
      <c r="HFE27" s="78"/>
      <c r="HFI27" s="78"/>
      <c r="HFM27" s="78"/>
      <c r="HFQ27" s="78"/>
      <c r="HFU27" s="78"/>
      <c r="HFY27" s="78"/>
      <c r="HGC27" s="78"/>
      <c r="HGG27" s="78"/>
      <c r="HGK27" s="78"/>
      <c r="HGO27" s="78"/>
      <c r="HGS27" s="78"/>
      <c r="HGW27" s="78"/>
      <c r="HHA27" s="78"/>
      <c r="HHE27" s="78"/>
      <c r="HHI27" s="78"/>
      <c r="HHM27" s="78"/>
      <c r="HHQ27" s="78"/>
      <c r="HHU27" s="78"/>
      <c r="HHY27" s="78"/>
      <c r="HIC27" s="78"/>
      <c r="HIG27" s="78"/>
      <c r="HIK27" s="78"/>
      <c r="HIO27" s="78"/>
      <c r="HIS27" s="78"/>
      <c r="HIW27" s="78"/>
      <c r="HJA27" s="78"/>
      <c r="HJE27" s="78"/>
      <c r="HJI27" s="78"/>
      <c r="HJM27" s="78"/>
      <c r="HJQ27" s="78"/>
      <c r="HJU27" s="78"/>
      <c r="HJY27" s="78"/>
      <c r="HKC27" s="78"/>
      <c r="HKG27" s="78"/>
      <c r="HKK27" s="78"/>
      <c r="HKO27" s="78"/>
      <c r="HKS27" s="78"/>
      <c r="HKW27" s="78"/>
      <c r="HLA27" s="78"/>
      <c r="HLE27" s="78"/>
      <c r="HLI27" s="78"/>
      <c r="HLM27" s="78"/>
      <c r="HLQ27" s="78"/>
      <c r="HLU27" s="78"/>
      <c r="HLY27" s="78"/>
      <c r="HMC27" s="78"/>
      <c r="HMG27" s="78"/>
      <c r="HMK27" s="78"/>
      <c r="HMO27" s="78"/>
      <c r="HMS27" s="78"/>
      <c r="HMW27" s="78"/>
      <c r="HNA27" s="78"/>
      <c r="HNE27" s="78"/>
      <c r="HNI27" s="78"/>
      <c r="HNM27" s="78"/>
      <c r="HNQ27" s="78"/>
      <c r="HNU27" s="78"/>
      <c r="HNY27" s="78"/>
      <c r="HOC27" s="78"/>
      <c r="HOG27" s="78"/>
      <c r="HOK27" s="78"/>
      <c r="HOO27" s="78"/>
      <c r="HOS27" s="78"/>
      <c r="HOW27" s="78"/>
      <c r="HPA27" s="78"/>
      <c r="HPE27" s="78"/>
      <c r="HPI27" s="78"/>
      <c r="HPM27" s="78"/>
      <c r="HPQ27" s="78"/>
      <c r="HPU27" s="78"/>
      <c r="HPY27" s="78"/>
      <c r="HQC27" s="78"/>
      <c r="HQG27" s="78"/>
      <c r="HQK27" s="78"/>
      <c r="HQO27" s="78"/>
      <c r="HQS27" s="78"/>
      <c r="HQW27" s="78"/>
      <c r="HRA27" s="78"/>
      <c r="HRE27" s="78"/>
      <c r="HRI27" s="78"/>
      <c r="HRM27" s="78"/>
      <c r="HRQ27" s="78"/>
      <c r="HRU27" s="78"/>
      <c r="HRY27" s="78"/>
      <c r="HSC27" s="78"/>
      <c r="HSG27" s="78"/>
      <c r="HSK27" s="78"/>
      <c r="HSO27" s="78"/>
      <c r="HSS27" s="78"/>
      <c r="HSW27" s="78"/>
      <c r="HTA27" s="78"/>
      <c r="HTE27" s="78"/>
      <c r="HTI27" s="78"/>
      <c r="HTM27" s="78"/>
      <c r="HTQ27" s="78"/>
      <c r="HTU27" s="78"/>
      <c r="HTY27" s="78"/>
      <c r="HUC27" s="78"/>
      <c r="HUG27" s="78"/>
      <c r="HUK27" s="78"/>
      <c r="HUO27" s="78"/>
      <c r="HUS27" s="78"/>
      <c r="HUW27" s="78"/>
      <c r="HVA27" s="78"/>
      <c r="HVE27" s="78"/>
      <c r="HVI27" s="78"/>
      <c r="HVM27" s="78"/>
      <c r="HVQ27" s="78"/>
      <c r="HVU27" s="78"/>
      <c r="HVY27" s="78"/>
      <c r="HWC27" s="78"/>
      <c r="HWG27" s="78"/>
      <c r="HWK27" s="78"/>
      <c r="HWO27" s="78"/>
      <c r="HWS27" s="78"/>
      <c r="HWW27" s="78"/>
      <c r="HXA27" s="78"/>
      <c r="HXE27" s="78"/>
      <c r="HXI27" s="78"/>
      <c r="HXM27" s="78"/>
      <c r="HXQ27" s="78"/>
      <c r="HXU27" s="78"/>
      <c r="HXY27" s="78"/>
      <c r="HYC27" s="78"/>
      <c r="HYG27" s="78"/>
      <c r="HYK27" s="78"/>
      <c r="HYO27" s="78"/>
      <c r="HYS27" s="78"/>
      <c r="HYW27" s="78"/>
      <c r="HZA27" s="78"/>
      <c r="HZE27" s="78"/>
      <c r="HZI27" s="78"/>
      <c r="HZM27" s="78"/>
      <c r="HZQ27" s="78"/>
      <c r="HZU27" s="78"/>
      <c r="HZY27" s="78"/>
      <c r="IAC27" s="78"/>
      <c r="IAG27" s="78"/>
      <c r="IAK27" s="78"/>
      <c r="IAO27" s="78"/>
      <c r="IAS27" s="78"/>
      <c r="IAW27" s="78"/>
      <c r="IBA27" s="78"/>
      <c r="IBE27" s="78"/>
      <c r="IBI27" s="78"/>
      <c r="IBM27" s="78"/>
      <c r="IBQ27" s="78"/>
      <c r="IBU27" s="78"/>
      <c r="IBY27" s="78"/>
      <c r="ICC27" s="78"/>
      <c r="ICG27" s="78"/>
      <c r="ICK27" s="78"/>
      <c r="ICO27" s="78"/>
      <c r="ICS27" s="78"/>
      <c r="ICW27" s="78"/>
      <c r="IDA27" s="78"/>
      <c r="IDE27" s="78"/>
      <c r="IDI27" s="78"/>
      <c r="IDM27" s="78"/>
      <c r="IDQ27" s="78"/>
      <c r="IDU27" s="78"/>
      <c r="IDY27" s="78"/>
      <c r="IEC27" s="78"/>
      <c r="IEG27" s="78"/>
      <c r="IEK27" s="78"/>
      <c r="IEO27" s="78"/>
      <c r="IES27" s="78"/>
      <c r="IEW27" s="78"/>
      <c r="IFA27" s="78"/>
      <c r="IFE27" s="78"/>
      <c r="IFI27" s="78"/>
      <c r="IFM27" s="78"/>
      <c r="IFQ27" s="78"/>
      <c r="IFU27" s="78"/>
      <c r="IFY27" s="78"/>
      <c r="IGC27" s="78"/>
      <c r="IGG27" s="78"/>
      <c r="IGK27" s="78"/>
      <c r="IGO27" s="78"/>
      <c r="IGS27" s="78"/>
      <c r="IGW27" s="78"/>
      <c r="IHA27" s="78"/>
      <c r="IHE27" s="78"/>
      <c r="IHI27" s="78"/>
      <c r="IHM27" s="78"/>
      <c r="IHQ27" s="78"/>
      <c r="IHU27" s="78"/>
      <c r="IHY27" s="78"/>
      <c r="IIC27" s="78"/>
      <c r="IIG27" s="78"/>
      <c r="IIK27" s="78"/>
      <c r="IIO27" s="78"/>
      <c r="IIS27" s="78"/>
      <c r="IIW27" s="78"/>
      <c r="IJA27" s="78"/>
      <c r="IJE27" s="78"/>
      <c r="IJI27" s="78"/>
      <c r="IJM27" s="78"/>
      <c r="IJQ27" s="78"/>
      <c r="IJU27" s="78"/>
      <c r="IJY27" s="78"/>
      <c r="IKC27" s="78"/>
      <c r="IKG27" s="78"/>
      <c r="IKK27" s="78"/>
      <c r="IKO27" s="78"/>
      <c r="IKS27" s="78"/>
      <c r="IKW27" s="78"/>
      <c r="ILA27" s="78"/>
      <c r="ILE27" s="78"/>
      <c r="ILI27" s="78"/>
      <c r="ILM27" s="78"/>
      <c r="ILQ27" s="78"/>
      <c r="ILU27" s="78"/>
      <c r="ILY27" s="78"/>
      <c r="IMC27" s="78"/>
      <c r="IMG27" s="78"/>
      <c r="IMK27" s="78"/>
      <c r="IMO27" s="78"/>
      <c r="IMS27" s="78"/>
      <c r="IMW27" s="78"/>
      <c r="INA27" s="78"/>
      <c r="INE27" s="78"/>
      <c r="INI27" s="78"/>
      <c r="INM27" s="78"/>
      <c r="INQ27" s="78"/>
      <c r="INU27" s="78"/>
      <c r="INY27" s="78"/>
      <c r="IOC27" s="78"/>
      <c r="IOG27" s="78"/>
      <c r="IOK27" s="78"/>
      <c r="IOO27" s="78"/>
      <c r="IOS27" s="78"/>
      <c r="IOW27" s="78"/>
      <c r="IPA27" s="78"/>
      <c r="IPE27" s="78"/>
      <c r="IPI27" s="78"/>
      <c r="IPM27" s="78"/>
      <c r="IPQ27" s="78"/>
      <c r="IPU27" s="78"/>
      <c r="IPY27" s="78"/>
      <c r="IQC27" s="78"/>
      <c r="IQG27" s="78"/>
      <c r="IQK27" s="78"/>
      <c r="IQO27" s="78"/>
      <c r="IQS27" s="78"/>
      <c r="IQW27" s="78"/>
      <c r="IRA27" s="78"/>
      <c r="IRE27" s="78"/>
      <c r="IRI27" s="78"/>
      <c r="IRM27" s="78"/>
      <c r="IRQ27" s="78"/>
      <c r="IRU27" s="78"/>
      <c r="IRY27" s="78"/>
      <c r="ISC27" s="78"/>
      <c r="ISG27" s="78"/>
      <c r="ISK27" s="78"/>
      <c r="ISO27" s="78"/>
      <c r="ISS27" s="78"/>
      <c r="ISW27" s="78"/>
      <c r="ITA27" s="78"/>
      <c r="ITE27" s="78"/>
      <c r="ITI27" s="78"/>
      <c r="ITM27" s="78"/>
      <c r="ITQ27" s="78"/>
      <c r="ITU27" s="78"/>
      <c r="ITY27" s="78"/>
      <c r="IUC27" s="78"/>
      <c r="IUG27" s="78"/>
      <c r="IUK27" s="78"/>
      <c r="IUO27" s="78"/>
      <c r="IUS27" s="78"/>
      <c r="IUW27" s="78"/>
      <c r="IVA27" s="78"/>
      <c r="IVE27" s="78"/>
      <c r="IVI27" s="78"/>
      <c r="IVM27" s="78"/>
      <c r="IVQ27" s="78"/>
      <c r="IVU27" s="78"/>
      <c r="IVY27" s="78"/>
      <c r="IWC27" s="78"/>
      <c r="IWG27" s="78"/>
      <c r="IWK27" s="78"/>
      <c r="IWO27" s="78"/>
      <c r="IWS27" s="78"/>
      <c r="IWW27" s="78"/>
      <c r="IXA27" s="78"/>
      <c r="IXE27" s="78"/>
      <c r="IXI27" s="78"/>
      <c r="IXM27" s="78"/>
      <c r="IXQ27" s="78"/>
      <c r="IXU27" s="78"/>
      <c r="IXY27" s="78"/>
      <c r="IYC27" s="78"/>
      <c r="IYG27" s="78"/>
      <c r="IYK27" s="78"/>
      <c r="IYO27" s="78"/>
      <c r="IYS27" s="78"/>
      <c r="IYW27" s="78"/>
      <c r="IZA27" s="78"/>
      <c r="IZE27" s="78"/>
      <c r="IZI27" s="78"/>
      <c r="IZM27" s="78"/>
      <c r="IZQ27" s="78"/>
      <c r="IZU27" s="78"/>
      <c r="IZY27" s="78"/>
      <c r="JAC27" s="78"/>
      <c r="JAG27" s="78"/>
      <c r="JAK27" s="78"/>
      <c r="JAO27" s="78"/>
      <c r="JAS27" s="78"/>
      <c r="JAW27" s="78"/>
      <c r="JBA27" s="78"/>
      <c r="JBE27" s="78"/>
      <c r="JBI27" s="78"/>
      <c r="JBM27" s="78"/>
      <c r="JBQ27" s="78"/>
      <c r="JBU27" s="78"/>
      <c r="JBY27" s="78"/>
      <c r="JCC27" s="78"/>
      <c r="JCG27" s="78"/>
      <c r="JCK27" s="78"/>
      <c r="JCO27" s="78"/>
      <c r="JCS27" s="78"/>
      <c r="JCW27" s="78"/>
      <c r="JDA27" s="78"/>
      <c r="JDE27" s="78"/>
      <c r="JDI27" s="78"/>
      <c r="JDM27" s="78"/>
      <c r="JDQ27" s="78"/>
      <c r="JDU27" s="78"/>
      <c r="JDY27" s="78"/>
      <c r="JEC27" s="78"/>
      <c r="JEG27" s="78"/>
      <c r="JEK27" s="78"/>
      <c r="JEO27" s="78"/>
      <c r="JES27" s="78"/>
      <c r="JEW27" s="78"/>
      <c r="JFA27" s="78"/>
      <c r="JFE27" s="78"/>
      <c r="JFI27" s="78"/>
      <c r="JFM27" s="78"/>
      <c r="JFQ27" s="78"/>
      <c r="JFU27" s="78"/>
      <c r="JFY27" s="78"/>
      <c r="JGC27" s="78"/>
      <c r="JGG27" s="78"/>
      <c r="JGK27" s="78"/>
      <c r="JGO27" s="78"/>
      <c r="JGS27" s="78"/>
      <c r="JGW27" s="78"/>
      <c r="JHA27" s="78"/>
      <c r="JHE27" s="78"/>
      <c r="JHI27" s="78"/>
      <c r="JHM27" s="78"/>
      <c r="JHQ27" s="78"/>
      <c r="JHU27" s="78"/>
      <c r="JHY27" s="78"/>
      <c r="JIC27" s="78"/>
      <c r="JIG27" s="78"/>
      <c r="JIK27" s="78"/>
      <c r="JIO27" s="78"/>
      <c r="JIS27" s="78"/>
      <c r="JIW27" s="78"/>
      <c r="JJA27" s="78"/>
      <c r="JJE27" s="78"/>
      <c r="JJI27" s="78"/>
      <c r="JJM27" s="78"/>
      <c r="JJQ27" s="78"/>
      <c r="JJU27" s="78"/>
      <c r="JJY27" s="78"/>
      <c r="JKC27" s="78"/>
      <c r="JKG27" s="78"/>
      <c r="JKK27" s="78"/>
      <c r="JKO27" s="78"/>
      <c r="JKS27" s="78"/>
      <c r="JKW27" s="78"/>
      <c r="JLA27" s="78"/>
      <c r="JLE27" s="78"/>
      <c r="JLI27" s="78"/>
      <c r="JLM27" s="78"/>
      <c r="JLQ27" s="78"/>
      <c r="JLU27" s="78"/>
      <c r="JLY27" s="78"/>
      <c r="JMC27" s="78"/>
      <c r="JMG27" s="78"/>
      <c r="JMK27" s="78"/>
      <c r="JMO27" s="78"/>
      <c r="JMS27" s="78"/>
      <c r="JMW27" s="78"/>
      <c r="JNA27" s="78"/>
      <c r="JNE27" s="78"/>
      <c r="JNI27" s="78"/>
      <c r="JNM27" s="78"/>
      <c r="JNQ27" s="78"/>
      <c r="JNU27" s="78"/>
      <c r="JNY27" s="78"/>
      <c r="JOC27" s="78"/>
      <c r="JOG27" s="78"/>
      <c r="JOK27" s="78"/>
      <c r="JOO27" s="78"/>
      <c r="JOS27" s="78"/>
      <c r="JOW27" s="78"/>
      <c r="JPA27" s="78"/>
      <c r="JPE27" s="78"/>
      <c r="JPI27" s="78"/>
      <c r="JPM27" s="78"/>
      <c r="JPQ27" s="78"/>
      <c r="JPU27" s="78"/>
      <c r="JPY27" s="78"/>
      <c r="JQC27" s="78"/>
      <c r="JQG27" s="78"/>
      <c r="JQK27" s="78"/>
      <c r="JQO27" s="78"/>
      <c r="JQS27" s="78"/>
      <c r="JQW27" s="78"/>
      <c r="JRA27" s="78"/>
      <c r="JRE27" s="78"/>
      <c r="JRI27" s="78"/>
      <c r="JRM27" s="78"/>
      <c r="JRQ27" s="78"/>
      <c r="JRU27" s="78"/>
      <c r="JRY27" s="78"/>
      <c r="JSC27" s="78"/>
      <c r="JSG27" s="78"/>
      <c r="JSK27" s="78"/>
      <c r="JSO27" s="78"/>
      <c r="JSS27" s="78"/>
      <c r="JSW27" s="78"/>
      <c r="JTA27" s="78"/>
      <c r="JTE27" s="78"/>
      <c r="JTI27" s="78"/>
      <c r="JTM27" s="78"/>
      <c r="JTQ27" s="78"/>
      <c r="JTU27" s="78"/>
      <c r="JTY27" s="78"/>
      <c r="JUC27" s="78"/>
      <c r="JUG27" s="78"/>
      <c r="JUK27" s="78"/>
      <c r="JUO27" s="78"/>
      <c r="JUS27" s="78"/>
      <c r="JUW27" s="78"/>
      <c r="JVA27" s="78"/>
      <c r="JVE27" s="78"/>
      <c r="JVI27" s="78"/>
      <c r="JVM27" s="78"/>
      <c r="JVQ27" s="78"/>
      <c r="JVU27" s="78"/>
      <c r="JVY27" s="78"/>
      <c r="JWC27" s="78"/>
      <c r="JWG27" s="78"/>
      <c r="JWK27" s="78"/>
      <c r="JWO27" s="78"/>
      <c r="JWS27" s="78"/>
      <c r="JWW27" s="78"/>
      <c r="JXA27" s="78"/>
      <c r="JXE27" s="78"/>
      <c r="JXI27" s="78"/>
      <c r="JXM27" s="78"/>
      <c r="JXQ27" s="78"/>
      <c r="JXU27" s="78"/>
      <c r="JXY27" s="78"/>
      <c r="JYC27" s="78"/>
      <c r="JYG27" s="78"/>
      <c r="JYK27" s="78"/>
      <c r="JYO27" s="78"/>
      <c r="JYS27" s="78"/>
      <c r="JYW27" s="78"/>
      <c r="JZA27" s="78"/>
      <c r="JZE27" s="78"/>
      <c r="JZI27" s="78"/>
      <c r="JZM27" s="78"/>
      <c r="JZQ27" s="78"/>
      <c r="JZU27" s="78"/>
      <c r="JZY27" s="78"/>
      <c r="KAC27" s="78"/>
      <c r="KAG27" s="78"/>
      <c r="KAK27" s="78"/>
      <c r="KAO27" s="78"/>
      <c r="KAS27" s="78"/>
      <c r="KAW27" s="78"/>
      <c r="KBA27" s="78"/>
      <c r="KBE27" s="78"/>
      <c r="KBI27" s="78"/>
      <c r="KBM27" s="78"/>
      <c r="KBQ27" s="78"/>
      <c r="KBU27" s="78"/>
      <c r="KBY27" s="78"/>
      <c r="KCC27" s="78"/>
      <c r="KCG27" s="78"/>
      <c r="KCK27" s="78"/>
      <c r="KCO27" s="78"/>
      <c r="KCS27" s="78"/>
      <c r="KCW27" s="78"/>
      <c r="KDA27" s="78"/>
      <c r="KDE27" s="78"/>
      <c r="KDI27" s="78"/>
      <c r="KDM27" s="78"/>
      <c r="KDQ27" s="78"/>
      <c r="KDU27" s="78"/>
      <c r="KDY27" s="78"/>
      <c r="KEC27" s="78"/>
      <c r="KEG27" s="78"/>
      <c r="KEK27" s="78"/>
      <c r="KEO27" s="78"/>
      <c r="KES27" s="78"/>
      <c r="KEW27" s="78"/>
      <c r="KFA27" s="78"/>
      <c r="KFE27" s="78"/>
      <c r="KFI27" s="78"/>
      <c r="KFM27" s="78"/>
      <c r="KFQ27" s="78"/>
      <c r="KFU27" s="78"/>
      <c r="KFY27" s="78"/>
      <c r="KGC27" s="78"/>
      <c r="KGG27" s="78"/>
      <c r="KGK27" s="78"/>
      <c r="KGO27" s="78"/>
      <c r="KGS27" s="78"/>
      <c r="KGW27" s="78"/>
      <c r="KHA27" s="78"/>
      <c r="KHE27" s="78"/>
      <c r="KHI27" s="78"/>
      <c r="KHM27" s="78"/>
      <c r="KHQ27" s="78"/>
      <c r="KHU27" s="78"/>
      <c r="KHY27" s="78"/>
      <c r="KIC27" s="78"/>
      <c r="KIG27" s="78"/>
      <c r="KIK27" s="78"/>
      <c r="KIO27" s="78"/>
      <c r="KIS27" s="78"/>
      <c r="KIW27" s="78"/>
      <c r="KJA27" s="78"/>
      <c r="KJE27" s="78"/>
      <c r="KJI27" s="78"/>
      <c r="KJM27" s="78"/>
      <c r="KJQ27" s="78"/>
      <c r="KJU27" s="78"/>
      <c r="KJY27" s="78"/>
      <c r="KKC27" s="78"/>
      <c r="KKG27" s="78"/>
      <c r="KKK27" s="78"/>
      <c r="KKO27" s="78"/>
      <c r="KKS27" s="78"/>
      <c r="KKW27" s="78"/>
      <c r="KLA27" s="78"/>
      <c r="KLE27" s="78"/>
      <c r="KLI27" s="78"/>
      <c r="KLM27" s="78"/>
      <c r="KLQ27" s="78"/>
      <c r="KLU27" s="78"/>
      <c r="KLY27" s="78"/>
      <c r="KMC27" s="78"/>
      <c r="KMG27" s="78"/>
      <c r="KMK27" s="78"/>
      <c r="KMO27" s="78"/>
      <c r="KMS27" s="78"/>
      <c r="KMW27" s="78"/>
      <c r="KNA27" s="78"/>
      <c r="KNE27" s="78"/>
      <c r="KNI27" s="78"/>
      <c r="KNM27" s="78"/>
      <c r="KNQ27" s="78"/>
      <c r="KNU27" s="78"/>
      <c r="KNY27" s="78"/>
      <c r="KOC27" s="78"/>
      <c r="KOG27" s="78"/>
      <c r="KOK27" s="78"/>
      <c r="KOO27" s="78"/>
      <c r="KOS27" s="78"/>
      <c r="KOW27" s="78"/>
      <c r="KPA27" s="78"/>
      <c r="KPE27" s="78"/>
      <c r="KPI27" s="78"/>
      <c r="KPM27" s="78"/>
      <c r="KPQ27" s="78"/>
      <c r="KPU27" s="78"/>
      <c r="KPY27" s="78"/>
      <c r="KQC27" s="78"/>
      <c r="KQG27" s="78"/>
      <c r="KQK27" s="78"/>
      <c r="KQO27" s="78"/>
      <c r="KQS27" s="78"/>
      <c r="KQW27" s="78"/>
      <c r="KRA27" s="78"/>
      <c r="KRE27" s="78"/>
      <c r="KRI27" s="78"/>
      <c r="KRM27" s="78"/>
      <c r="KRQ27" s="78"/>
      <c r="KRU27" s="78"/>
      <c r="KRY27" s="78"/>
      <c r="KSC27" s="78"/>
      <c r="KSG27" s="78"/>
      <c r="KSK27" s="78"/>
      <c r="KSO27" s="78"/>
      <c r="KSS27" s="78"/>
      <c r="KSW27" s="78"/>
      <c r="KTA27" s="78"/>
      <c r="KTE27" s="78"/>
      <c r="KTI27" s="78"/>
      <c r="KTM27" s="78"/>
      <c r="KTQ27" s="78"/>
      <c r="KTU27" s="78"/>
      <c r="KTY27" s="78"/>
      <c r="KUC27" s="78"/>
      <c r="KUG27" s="78"/>
      <c r="KUK27" s="78"/>
      <c r="KUO27" s="78"/>
      <c r="KUS27" s="78"/>
      <c r="KUW27" s="78"/>
      <c r="KVA27" s="78"/>
      <c r="KVE27" s="78"/>
      <c r="KVI27" s="78"/>
      <c r="KVM27" s="78"/>
      <c r="KVQ27" s="78"/>
      <c r="KVU27" s="78"/>
      <c r="KVY27" s="78"/>
      <c r="KWC27" s="78"/>
      <c r="KWG27" s="78"/>
      <c r="KWK27" s="78"/>
      <c r="KWO27" s="78"/>
      <c r="KWS27" s="78"/>
      <c r="KWW27" s="78"/>
      <c r="KXA27" s="78"/>
      <c r="KXE27" s="78"/>
      <c r="KXI27" s="78"/>
      <c r="KXM27" s="78"/>
      <c r="KXQ27" s="78"/>
      <c r="KXU27" s="78"/>
      <c r="KXY27" s="78"/>
      <c r="KYC27" s="78"/>
      <c r="KYG27" s="78"/>
      <c r="KYK27" s="78"/>
      <c r="KYO27" s="78"/>
      <c r="KYS27" s="78"/>
      <c r="KYW27" s="78"/>
      <c r="KZA27" s="78"/>
      <c r="KZE27" s="78"/>
      <c r="KZI27" s="78"/>
      <c r="KZM27" s="78"/>
      <c r="KZQ27" s="78"/>
      <c r="KZU27" s="78"/>
      <c r="KZY27" s="78"/>
      <c r="LAC27" s="78"/>
      <c r="LAG27" s="78"/>
      <c r="LAK27" s="78"/>
      <c r="LAO27" s="78"/>
      <c r="LAS27" s="78"/>
      <c r="LAW27" s="78"/>
      <c r="LBA27" s="78"/>
      <c r="LBE27" s="78"/>
      <c r="LBI27" s="78"/>
      <c r="LBM27" s="78"/>
      <c r="LBQ27" s="78"/>
      <c r="LBU27" s="78"/>
      <c r="LBY27" s="78"/>
      <c r="LCC27" s="78"/>
      <c r="LCG27" s="78"/>
      <c r="LCK27" s="78"/>
      <c r="LCO27" s="78"/>
      <c r="LCS27" s="78"/>
      <c r="LCW27" s="78"/>
      <c r="LDA27" s="78"/>
      <c r="LDE27" s="78"/>
      <c r="LDI27" s="78"/>
      <c r="LDM27" s="78"/>
      <c r="LDQ27" s="78"/>
      <c r="LDU27" s="78"/>
      <c r="LDY27" s="78"/>
      <c r="LEC27" s="78"/>
      <c r="LEG27" s="78"/>
      <c r="LEK27" s="78"/>
      <c r="LEO27" s="78"/>
      <c r="LES27" s="78"/>
      <c r="LEW27" s="78"/>
      <c r="LFA27" s="78"/>
      <c r="LFE27" s="78"/>
      <c r="LFI27" s="78"/>
      <c r="LFM27" s="78"/>
      <c r="LFQ27" s="78"/>
      <c r="LFU27" s="78"/>
      <c r="LFY27" s="78"/>
      <c r="LGC27" s="78"/>
      <c r="LGG27" s="78"/>
      <c r="LGK27" s="78"/>
      <c r="LGO27" s="78"/>
      <c r="LGS27" s="78"/>
      <c r="LGW27" s="78"/>
      <c r="LHA27" s="78"/>
      <c r="LHE27" s="78"/>
      <c r="LHI27" s="78"/>
      <c r="LHM27" s="78"/>
      <c r="LHQ27" s="78"/>
      <c r="LHU27" s="78"/>
      <c r="LHY27" s="78"/>
      <c r="LIC27" s="78"/>
      <c r="LIG27" s="78"/>
      <c r="LIK27" s="78"/>
      <c r="LIO27" s="78"/>
      <c r="LIS27" s="78"/>
      <c r="LIW27" s="78"/>
      <c r="LJA27" s="78"/>
      <c r="LJE27" s="78"/>
      <c r="LJI27" s="78"/>
      <c r="LJM27" s="78"/>
      <c r="LJQ27" s="78"/>
      <c r="LJU27" s="78"/>
      <c r="LJY27" s="78"/>
      <c r="LKC27" s="78"/>
      <c r="LKG27" s="78"/>
      <c r="LKK27" s="78"/>
      <c r="LKO27" s="78"/>
      <c r="LKS27" s="78"/>
      <c r="LKW27" s="78"/>
      <c r="LLA27" s="78"/>
      <c r="LLE27" s="78"/>
      <c r="LLI27" s="78"/>
      <c r="LLM27" s="78"/>
      <c r="LLQ27" s="78"/>
      <c r="LLU27" s="78"/>
      <c r="LLY27" s="78"/>
      <c r="LMC27" s="78"/>
      <c r="LMG27" s="78"/>
      <c r="LMK27" s="78"/>
      <c r="LMO27" s="78"/>
      <c r="LMS27" s="78"/>
      <c r="LMW27" s="78"/>
      <c r="LNA27" s="78"/>
      <c r="LNE27" s="78"/>
      <c r="LNI27" s="78"/>
      <c r="LNM27" s="78"/>
      <c r="LNQ27" s="78"/>
      <c r="LNU27" s="78"/>
      <c r="LNY27" s="78"/>
      <c r="LOC27" s="78"/>
      <c r="LOG27" s="78"/>
      <c r="LOK27" s="78"/>
      <c r="LOO27" s="78"/>
      <c r="LOS27" s="78"/>
      <c r="LOW27" s="78"/>
      <c r="LPA27" s="78"/>
      <c r="LPE27" s="78"/>
      <c r="LPI27" s="78"/>
      <c r="LPM27" s="78"/>
      <c r="LPQ27" s="78"/>
      <c r="LPU27" s="78"/>
      <c r="LPY27" s="78"/>
      <c r="LQC27" s="78"/>
      <c r="LQG27" s="78"/>
      <c r="LQK27" s="78"/>
      <c r="LQO27" s="78"/>
      <c r="LQS27" s="78"/>
      <c r="LQW27" s="78"/>
      <c r="LRA27" s="78"/>
      <c r="LRE27" s="78"/>
      <c r="LRI27" s="78"/>
      <c r="LRM27" s="78"/>
      <c r="LRQ27" s="78"/>
      <c r="LRU27" s="78"/>
      <c r="LRY27" s="78"/>
      <c r="LSC27" s="78"/>
      <c r="LSG27" s="78"/>
      <c r="LSK27" s="78"/>
      <c r="LSO27" s="78"/>
      <c r="LSS27" s="78"/>
      <c r="LSW27" s="78"/>
      <c r="LTA27" s="78"/>
      <c r="LTE27" s="78"/>
      <c r="LTI27" s="78"/>
      <c r="LTM27" s="78"/>
      <c r="LTQ27" s="78"/>
      <c r="LTU27" s="78"/>
      <c r="LTY27" s="78"/>
      <c r="LUC27" s="78"/>
      <c r="LUG27" s="78"/>
      <c r="LUK27" s="78"/>
      <c r="LUO27" s="78"/>
      <c r="LUS27" s="78"/>
      <c r="LUW27" s="78"/>
      <c r="LVA27" s="78"/>
      <c r="LVE27" s="78"/>
      <c r="LVI27" s="78"/>
      <c r="LVM27" s="78"/>
      <c r="LVQ27" s="78"/>
      <c r="LVU27" s="78"/>
      <c r="LVY27" s="78"/>
      <c r="LWC27" s="78"/>
      <c r="LWG27" s="78"/>
      <c r="LWK27" s="78"/>
      <c r="LWO27" s="78"/>
      <c r="LWS27" s="78"/>
      <c r="LWW27" s="78"/>
      <c r="LXA27" s="78"/>
      <c r="LXE27" s="78"/>
      <c r="LXI27" s="78"/>
      <c r="LXM27" s="78"/>
      <c r="LXQ27" s="78"/>
      <c r="LXU27" s="78"/>
      <c r="LXY27" s="78"/>
      <c r="LYC27" s="78"/>
      <c r="LYG27" s="78"/>
      <c r="LYK27" s="78"/>
      <c r="LYO27" s="78"/>
      <c r="LYS27" s="78"/>
      <c r="LYW27" s="78"/>
      <c r="LZA27" s="78"/>
      <c r="LZE27" s="78"/>
      <c r="LZI27" s="78"/>
      <c r="LZM27" s="78"/>
      <c r="LZQ27" s="78"/>
      <c r="LZU27" s="78"/>
      <c r="LZY27" s="78"/>
      <c r="MAC27" s="78"/>
      <c r="MAG27" s="78"/>
      <c r="MAK27" s="78"/>
      <c r="MAO27" s="78"/>
      <c r="MAS27" s="78"/>
      <c r="MAW27" s="78"/>
      <c r="MBA27" s="78"/>
      <c r="MBE27" s="78"/>
      <c r="MBI27" s="78"/>
      <c r="MBM27" s="78"/>
      <c r="MBQ27" s="78"/>
      <c r="MBU27" s="78"/>
      <c r="MBY27" s="78"/>
      <c r="MCC27" s="78"/>
      <c r="MCG27" s="78"/>
      <c r="MCK27" s="78"/>
      <c r="MCO27" s="78"/>
      <c r="MCS27" s="78"/>
      <c r="MCW27" s="78"/>
      <c r="MDA27" s="78"/>
      <c r="MDE27" s="78"/>
      <c r="MDI27" s="78"/>
      <c r="MDM27" s="78"/>
      <c r="MDQ27" s="78"/>
      <c r="MDU27" s="78"/>
      <c r="MDY27" s="78"/>
      <c r="MEC27" s="78"/>
      <c r="MEG27" s="78"/>
      <c r="MEK27" s="78"/>
      <c r="MEO27" s="78"/>
      <c r="MES27" s="78"/>
      <c r="MEW27" s="78"/>
      <c r="MFA27" s="78"/>
      <c r="MFE27" s="78"/>
      <c r="MFI27" s="78"/>
      <c r="MFM27" s="78"/>
      <c r="MFQ27" s="78"/>
      <c r="MFU27" s="78"/>
      <c r="MFY27" s="78"/>
      <c r="MGC27" s="78"/>
      <c r="MGG27" s="78"/>
      <c r="MGK27" s="78"/>
      <c r="MGO27" s="78"/>
      <c r="MGS27" s="78"/>
      <c r="MGW27" s="78"/>
      <c r="MHA27" s="78"/>
      <c r="MHE27" s="78"/>
      <c r="MHI27" s="78"/>
      <c r="MHM27" s="78"/>
      <c r="MHQ27" s="78"/>
      <c r="MHU27" s="78"/>
      <c r="MHY27" s="78"/>
      <c r="MIC27" s="78"/>
      <c r="MIG27" s="78"/>
      <c r="MIK27" s="78"/>
      <c r="MIO27" s="78"/>
      <c r="MIS27" s="78"/>
      <c r="MIW27" s="78"/>
      <c r="MJA27" s="78"/>
      <c r="MJE27" s="78"/>
      <c r="MJI27" s="78"/>
      <c r="MJM27" s="78"/>
      <c r="MJQ27" s="78"/>
      <c r="MJU27" s="78"/>
      <c r="MJY27" s="78"/>
      <c r="MKC27" s="78"/>
      <c r="MKG27" s="78"/>
      <c r="MKK27" s="78"/>
      <c r="MKO27" s="78"/>
      <c r="MKS27" s="78"/>
      <c r="MKW27" s="78"/>
      <c r="MLA27" s="78"/>
      <c r="MLE27" s="78"/>
      <c r="MLI27" s="78"/>
      <c r="MLM27" s="78"/>
      <c r="MLQ27" s="78"/>
      <c r="MLU27" s="78"/>
      <c r="MLY27" s="78"/>
      <c r="MMC27" s="78"/>
      <c r="MMG27" s="78"/>
      <c r="MMK27" s="78"/>
      <c r="MMO27" s="78"/>
      <c r="MMS27" s="78"/>
      <c r="MMW27" s="78"/>
      <c r="MNA27" s="78"/>
      <c r="MNE27" s="78"/>
      <c r="MNI27" s="78"/>
      <c r="MNM27" s="78"/>
      <c r="MNQ27" s="78"/>
      <c r="MNU27" s="78"/>
      <c r="MNY27" s="78"/>
      <c r="MOC27" s="78"/>
      <c r="MOG27" s="78"/>
      <c r="MOK27" s="78"/>
      <c r="MOO27" s="78"/>
      <c r="MOS27" s="78"/>
      <c r="MOW27" s="78"/>
      <c r="MPA27" s="78"/>
      <c r="MPE27" s="78"/>
      <c r="MPI27" s="78"/>
      <c r="MPM27" s="78"/>
      <c r="MPQ27" s="78"/>
      <c r="MPU27" s="78"/>
      <c r="MPY27" s="78"/>
      <c r="MQC27" s="78"/>
      <c r="MQG27" s="78"/>
      <c r="MQK27" s="78"/>
      <c r="MQO27" s="78"/>
      <c r="MQS27" s="78"/>
      <c r="MQW27" s="78"/>
      <c r="MRA27" s="78"/>
      <c r="MRE27" s="78"/>
      <c r="MRI27" s="78"/>
      <c r="MRM27" s="78"/>
      <c r="MRQ27" s="78"/>
      <c r="MRU27" s="78"/>
      <c r="MRY27" s="78"/>
      <c r="MSC27" s="78"/>
      <c r="MSG27" s="78"/>
      <c r="MSK27" s="78"/>
      <c r="MSO27" s="78"/>
      <c r="MSS27" s="78"/>
      <c r="MSW27" s="78"/>
      <c r="MTA27" s="78"/>
      <c r="MTE27" s="78"/>
      <c r="MTI27" s="78"/>
      <c r="MTM27" s="78"/>
      <c r="MTQ27" s="78"/>
      <c r="MTU27" s="78"/>
      <c r="MTY27" s="78"/>
      <c r="MUC27" s="78"/>
      <c r="MUG27" s="78"/>
      <c r="MUK27" s="78"/>
      <c r="MUO27" s="78"/>
      <c r="MUS27" s="78"/>
      <c r="MUW27" s="78"/>
      <c r="MVA27" s="78"/>
      <c r="MVE27" s="78"/>
      <c r="MVI27" s="78"/>
      <c r="MVM27" s="78"/>
      <c r="MVQ27" s="78"/>
      <c r="MVU27" s="78"/>
      <c r="MVY27" s="78"/>
      <c r="MWC27" s="78"/>
      <c r="MWG27" s="78"/>
      <c r="MWK27" s="78"/>
      <c r="MWO27" s="78"/>
      <c r="MWS27" s="78"/>
      <c r="MWW27" s="78"/>
      <c r="MXA27" s="78"/>
      <c r="MXE27" s="78"/>
      <c r="MXI27" s="78"/>
      <c r="MXM27" s="78"/>
      <c r="MXQ27" s="78"/>
      <c r="MXU27" s="78"/>
      <c r="MXY27" s="78"/>
      <c r="MYC27" s="78"/>
      <c r="MYG27" s="78"/>
      <c r="MYK27" s="78"/>
      <c r="MYO27" s="78"/>
      <c r="MYS27" s="78"/>
      <c r="MYW27" s="78"/>
      <c r="MZA27" s="78"/>
      <c r="MZE27" s="78"/>
      <c r="MZI27" s="78"/>
      <c r="MZM27" s="78"/>
      <c r="MZQ27" s="78"/>
      <c r="MZU27" s="78"/>
      <c r="MZY27" s="78"/>
      <c r="NAC27" s="78"/>
      <c r="NAG27" s="78"/>
      <c r="NAK27" s="78"/>
      <c r="NAO27" s="78"/>
      <c r="NAS27" s="78"/>
      <c r="NAW27" s="78"/>
      <c r="NBA27" s="78"/>
      <c r="NBE27" s="78"/>
      <c r="NBI27" s="78"/>
      <c r="NBM27" s="78"/>
      <c r="NBQ27" s="78"/>
      <c r="NBU27" s="78"/>
      <c r="NBY27" s="78"/>
      <c r="NCC27" s="78"/>
      <c r="NCG27" s="78"/>
      <c r="NCK27" s="78"/>
      <c r="NCO27" s="78"/>
      <c r="NCS27" s="78"/>
      <c r="NCW27" s="78"/>
      <c r="NDA27" s="78"/>
      <c r="NDE27" s="78"/>
      <c r="NDI27" s="78"/>
      <c r="NDM27" s="78"/>
      <c r="NDQ27" s="78"/>
      <c r="NDU27" s="78"/>
      <c r="NDY27" s="78"/>
      <c r="NEC27" s="78"/>
      <c r="NEG27" s="78"/>
      <c r="NEK27" s="78"/>
      <c r="NEO27" s="78"/>
      <c r="NES27" s="78"/>
      <c r="NEW27" s="78"/>
      <c r="NFA27" s="78"/>
      <c r="NFE27" s="78"/>
      <c r="NFI27" s="78"/>
      <c r="NFM27" s="78"/>
      <c r="NFQ27" s="78"/>
      <c r="NFU27" s="78"/>
      <c r="NFY27" s="78"/>
      <c r="NGC27" s="78"/>
      <c r="NGG27" s="78"/>
      <c r="NGK27" s="78"/>
      <c r="NGO27" s="78"/>
      <c r="NGS27" s="78"/>
      <c r="NGW27" s="78"/>
      <c r="NHA27" s="78"/>
      <c r="NHE27" s="78"/>
      <c r="NHI27" s="78"/>
      <c r="NHM27" s="78"/>
      <c r="NHQ27" s="78"/>
      <c r="NHU27" s="78"/>
      <c r="NHY27" s="78"/>
      <c r="NIC27" s="78"/>
      <c r="NIG27" s="78"/>
      <c r="NIK27" s="78"/>
      <c r="NIO27" s="78"/>
      <c r="NIS27" s="78"/>
      <c r="NIW27" s="78"/>
      <c r="NJA27" s="78"/>
      <c r="NJE27" s="78"/>
      <c r="NJI27" s="78"/>
      <c r="NJM27" s="78"/>
      <c r="NJQ27" s="78"/>
      <c r="NJU27" s="78"/>
      <c r="NJY27" s="78"/>
      <c r="NKC27" s="78"/>
      <c r="NKG27" s="78"/>
      <c r="NKK27" s="78"/>
      <c r="NKO27" s="78"/>
      <c r="NKS27" s="78"/>
      <c r="NKW27" s="78"/>
      <c r="NLA27" s="78"/>
      <c r="NLE27" s="78"/>
      <c r="NLI27" s="78"/>
      <c r="NLM27" s="78"/>
      <c r="NLQ27" s="78"/>
      <c r="NLU27" s="78"/>
      <c r="NLY27" s="78"/>
      <c r="NMC27" s="78"/>
      <c r="NMG27" s="78"/>
      <c r="NMK27" s="78"/>
      <c r="NMO27" s="78"/>
      <c r="NMS27" s="78"/>
      <c r="NMW27" s="78"/>
      <c r="NNA27" s="78"/>
      <c r="NNE27" s="78"/>
      <c r="NNI27" s="78"/>
      <c r="NNM27" s="78"/>
      <c r="NNQ27" s="78"/>
      <c r="NNU27" s="78"/>
      <c r="NNY27" s="78"/>
      <c r="NOC27" s="78"/>
      <c r="NOG27" s="78"/>
      <c r="NOK27" s="78"/>
      <c r="NOO27" s="78"/>
      <c r="NOS27" s="78"/>
      <c r="NOW27" s="78"/>
      <c r="NPA27" s="78"/>
      <c r="NPE27" s="78"/>
      <c r="NPI27" s="78"/>
      <c r="NPM27" s="78"/>
      <c r="NPQ27" s="78"/>
      <c r="NPU27" s="78"/>
      <c r="NPY27" s="78"/>
      <c r="NQC27" s="78"/>
      <c r="NQG27" s="78"/>
      <c r="NQK27" s="78"/>
      <c r="NQO27" s="78"/>
      <c r="NQS27" s="78"/>
      <c r="NQW27" s="78"/>
      <c r="NRA27" s="78"/>
      <c r="NRE27" s="78"/>
      <c r="NRI27" s="78"/>
      <c r="NRM27" s="78"/>
      <c r="NRQ27" s="78"/>
      <c r="NRU27" s="78"/>
      <c r="NRY27" s="78"/>
      <c r="NSC27" s="78"/>
      <c r="NSG27" s="78"/>
      <c r="NSK27" s="78"/>
      <c r="NSO27" s="78"/>
      <c r="NSS27" s="78"/>
      <c r="NSW27" s="78"/>
      <c r="NTA27" s="78"/>
      <c r="NTE27" s="78"/>
      <c r="NTI27" s="78"/>
      <c r="NTM27" s="78"/>
      <c r="NTQ27" s="78"/>
      <c r="NTU27" s="78"/>
      <c r="NTY27" s="78"/>
      <c r="NUC27" s="78"/>
      <c r="NUG27" s="78"/>
      <c r="NUK27" s="78"/>
      <c r="NUO27" s="78"/>
      <c r="NUS27" s="78"/>
      <c r="NUW27" s="78"/>
      <c r="NVA27" s="78"/>
      <c r="NVE27" s="78"/>
      <c r="NVI27" s="78"/>
      <c r="NVM27" s="78"/>
      <c r="NVQ27" s="78"/>
      <c r="NVU27" s="78"/>
      <c r="NVY27" s="78"/>
      <c r="NWC27" s="78"/>
      <c r="NWG27" s="78"/>
      <c r="NWK27" s="78"/>
      <c r="NWO27" s="78"/>
      <c r="NWS27" s="78"/>
      <c r="NWW27" s="78"/>
      <c r="NXA27" s="78"/>
      <c r="NXE27" s="78"/>
      <c r="NXI27" s="78"/>
      <c r="NXM27" s="78"/>
      <c r="NXQ27" s="78"/>
      <c r="NXU27" s="78"/>
      <c r="NXY27" s="78"/>
      <c r="NYC27" s="78"/>
      <c r="NYG27" s="78"/>
      <c r="NYK27" s="78"/>
      <c r="NYO27" s="78"/>
      <c r="NYS27" s="78"/>
      <c r="NYW27" s="78"/>
      <c r="NZA27" s="78"/>
      <c r="NZE27" s="78"/>
      <c r="NZI27" s="78"/>
      <c r="NZM27" s="78"/>
      <c r="NZQ27" s="78"/>
      <c r="NZU27" s="78"/>
      <c r="NZY27" s="78"/>
      <c r="OAC27" s="78"/>
      <c r="OAG27" s="78"/>
      <c r="OAK27" s="78"/>
      <c r="OAO27" s="78"/>
      <c r="OAS27" s="78"/>
      <c r="OAW27" s="78"/>
      <c r="OBA27" s="78"/>
      <c r="OBE27" s="78"/>
      <c r="OBI27" s="78"/>
      <c r="OBM27" s="78"/>
      <c r="OBQ27" s="78"/>
      <c r="OBU27" s="78"/>
      <c r="OBY27" s="78"/>
      <c r="OCC27" s="78"/>
      <c r="OCG27" s="78"/>
      <c r="OCK27" s="78"/>
      <c r="OCO27" s="78"/>
      <c r="OCS27" s="78"/>
      <c r="OCW27" s="78"/>
      <c r="ODA27" s="78"/>
      <c r="ODE27" s="78"/>
      <c r="ODI27" s="78"/>
      <c r="ODM27" s="78"/>
      <c r="ODQ27" s="78"/>
      <c r="ODU27" s="78"/>
      <c r="ODY27" s="78"/>
      <c r="OEC27" s="78"/>
      <c r="OEG27" s="78"/>
      <c r="OEK27" s="78"/>
      <c r="OEO27" s="78"/>
      <c r="OES27" s="78"/>
      <c r="OEW27" s="78"/>
      <c r="OFA27" s="78"/>
      <c r="OFE27" s="78"/>
      <c r="OFI27" s="78"/>
      <c r="OFM27" s="78"/>
      <c r="OFQ27" s="78"/>
      <c r="OFU27" s="78"/>
      <c r="OFY27" s="78"/>
      <c r="OGC27" s="78"/>
      <c r="OGG27" s="78"/>
      <c r="OGK27" s="78"/>
      <c r="OGO27" s="78"/>
      <c r="OGS27" s="78"/>
      <c r="OGW27" s="78"/>
      <c r="OHA27" s="78"/>
      <c r="OHE27" s="78"/>
      <c r="OHI27" s="78"/>
      <c r="OHM27" s="78"/>
      <c r="OHQ27" s="78"/>
      <c r="OHU27" s="78"/>
      <c r="OHY27" s="78"/>
      <c r="OIC27" s="78"/>
      <c r="OIG27" s="78"/>
      <c r="OIK27" s="78"/>
      <c r="OIO27" s="78"/>
      <c r="OIS27" s="78"/>
      <c r="OIW27" s="78"/>
      <c r="OJA27" s="78"/>
      <c r="OJE27" s="78"/>
      <c r="OJI27" s="78"/>
      <c r="OJM27" s="78"/>
      <c r="OJQ27" s="78"/>
      <c r="OJU27" s="78"/>
      <c r="OJY27" s="78"/>
      <c r="OKC27" s="78"/>
      <c r="OKG27" s="78"/>
      <c r="OKK27" s="78"/>
      <c r="OKO27" s="78"/>
      <c r="OKS27" s="78"/>
      <c r="OKW27" s="78"/>
      <c r="OLA27" s="78"/>
      <c r="OLE27" s="78"/>
      <c r="OLI27" s="78"/>
      <c r="OLM27" s="78"/>
      <c r="OLQ27" s="78"/>
      <c r="OLU27" s="78"/>
      <c r="OLY27" s="78"/>
      <c r="OMC27" s="78"/>
      <c r="OMG27" s="78"/>
      <c r="OMK27" s="78"/>
      <c r="OMO27" s="78"/>
      <c r="OMS27" s="78"/>
      <c r="OMW27" s="78"/>
      <c r="ONA27" s="78"/>
      <c r="ONE27" s="78"/>
      <c r="ONI27" s="78"/>
      <c r="ONM27" s="78"/>
      <c r="ONQ27" s="78"/>
      <c r="ONU27" s="78"/>
      <c r="ONY27" s="78"/>
      <c r="OOC27" s="78"/>
      <c r="OOG27" s="78"/>
      <c r="OOK27" s="78"/>
      <c r="OOO27" s="78"/>
      <c r="OOS27" s="78"/>
      <c r="OOW27" s="78"/>
      <c r="OPA27" s="78"/>
      <c r="OPE27" s="78"/>
      <c r="OPI27" s="78"/>
      <c r="OPM27" s="78"/>
      <c r="OPQ27" s="78"/>
      <c r="OPU27" s="78"/>
      <c r="OPY27" s="78"/>
      <c r="OQC27" s="78"/>
      <c r="OQG27" s="78"/>
      <c r="OQK27" s="78"/>
      <c r="OQO27" s="78"/>
      <c r="OQS27" s="78"/>
      <c r="OQW27" s="78"/>
      <c r="ORA27" s="78"/>
      <c r="ORE27" s="78"/>
      <c r="ORI27" s="78"/>
      <c r="ORM27" s="78"/>
      <c r="ORQ27" s="78"/>
      <c r="ORU27" s="78"/>
      <c r="ORY27" s="78"/>
      <c r="OSC27" s="78"/>
      <c r="OSG27" s="78"/>
      <c r="OSK27" s="78"/>
      <c r="OSO27" s="78"/>
      <c r="OSS27" s="78"/>
      <c r="OSW27" s="78"/>
      <c r="OTA27" s="78"/>
      <c r="OTE27" s="78"/>
      <c r="OTI27" s="78"/>
      <c r="OTM27" s="78"/>
      <c r="OTQ27" s="78"/>
      <c r="OTU27" s="78"/>
      <c r="OTY27" s="78"/>
      <c r="OUC27" s="78"/>
      <c r="OUG27" s="78"/>
      <c r="OUK27" s="78"/>
      <c r="OUO27" s="78"/>
      <c r="OUS27" s="78"/>
      <c r="OUW27" s="78"/>
      <c r="OVA27" s="78"/>
      <c r="OVE27" s="78"/>
      <c r="OVI27" s="78"/>
      <c r="OVM27" s="78"/>
      <c r="OVQ27" s="78"/>
      <c r="OVU27" s="78"/>
      <c r="OVY27" s="78"/>
      <c r="OWC27" s="78"/>
      <c r="OWG27" s="78"/>
      <c r="OWK27" s="78"/>
      <c r="OWO27" s="78"/>
      <c r="OWS27" s="78"/>
      <c r="OWW27" s="78"/>
      <c r="OXA27" s="78"/>
      <c r="OXE27" s="78"/>
      <c r="OXI27" s="78"/>
      <c r="OXM27" s="78"/>
      <c r="OXQ27" s="78"/>
      <c r="OXU27" s="78"/>
      <c r="OXY27" s="78"/>
      <c r="OYC27" s="78"/>
      <c r="OYG27" s="78"/>
      <c r="OYK27" s="78"/>
      <c r="OYO27" s="78"/>
      <c r="OYS27" s="78"/>
      <c r="OYW27" s="78"/>
      <c r="OZA27" s="78"/>
      <c r="OZE27" s="78"/>
      <c r="OZI27" s="78"/>
      <c r="OZM27" s="78"/>
      <c r="OZQ27" s="78"/>
      <c r="OZU27" s="78"/>
      <c r="OZY27" s="78"/>
      <c r="PAC27" s="78"/>
      <c r="PAG27" s="78"/>
      <c r="PAK27" s="78"/>
      <c r="PAO27" s="78"/>
      <c r="PAS27" s="78"/>
      <c r="PAW27" s="78"/>
      <c r="PBA27" s="78"/>
      <c r="PBE27" s="78"/>
      <c r="PBI27" s="78"/>
      <c r="PBM27" s="78"/>
      <c r="PBQ27" s="78"/>
      <c r="PBU27" s="78"/>
      <c r="PBY27" s="78"/>
      <c r="PCC27" s="78"/>
      <c r="PCG27" s="78"/>
      <c r="PCK27" s="78"/>
      <c r="PCO27" s="78"/>
      <c r="PCS27" s="78"/>
      <c r="PCW27" s="78"/>
      <c r="PDA27" s="78"/>
      <c r="PDE27" s="78"/>
      <c r="PDI27" s="78"/>
      <c r="PDM27" s="78"/>
      <c r="PDQ27" s="78"/>
      <c r="PDU27" s="78"/>
      <c r="PDY27" s="78"/>
      <c r="PEC27" s="78"/>
      <c r="PEG27" s="78"/>
      <c r="PEK27" s="78"/>
      <c r="PEO27" s="78"/>
      <c r="PES27" s="78"/>
      <c r="PEW27" s="78"/>
      <c r="PFA27" s="78"/>
      <c r="PFE27" s="78"/>
      <c r="PFI27" s="78"/>
      <c r="PFM27" s="78"/>
      <c r="PFQ27" s="78"/>
      <c r="PFU27" s="78"/>
      <c r="PFY27" s="78"/>
      <c r="PGC27" s="78"/>
      <c r="PGG27" s="78"/>
      <c r="PGK27" s="78"/>
      <c r="PGO27" s="78"/>
      <c r="PGS27" s="78"/>
      <c r="PGW27" s="78"/>
      <c r="PHA27" s="78"/>
      <c r="PHE27" s="78"/>
      <c r="PHI27" s="78"/>
      <c r="PHM27" s="78"/>
      <c r="PHQ27" s="78"/>
      <c r="PHU27" s="78"/>
      <c r="PHY27" s="78"/>
      <c r="PIC27" s="78"/>
      <c r="PIG27" s="78"/>
      <c r="PIK27" s="78"/>
      <c r="PIO27" s="78"/>
      <c r="PIS27" s="78"/>
      <c r="PIW27" s="78"/>
      <c r="PJA27" s="78"/>
      <c r="PJE27" s="78"/>
      <c r="PJI27" s="78"/>
      <c r="PJM27" s="78"/>
      <c r="PJQ27" s="78"/>
      <c r="PJU27" s="78"/>
      <c r="PJY27" s="78"/>
      <c r="PKC27" s="78"/>
      <c r="PKG27" s="78"/>
      <c r="PKK27" s="78"/>
      <c r="PKO27" s="78"/>
      <c r="PKS27" s="78"/>
      <c r="PKW27" s="78"/>
      <c r="PLA27" s="78"/>
      <c r="PLE27" s="78"/>
      <c r="PLI27" s="78"/>
      <c r="PLM27" s="78"/>
      <c r="PLQ27" s="78"/>
      <c r="PLU27" s="78"/>
      <c r="PLY27" s="78"/>
      <c r="PMC27" s="78"/>
      <c r="PMG27" s="78"/>
      <c r="PMK27" s="78"/>
      <c r="PMO27" s="78"/>
      <c r="PMS27" s="78"/>
      <c r="PMW27" s="78"/>
      <c r="PNA27" s="78"/>
      <c r="PNE27" s="78"/>
      <c r="PNI27" s="78"/>
      <c r="PNM27" s="78"/>
      <c r="PNQ27" s="78"/>
      <c r="PNU27" s="78"/>
      <c r="PNY27" s="78"/>
      <c r="POC27" s="78"/>
      <c r="POG27" s="78"/>
      <c r="POK27" s="78"/>
      <c r="POO27" s="78"/>
      <c r="POS27" s="78"/>
      <c r="POW27" s="78"/>
      <c r="PPA27" s="78"/>
      <c r="PPE27" s="78"/>
      <c r="PPI27" s="78"/>
      <c r="PPM27" s="78"/>
      <c r="PPQ27" s="78"/>
      <c r="PPU27" s="78"/>
      <c r="PPY27" s="78"/>
      <c r="PQC27" s="78"/>
      <c r="PQG27" s="78"/>
      <c r="PQK27" s="78"/>
      <c r="PQO27" s="78"/>
      <c r="PQS27" s="78"/>
      <c r="PQW27" s="78"/>
      <c r="PRA27" s="78"/>
      <c r="PRE27" s="78"/>
      <c r="PRI27" s="78"/>
      <c r="PRM27" s="78"/>
      <c r="PRQ27" s="78"/>
      <c r="PRU27" s="78"/>
      <c r="PRY27" s="78"/>
      <c r="PSC27" s="78"/>
      <c r="PSG27" s="78"/>
      <c r="PSK27" s="78"/>
      <c r="PSO27" s="78"/>
      <c r="PSS27" s="78"/>
      <c r="PSW27" s="78"/>
      <c r="PTA27" s="78"/>
      <c r="PTE27" s="78"/>
      <c r="PTI27" s="78"/>
      <c r="PTM27" s="78"/>
      <c r="PTQ27" s="78"/>
      <c r="PTU27" s="78"/>
      <c r="PTY27" s="78"/>
      <c r="PUC27" s="78"/>
      <c r="PUG27" s="78"/>
      <c r="PUK27" s="78"/>
      <c r="PUO27" s="78"/>
      <c r="PUS27" s="78"/>
      <c r="PUW27" s="78"/>
      <c r="PVA27" s="78"/>
      <c r="PVE27" s="78"/>
      <c r="PVI27" s="78"/>
      <c r="PVM27" s="78"/>
      <c r="PVQ27" s="78"/>
      <c r="PVU27" s="78"/>
      <c r="PVY27" s="78"/>
      <c r="PWC27" s="78"/>
      <c r="PWG27" s="78"/>
      <c r="PWK27" s="78"/>
      <c r="PWO27" s="78"/>
      <c r="PWS27" s="78"/>
      <c r="PWW27" s="78"/>
      <c r="PXA27" s="78"/>
      <c r="PXE27" s="78"/>
      <c r="PXI27" s="78"/>
      <c r="PXM27" s="78"/>
      <c r="PXQ27" s="78"/>
      <c r="PXU27" s="78"/>
      <c r="PXY27" s="78"/>
      <c r="PYC27" s="78"/>
      <c r="PYG27" s="78"/>
      <c r="PYK27" s="78"/>
      <c r="PYO27" s="78"/>
      <c r="PYS27" s="78"/>
      <c r="PYW27" s="78"/>
      <c r="PZA27" s="78"/>
      <c r="PZE27" s="78"/>
      <c r="PZI27" s="78"/>
      <c r="PZM27" s="78"/>
      <c r="PZQ27" s="78"/>
      <c r="PZU27" s="78"/>
      <c r="PZY27" s="78"/>
      <c r="QAC27" s="78"/>
      <c r="QAG27" s="78"/>
      <c r="QAK27" s="78"/>
      <c r="QAO27" s="78"/>
      <c r="QAS27" s="78"/>
      <c r="QAW27" s="78"/>
      <c r="QBA27" s="78"/>
      <c r="QBE27" s="78"/>
      <c r="QBI27" s="78"/>
      <c r="QBM27" s="78"/>
      <c r="QBQ27" s="78"/>
      <c r="QBU27" s="78"/>
      <c r="QBY27" s="78"/>
      <c r="QCC27" s="78"/>
      <c r="QCG27" s="78"/>
      <c r="QCK27" s="78"/>
      <c r="QCO27" s="78"/>
      <c r="QCS27" s="78"/>
      <c r="QCW27" s="78"/>
      <c r="QDA27" s="78"/>
      <c r="QDE27" s="78"/>
      <c r="QDI27" s="78"/>
      <c r="QDM27" s="78"/>
      <c r="QDQ27" s="78"/>
      <c r="QDU27" s="78"/>
      <c r="QDY27" s="78"/>
      <c r="QEC27" s="78"/>
      <c r="QEG27" s="78"/>
      <c r="QEK27" s="78"/>
      <c r="QEO27" s="78"/>
      <c r="QES27" s="78"/>
      <c r="QEW27" s="78"/>
      <c r="QFA27" s="78"/>
      <c r="QFE27" s="78"/>
      <c r="QFI27" s="78"/>
      <c r="QFM27" s="78"/>
      <c r="QFQ27" s="78"/>
      <c r="QFU27" s="78"/>
      <c r="QFY27" s="78"/>
      <c r="QGC27" s="78"/>
      <c r="QGG27" s="78"/>
      <c r="QGK27" s="78"/>
      <c r="QGO27" s="78"/>
      <c r="QGS27" s="78"/>
      <c r="QGW27" s="78"/>
      <c r="QHA27" s="78"/>
      <c r="QHE27" s="78"/>
      <c r="QHI27" s="78"/>
      <c r="QHM27" s="78"/>
      <c r="QHQ27" s="78"/>
      <c r="QHU27" s="78"/>
      <c r="QHY27" s="78"/>
      <c r="QIC27" s="78"/>
      <c r="QIG27" s="78"/>
      <c r="QIK27" s="78"/>
      <c r="QIO27" s="78"/>
      <c r="QIS27" s="78"/>
      <c r="QIW27" s="78"/>
      <c r="QJA27" s="78"/>
      <c r="QJE27" s="78"/>
      <c r="QJI27" s="78"/>
      <c r="QJM27" s="78"/>
      <c r="QJQ27" s="78"/>
      <c r="QJU27" s="78"/>
      <c r="QJY27" s="78"/>
      <c r="QKC27" s="78"/>
      <c r="QKG27" s="78"/>
      <c r="QKK27" s="78"/>
      <c r="QKO27" s="78"/>
      <c r="QKS27" s="78"/>
      <c r="QKW27" s="78"/>
      <c r="QLA27" s="78"/>
      <c r="QLE27" s="78"/>
      <c r="QLI27" s="78"/>
      <c r="QLM27" s="78"/>
      <c r="QLQ27" s="78"/>
      <c r="QLU27" s="78"/>
      <c r="QLY27" s="78"/>
      <c r="QMC27" s="78"/>
      <c r="QMG27" s="78"/>
      <c r="QMK27" s="78"/>
      <c r="QMO27" s="78"/>
      <c r="QMS27" s="78"/>
      <c r="QMW27" s="78"/>
      <c r="QNA27" s="78"/>
      <c r="QNE27" s="78"/>
      <c r="QNI27" s="78"/>
      <c r="QNM27" s="78"/>
      <c r="QNQ27" s="78"/>
      <c r="QNU27" s="78"/>
      <c r="QNY27" s="78"/>
      <c r="QOC27" s="78"/>
      <c r="QOG27" s="78"/>
      <c r="QOK27" s="78"/>
      <c r="QOO27" s="78"/>
      <c r="QOS27" s="78"/>
      <c r="QOW27" s="78"/>
      <c r="QPA27" s="78"/>
      <c r="QPE27" s="78"/>
      <c r="QPI27" s="78"/>
      <c r="QPM27" s="78"/>
      <c r="QPQ27" s="78"/>
      <c r="QPU27" s="78"/>
      <c r="QPY27" s="78"/>
      <c r="QQC27" s="78"/>
      <c r="QQG27" s="78"/>
      <c r="QQK27" s="78"/>
      <c r="QQO27" s="78"/>
      <c r="QQS27" s="78"/>
      <c r="QQW27" s="78"/>
      <c r="QRA27" s="78"/>
      <c r="QRE27" s="78"/>
      <c r="QRI27" s="78"/>
      <c r="QRM27" s="78"/>
      <c r="QRQ27" s="78"/>
      <c r="QRU27" s="78"/>
      <c r="QRY27" s="78"/>
      <c r="QSC27" s="78"/>
      <c r="QSG27" s="78"/>
      <c r="QSK27" s="78"/>
      <c r="QSO27" s="78"/>
      <c r="QSS27" s="78"/>
      <c r="QSW27" s="78"/>
      <c r="QTA27" s="78"/>
      <c r="QTE27" s="78"/>
      <c r="QTI27" s="78"/>
      <c r="QTM27" s="78"/>
      <c r="QTQ27" s="78"/>
      <c r="QTU27" s="78"/>
      <c r="QTY27" s="78"/>
      <c r="QUC27" s="78"/>
      <c r="QUG27" s="78"/>
      <c r="QUK27" s="78"/>
      <c r="QUO27" s="78"/>
      <c r="QUS27" s="78"/>
      <c r="QUW27" s="78"/>
      <c r="QVA27" s="78"/>
      <c r="QVE27" s="78"/>
      <c r="QVI27" s="78"/>
      <c r="QVM27" s="78"/>
      <c r="QVQ27" s="78"/>
      <c r="QVU27" s="78"/>
      <c r="QVY27" s="78"/>
      <c r="QWC27" s="78"/>
      <c r="QWG27" s="78"/>
      <c r="QWK27" s="78"/>
      <c r="QWO27" s="78"/>
      <c r="QWS27" s="78"/>
      <c r="QWW27" s="78"/>
      <c r="QXA27" s="78"/>
      <c r="QXE27" s="78"/>
      <c r="QXI27" s="78"/>
      <c r="QXM27" s="78"/>
      <c r="QXQ27" s="78"/>
      <c r="QXU27" s="78"/>
      <c r="QXY27" s="78"/>
      <c r="QYC27" s="78"/>
      <c r="QYG27" s="78"/>
      <c r="QYK27" s="78"/>
      <c r="QYO27" s="78"/>
      <c r="QYS27" s="78"/>
      <c r="QYW27" s="78"/>
      <c r="QZA27" s="78"/>
      <c r="QZE27" s="78"/>
      <c r="QZI27" s="78"/>
      <c r="QZM27" s="78"/>
      <c r="QZQ27" s="78"/>
      <c r="QZU27" s="78"/>
      <c r="QZY27" s="78"/>
      <c r="RAC27" s="78"/>
      <c r="RAG27" s="78"/>
      <c r="RAK27" s="78"/>
      <c r="RAO27" s="78"/>
      <c r="RAS27" s="78"/>
      <c r="RAW27" s="78"/>
      <c r="RBA27" s="78"/>
      <c r="RBE27" s="78"/>
      <c r="RBI27" s="78"/>
      <c r="RBM27" s="78"/>
      <c r="RBQ27" s="78"/>
      <c r="RBU27" s="78"/>
      <c r="RBY27" s="78"/>
      <c r="RCC27" s="78"/>
      <c r="RCG27" s="78"/>
      <c r="RCK27" s="78"/>
      <c r="RCO27" s="78"/>
      <c r="RCS27" s="78"/>
      <c r="RCW27" s="78"/>
      <c r="RDA27" s="78"/>
      <c r="RDE27" s="78"/>
      <c r="RDI27" s="78"/>
      <c r="RDM27" s="78"/>
      <c r="RDQ27" s="78"/>
      <c r="RDU27" s="78"/>
      <c r="RDY27" s="78"/>
      <c r="REC27" s="78"/>
      <c r="REG27" s="78"/>
      <c r="REK27" s="78"/>
      <c r="REO27" s="78"/>
      <c r="RES27" s="78"/>
      <c r="REW27" s="78"/>
      <c r="RFA27" s="78"/>
      <c r="RFE27" s="78"/>
      <c r="RFI27" s="78"/>
      <c r="RFM27" s="78"/>
      <c r="RFQ27" s="78"/>
      <c r="RFU27" s="78"/>
      <c r="RFY27" s="78"/>
      <c r="RGC27" s="78"/>
      <c r="RGG27" s="78"/>
      <c r="RGK27" s="78"/>
      <c r="RGO27" s="78"/>
      <c r="RGS27" s="78"/>
      <c r="RGW27" s="78"/>
      <c r="RHA27" s="78"/>
      <c r="RHE27" s="78"/>
      <c r="RHI27" s="78"/>
      <c r="RHM27" s="78"/>
      <c r="RHQ27" s="78"/>
      <c r="RHU27" s="78"/>
      <c r="RHY27" s="78"/>
      <c r="RIC27" s="78"/>
      <c r="RIG27" s="78"/>
      <c r="RIK27" s="78"/>
      <c r="RIO27" s="78"/>
      <c r="RIS27" s="78"/>
      <c r="RIW27" s="78"/>
      <c r="RJA27" s="78"/>
      <c r="RJE27" s="78"/>
      <c r="RJI27" s="78"/>
      <c r="RJM27" s="78"/>
      <c r="RJQ27" s="78"/>
      <c r="RJU27" s="78"/>
      <c r="RJY27" s="78"/>
      <c r="RKC27" s="78"/>
      <c r="RKG27" s="78"/>
      <c r="RKK27" s="78"/>
      <c r="RKO27" s="78"/>
      <c r="RKS27" s="78"/>
      <c r="RKW27" s="78"/>
      <c r="RLA27" s="78"/>
      <c r="RLE27" s="78"/>
      <c r="RLI27" s="78"/>
      <c r="RLM27" s="78"/>
      <c r="RLQ27" s="78"/>
      <c r="RLU27" s="78"/>
      <c r="RLY27" s="78"/>
      <c r="RMC27" s="78"/>
      <c r="RMG27" s="78"/>
      <c r="RMK27" s="78"/>
      <c r="RMO27" s="78"/>
      <c r="RMS27" s="78"/>
      <c r="RMW27" s="78"/>
      <c r="RNA27" s="78"/>
      <c r="RNE27" s="78"/>
      <c r="RNI27" s="78"/>
      <c r="RNM27" s="78"/>
      <c r="RNQ27" s="78"/>
      <c r="RNU27" s="78"/>
      <c r="RNY27" s="78"/>
      <c r="ROC27" s="78"/>
      <c r="ROG27" s="78"/>
      <c r="ROK27" s="78"/>
      <c r="ROO27" s="78"/>
      <c r="ROS27" s="78"/>
      <c r="ROW27" s="78"/>
      <c r="RPA27" s="78"/>
      <c r="RPE27" s="78"/>
      <c r="RPI27" s="78"/>
      <c r="RPM27" s="78"/>
      <c r="RPQ27" s="78"/>
      <c r="RPU27" s="78"/>
      <c r="RPY27" s="78"/>
      <c r="RQC27" s="78"/>
      <c r="RQG27" s="78"/>
      <c r="RQK27" s="78"/>
      <c r="RQO27" s="78"/>
      <c r="RQS27" s="78"/>
      <c r="RQW27" s="78"/>
      <c r="RRA27" s="78"/>
      <c r="RRE27" s="78"/>
      <c r="RRI27" s="78"/>
      <c r="RRM27" s="78"/>
      <c r="RRQ27" s="78"/>
      <c r="RRU27" s="78"/>
      <c r="RRY27" s="78"/>
      <c r="RSC27" s="78"/>
      <c r="RSG27" s="78"/>
      <c r="RSK27" s="78"/>
      <c r="RSO27" s="78"/>
      <c r="RSS27" s="78"/>
      <c r="RSW27" s="78"/>
      <c r="RTA27" s="78"/>
      <c r="RTE27" s="78"/>
      <c r="RTI27" s="78"/>
      <c r="RTM27" s="78"/>
      <c r="RTQ27" s="78"/>
      <c r="RTU27" s="78"/>
      <c r="RTY27" s="78"/>
      <c r="RUC27" s="78"/>
      <c r="RUG27" s="78"/>
      <c r="RUK27" s="78"/>
      <c r="RUO27" s="78"/>
      <c r="RUS27" s="78"/>
      <c r="RUW27" s="78"/>
      <c r="RVA27" s="78"/>
      <c r="RVE27" s="78"/>
      <c r="RVI27" s="78"/>
      <c r="RVM27" s="78"/>
      <c r="RVQ27" s="78"/>
      <c r="RVU27" s="78"/>
      <c r="RVY27" s="78"/>
      <c r="RWC27" s="78"/>
      <c r="RWG27" s="78"/>
      <c r="RWK27" s="78"/>
      <c r="RWO27" s="78"/>
      <c r="RWS27" s="78"/>
      <c r="RWW27" s="78"/>
      <c r="RXA27" s="78"/>
      <c r="RXE27" s="78"/>
      <c r="RXI27" s="78"/>
      <c r="RXM27" s="78"/>
      <c r="RXQ27" s="78"/>
      <c r="RXU27" s="78"/>
      <c r="RXY27" s="78"/>
      <c r="RYC27" s="78"/>
      <c r="RYG27" s="78"/>
      <c r="RYK27" s="78"/>
      <c r="RYO27" s="78"/>
      <c r="RYS27" s="78"/>
      <c r="RYW27" s="78"/>
      <c r="RZA27" s="78"/>
      <c r="RZE27" s="78"/>
      <c r="RZI27" s="78"/>
      <c r="RZM27" s="78"/>
      <c r="RZQ27" s="78"/>
      <c r="RZU27" s="78"/>
      <c r="RZY27" s="78"/>
      <c r="SAC27" s="78"/>
      <c r="SAG27" s="78"/>
      <c r="SAK27" s="78"/>
      <c r="SAO27" s="78"/>
      <c r="SAS27" s="78"/>
      <c r="SAW27" s="78"/>
      <c r="SBA27" s="78"/>
      <c r="SBE27" s="78"/>
      <c r="SBI27" s="78"/>
      <c r="SBM27" s="78"/>
      <c r="SBQ27" s="78"/>
      <c r="SBU27" s="78"/>
      <c r="SBY27" s="78"/>
      <c r="SCC27" s="78"/>
      <c r="SCG27" s="78"/>
      <c r="SCK27" s="78"/>
      <c r="SCO27" s="78"/>
      <c r="SCS27" s="78"/>
      <c r="SCW27" s="78"/>
      <c r="SDA27" s="78"/>
      <c r="SDE27" s="78"/>
      <c r="SDI27" s="78"/>
      <c r="SDM27" s="78"/>
      <c r="SDQ27" s="78"/>
      <c r="SDU27" s="78"/>
      <c r="SDY27" s="78"/>
      <c r="SEC27" s="78"/>
      <c r="SEG27" s="78"/>
      <c r="SEK27" s="78"/>
      <c r="SEO27" s="78"/>
      <c r="SES27" s="78"/>
      <c r="SEW27" s="78"/>
      <c r="SFA27" s="78"/>
      <c r="SFE27" s="78"/>
      <c r="SFI27" s="78"/>
      <c r="SFM27" s="78"/>
      <c r="SFQ27" s="78"/>
      <c r="SFU27" s="78"/>
      <c r="SFY27" s="78"/>
      <c r="SGC27" s="78"/>
      <c r="SGG27" s="78"/>
      <c r="SGK27" s="78"/>
      <c r="SGO27" s="78"/>
      <c r="SGS27" s="78"/>
      <c r="SGW27" s="78"/>
      <c r="SHA27" s="78"/>
      <c r="SHE27" s="78"/>
      <c r="SHI27" s="78"/>
      <c r="SHM27" s="78"/>
      <c r="SHQ27" s="78"/>
      <c r="SHU27" s="78"/>
      <c r="SHY27" s="78"/>
      <c r="SIC27" s="78"/>
      <c r="SIG27" s="78"/>
      <c r="SIK27" s="78"/>
      <c r="SIO27" s="78"/>
      <c r="SIS27" s="78"/>
      <c r="SIW27" s="78"/>
      <c r="SJA27" s="78"/>
      <c r="SJE27" s="78"/>
      <c r="SJI27" s="78"/>
      <c r="SJM27" s="78"/>
      <c r="SJQ27" s="78"/>
      <c r="SJU27" s="78"/>
      <c r="SJY27" s="78"/>
      <c r="SKC27" s="78"/>
      <c r="SKG27" s="78"/>
      <c r="SKK27" s="78"/>
      <c r="SKO27" s="78"/>
      <c r="SKS27" s="78"/>
      <c r="SKW27" s="78"/>
      <c r="SLA27" s="78"/>
      <c r="SLE27" s="78"/>
      <c r="SLI27" s="78"/>
      <c r="SLM27" s="78"/>
      <c r="SLQ27" s="78"/>
      <c r="SLU27" s="78"/>
      <c r="SLY27" s="78"/>
      <c r="SMC27" s="78"/>
      <c r="SMG27" s="78"/>
      <c r="SMK27" s="78"/>
      <c r="SMO27" s="78"/>
      <c r="SMS27" s="78"/>
      <c r="SMW27" s="78"/>
      <c r="SNA27" s="78"/>
      <c r="SNE27" s="78"/>
      <c r="SNI27" s="78"/>
      <c r="SNM27" s="78"/>
      <c r="SNQ27" s="78"/>
      <c r="SNU27" s="78"/>
      <c r="SNY27" s="78"/>
      <c r="SOC27" s="78"/>
      <c r="SOG27" s="78"/>
      <c r="SOK27" s="78"/>
      <c r="SOO27" s="78"/>
      <c r="SOS27" s="78"/>
      <c r="SOW27" s="78"/>
      <c r="SPA27" s="78"/>
      <c r="SPE27" s="78"/>
      <c r="SPI27" s="78"/>
      <c r="SPM27" s="78"/>
      <c r="SPQ27" s="78"/>
      <c r="SPU27" s="78"/>
      <c r="SPY27" s="78"/>
      <c r="SQC27" s="78"/>
      <c r="SQG27" s="78"/>
      <c r="SQK27" s="78"/>
      <c r="SQO27" s="78"/>
      <c r="SQS27" s="78"/>
      <c r="SQW27" s="78"/>
      <c r="SRA27" s="78"/>
      <c r="SRE27" s="78"/>
      <c r="SRI27" s="78"/>
      <c r="SRM27" s="78"/>
      <c r="SRQ27" s="78"/>
      <c r="SRU27" s="78"/>
      <c r="SRY27" s="78"/>
      <c r="SSC27" s="78"/>
      <c r="SSG27" s="78"/>
      <c r="SSK27" s="78"/>
      <c r="SSO27" s="78"/>
      <c r="SSS27" s="78"/>
      <c r="SSW27" s="78"/>
      <c r="STA27" s="78"/>
      <c r="STE27" s="78"/>
      <c r="STI27" s="78"/>
      <c r="STM27" s="78"/>
      <c r="STQ27" s="78"/>
      <c r="STU27" s="78"/>
      <c r="STY27" s="78"/>
      <c r="SUC27" s="78"/>
      <c r="SUG27" s="78"/>
      <c r="SUK27" s="78"/>
      <c r="SUO27" s="78"/>
      <c r="SUS27" s="78"/>
      <c r="SUW27" s="78"/>
      <c r="SVA27" s="78"/>
      <c r="SVE27" s="78"/>
      <c r="SVI27" s="78"/>
      <c r="SVM27" s="78"/>
      <c r="SVQ27" s="78"/>
      <c r="SVU27" s="78"/>
      <c r="SVY27" s="78"/>
      <c r="SWC27" s="78"/>
      <c r="SWG27" s="78"/>
      <c r="SWK27" s="78"/>
      <c r="SWO27" s="78"/>
      <c r="SWS27" s="78"/>
      <c r="SWW27" s="78"/>
      <c r="SXA27" s="78"/>
      <c r="SXE27" s="78"/>
      <c r="SXI27" s="78"/>
      <c r="SXM27" s="78"/>
      <c r="SXQ27" s="78"/>
      <c r="SXU27" s="78"/>
      <c r="SXY27" s="78"/>
      <c r="SYC27" s="78"/>
      <c r="SYG27" s="78"/>
      <c r="SYK27" s="78"/>
      <c r="SYO27" s="78"/>
      <c r="SYS27" s="78"/>
      <c r="SYW27" s="78"/>
      <c r="SZA27" s="78"/>
      <c r="SZE27" s="78"/>
      <c r="SZI27" s="78"/>
      <c r="SZM27" s="78"/>
      <c r="SZQ27" s="78"/>
      <c r="SZU27" s="78"/>
      <c r="SZY27" s="78"/>
      <c r="TAC27" s="78"/>
      <c r="TAG27" s="78"/>
      <c r="TAK27" s="78"/>
      <c r="TAO27" s="78"/>
      <c r="TAS27" s="78"/>
      <c r="TAW27" s="78"/>
      <c r="TBA27" s="78"/>
      <c r="TBE27" s="78"/>
      <c r="TBI27" s="78"/>
      <c r="TBM27" s="78"/>
      <c r="TBQ27" s="78"/>
      <c r="TBU27" s="78"/>
      <c r="TBY27" s="78"/>
      <c r="TCC27" s="78"/>
      <c r="TCG27" s="78"/>
      <c r="TCK27" s="78"/>
      <c r="TCO27" s="78"/>
      <c r="TCS27" s="78"/>
      <c r="TCW27" s="78"/>
      <c r="TDA27" s="78"/>
      <c r="TDE27" s="78"/>
      <c r="TDI27" s="78"/>
      <c r="TDM27" s="78"/>
      <c r="TDQ27" s="78"/>
      <c r="TDU27" s="78"/>
      <c r="TDY27" s="78"/>
      <c r="TEC27" s="78"/>
      <c r="TEG27" s="78"/>
      <c r="TEK27" s="78"/>
      <c r="TEO27" s="78"/>
      <c r="TES27" s="78"/>
      <c r="TEW27" s="78"/>
      <c r="TFA27" s="78"/>
      <c r="TFE27" s="78"/>
      <c r="TFI27" s="78"/>
      <c r="TFM27" s="78"/>
      <c r="TFQ27" s="78"/>
      <c r="TFU27" s="78"/>
      <c r="TFY27" s="78"/>
      <c r="TGC27" s="78"/>
      <c r="TGG27" s="78"/>
      <c r="TGK27" s="78"/>
      <c r="TGO27" s="78"/>
      <c r="TGS27" s="78"/>
      <c r="TGW27" s="78"/>
      <c r="THA27" s="78"/>
      <c r="THE27" s="78"/>
      <c r="THI27" s="78"/>
      <c r="THM27" s="78"/>
      <c r="THQ27" s="78"/>
      <c r="THU27" s="78"/>
      <c r="THY27" s="78"/>
      <c r="TIC27" s="78"/>
      <c r="TIG27" s="78"/>
      <c r="TIK27" s="78"/>
      <c r="TIO27" s="78"/>
      <c r="TIS27" s="78"/>
      <c r="TIW27" s="78"/>
      <c r="TJA27" s="78"/>
      <c r="TJE27" s="78"/>
      <c r="TJI27" s="78"/>
      <c r="TJM27" s="78"/>
      <c r="TJQ27" s="78"/>
      <c r="TJU27" s="78"/>
      <c r="TJY27" s="78"/>
      <c r="TKC27" s="78"/>
      <c r="TKG27" s="78"/>
      <c r="TKK27" s="78"/>
      <c r="TKO27" s="78"/>
      <c r="TKS27" s="78"/>
      <c r="TKW27" s="78"/>
      <c r="TLA27" s="78"/>
      <c r="TLE27" s="78"/>
      <c r="TLI27" s="78"/>
      <c r="TLM27" s="78"/>
      <c r="TLQ27" s="78"/>
      <c r="TLU27" s="78"/>
      <c r="TLY27" s="78"/>
      <c r="TMC27" s="78"/>
      <c r="TMG27" s="78"/>
      <c r="TMK27" s="78"/>
      <c r="TMO27" s="78"/>
      <c r="TMS27" s="78"/>
      <c r="TMW27" s="78"/>
      <c r="TNA27" s="78"/>
      <c r="TNE27" s="78"/>
      <c r="TNI27" s="78"/>
      <c r="TNM27" s="78"/>
      <c r="TNQ27" s="78"/>
      <c r="TNU27" s="78"/>
      <c r="TNY27" s="78"/>
      <c r="TOC27" s="78"/>
      <c r="TOG27" s="78"/>
      <c r="TOK27" s="78"/>
      <c r="TOO27" s="78"/>
      <c r="TOS27" s="78"/>
      <c r="TOW27" s="78"/>
      <c r="TPA27" s="78"/>
      <c r="TPE27" s="78"/>
      <c r="TPI27" s="78"/>
      <c r="TPM27" s="78"/>
      <c r="TPQ27" s="78"/>
      <c r="TPU27" s="78"/>
      <c r="TPY27" s="78"/>
      <c r="TQC27" s="78"/>
      <c r="TQG27" s="78"/>
      <c r="TQK27" s="78"/>
      <c r="TQO27" s="78"/>
      <c r="TQS27" s="78"/>
      <c r="TQW27" s="78"/>
      <c r="TRA27" s="78"/>
      <c r="TRE27" s="78"/>
      <c r="TRI27" s="78"/>
      <c r="TRM27" s="78"/>
      <c r="TRQ27" s="78"/>
      <c r="TRU27" s="78"/>
      <c r="TRY27" s="78"/>
      <c r="TSC27" s="78"/>
      <c r="TSG27" s="78"/>
      <c r="TSK27" s="78"/>
      <c r="TSO27" s="78"/>
      <c r="TSS27" s="78"/>
      <c r="TSW27" s="78"/>
      <c r="TTA27" s="78"/>
      <c r="TTE27" s="78"/>
      <c r="TTI27" s="78"/>
      <c r="TTM27" s="78"/>
      <c r="TTQ27" s="78"/>
      <c r="TTU27" s="78"/>
      <c r="TTY27" s="78"/>
      <c r="TUC27" s="78"/>
      <c r="TUG27" s="78"/>
      <c r="TUK27" s="78"/>
      <c r="TUO27" s="78"/>
      <c r="TUS27" s="78"/>
      <c r="TUW27" s="78"/>
      <c r="TVA27" s="78"/>
      <c r="TVE27" s="78"/>
      <c r="TVI27" s="78"/>
      <c r="TVM27" s="78"/>
      <c r="TVQ27" s="78"/>
      <c r="TVU27" s="78"/>
      <c r="TVY27" s="78"/>
      <c r="TWC27" s="78"/>
      <c r="TWG27" s="78"/>
      <c r="TWK27" s="78"/>
      <c r="TWO27" s="78"/>
      <c r="TWS27" s="78"/>
      <c r="TWW27" s="78"/>
      <c r="TXA27" s="78"/>
      <c r="TXE27" s="78"/>
      <c r="TXI27" s="78"/>
      <c r="TXM27" s="78"/>
      <c r="TXQ27" s="78"/>
      <c r="TXU27" s="78"/>
      <c r="TXY27" s="78"/>
      <c r="TYC27" s="78"/>
      <c r="TYG27" s="78"/>
      <c r="TYK27" s="78"/>
      <c r="TYO27" s="78"/>
      <c r="TYS27" s="78"/>
      <c r="TYW27" s="78"/>
      <c r="TZA27" s="78"/>
      <c r="TZE27" s="78"/>
      <c r="TZI27" s="78"/>
      <c r="TZM27" s="78"/>
      <c r="TZQ27" s="78"/>
      <c r="TZU27" s="78"/>
      <c r="TZY27" s="78"/>
      <c r="UAC27" s="78"/>
      <c r="UAG27" s="78"/>
      <c r="UAK27" s="78"/>
      <c r="UAO27" s="78"/>
      <c r="UAS27" s="78"/>
      <c r="UAW27" s="78"/>
      <c r="UBA27" s="78"/>
      <c r="UBE27" s="78"/>
      <c r="UBI27" s="78"/>
      <c r="UBM27" s="78"/>
      <c r="UBQ27" s="78"/>
      <c r="UBU27" s="78"/>
      <c r="UBY27" s="78"/>
      <c r="UCC27" s="78"/>
      <c r="UCG27" s="78"/>
      <c r="UCK27" s="78"/>
      <c r="UCO27" s="78"/>
      <c r="UCS27" s="78"/>
      <c r="UCW27" s="78"/>
      <c r="UDA27" s="78"/>
      <c r="UDE27" s="78"/>
      <c r="UDI27" s="78"/>
      <c r="UDM27" s="78"/>
      <c r="UDQ27" s="78"/>
      <c r="UDU27" s="78"/>
      <c r="UDY27" s="78"/>
      <c r="UEC27" s="78"/>
      <c r="UEG27" s="78"/>
      <c r="UEK27" s="78"/>
      <c r="UEO27" s="78"/>
      <c r="UES27" s="78"/>
      <c r="UEW27" s="78"/>
      <c r="UFA27" s="78"/>
      <c r="UFE27" s="78"/>
      <c r="UFI27" s="78"/>
      <c r="UFM27" s="78"/>
      <c r="UFQ27" s="78"/>
      <c r="UFU27" s="78"/>
      <c r="UFY27" s="78"/>
      <c r="UGC27" s="78"/>
      <c r="UGG27" s="78"/>
      <c r="UGK27" s="78"/>
      <c r="UGO27" s="78"/>
      <c r="UGS27" s="78"/>
      <c r="UGW27" s="78"/>
      <c r="UHA27" s="78"/>
      <c r="UHE27" s="78"/>
      <c r="UHI27" s="78"/>
      <c r="UHM27" s="78"/>
      <c r="UHQ27" s="78"/>
      <c r="UHU27" s="78"/>
      <c r="UHY27" s="78"/>
      <c r="UIC27" s="78"/>
      <c r="UIG27" s="78"/>
      <c r="UIK27" s="78"/>
      <c r="UIO27" s="78"/>
      <c r="UIS27" s="78"/>
      <c r="UIW27" s="78"/>
      <c r="UJA27" s="78"/>
      <c r="UJE27" s="78"/>
      <c r="UJI27" s="78"/>
      <c r="UJM27" s="78"/>
      <c r="UJQ27" s="78"/>
      <c r="UJU27" s="78"/>
      <c r="UJY27" s="78"/>
      <c r="UKC27" s="78"/>
      <c r="UKG27" s="78"/>
      <c r="UKK27" s="78"/>
      <c r="UKO27" s="78"/>
      <c r="UKS27" s="78"/>
      <c r="UKW27" s="78"/>
      <c r="ULA27" s="78"/>
      <c r="ULE27" s="78"/>
      <c r="ULI27" s="78"/>
      <c r="ULM27" s="78"/>
      <c r="ULQ27" s="78"/>
      <c r="ULU27" s="78"/>
      <c r="ULY27" s="78"/>
      <c r="UMC27" s="78"/>
      <c r="UMG27" s="78"/>
      <c r="UMK27" s="78"/>
      <c r="UMO27" s="78"/>
      <c r="UMS27" s="78"/>
      <c r="UMW27" s="78"/>
      <c r="UNA27" s="78"/>
      <c r="UNE27" s="78"/>
      <c r="UNI27" s="78"/>
      <c r="UNM27" s="78"/>
      <c r="UNQ27" s="78"/>
      <c r="UNU27" s="78"/>
      <c r="UNY27" s="78"/>
      <c r="UOC27" s="78"/>
      <c r="UOG27" s="78"/>
      <c r="UOK27" s="78"/>
      <c r="UOO27" s="78"/>
      <c r="UOS27" s="78"/>
      <c r="UOW27" s="78"/>
      <c r="UPA27" s="78"/>
      <c r="UPE27" s="78"/>
      <c r="UPI27" s="78"/>
      <c r="UPM27" s="78"/>
      <c r="UPQ27" s="78"/>
      <c r="UPU27" s="78"/>
      <c r="UPY27" s="78"/>
      <c r="UQC27" s="78"/>
      <c r="UQG27" s="78"/>
      <c r="UQK27" s="78"/>
      <c r="UQO27" s="78"/>
      <c r="UQS27" s="78"/>
      <c r="UQW27" s="78"/>
      <c r="URA27" s="78"/>
      <c r="URE27" s="78"/>
      <c r="URI27" s="78"/>
      <c r="URM27" s="78"/>
      <c r="URQ27" s="78"/>
      <c r="URU27" s="78"/>
      <c r="URY27" s="78"/>
      <c r="USC27" s="78"/>
      <c r="USG27" s="78"/>
      <c r="USK27" s="78"/>
      <c r="USO27" s="78"/>
      <c r="USS27" s="78"/>
      <c r="USW27" s="78"/>
      <c r="UTA27" s="78"/>
      <c r="UTE27" s="78"/>
      <c r="UTI27" s="78"/>
      <c r="UTM27" s="78"/>
      <c r="UTQ27" s="78"/>
      <c r="UTU27" s="78"/>
      <c r="UTY27" s="78"/>
      <c r="UUC27" s="78"/>
      <c r="UUG27" s="78"/>
      <c r="UUK27" s="78"/>
      <c r="UUO27" s="78"/>
      <c r="UUS27" s="78"/>
      <c r="UUW27" s="78"/>
      <c r="UVA27" s="78"/>
      <c r="UVE27" s="78"/>
      <c r="UVI27" s="78"/>
      <c r="UVM27" s="78"/>
      <c r="UVQ27" s="78"/>
      <c r="UVU27" s="78"/>
      <c r="UVY27" s="78"/>
      <c r="UWC27" s="78"/>
      <c r="UWG27" s="78"/>
      <c r="UWK27" s="78"/>
      <c r="UWO27" s="78"/>
      <c r="UWS27" s="78"/>
      <c r="UWW27" s="78"/>
      <c r="UXA27" s="78"/>
      <c r="UXE27" s="78"/>
      <c r="UXI27" s="78"/>
      <c r="UXM27" s="78"/>
      <c r="UXQ27" s="78"/>
      <c r="UXU27" s="78"/>
      <c r="UXY27" s="78"/>
      <c r="UYC27" s="78"/>
      <c r="UYG27" s="78"/>
      <c r="UYK27" s="78"/>
      <c r="UYO27" s="78"/>
      <c r="UYS27" s="78"/>
      <c r="UYW27" s="78"/>
      <c r="UZA27" s="78"/>
      <c r="UZE27" s="78"/>
      <c r="UZI27" s="78"/>
      <c r="UZM27" s="78"/>
      <c r="UZQ27" s="78"/>
      <c r="UZU27" s="78"/>
      <c r="UZY27" s="78"/>
      <c r="VAC27" s="78"/>
      <c r="VAG27" s="78"/>
      <c r="VAK27" s="78"/>
      <c r="VAO27" s="78"/>
      <c r="VAS27" s="78"/>
      <c r="VAW27" s="78"/>
      <c r="VBA27" s="78"/>
      <c r="VBE27" s="78"/>
      <c r="VBI27" s="78"/>
      <c r="VBM27" s="78"/>
      <c r="VBQ27" s="78"/>
      <c r="VBU27" s="78"/>
      <c r="VBY27" s="78"/>
      <c r="VCC27" s="78"/>
      <c r="VCG27" s="78"/>
      <c r="VCK27" s="78"/>
      <c r="VCO27" s="78"/>
      <c r="VCS27" s="78"/>
      <c r="VCW27" s="78"/>
      <c r="VDA27" s="78"/>
      <c r="VDE27" s="78"/>
      <c r="VDI27" s="78"/>
      <c r="VDM27" s="78"/>
      <c r="VDQ27" s="78"/>
      <c r="VDU27" s="78"/>
      <c r="VDY27" s="78"/>
      <c r="VEC27" s="78"/>
      <c r="VEG27" s="78"/>
      <c r="VEK27" s="78"/>
      <c r="VEO27" s="78"/>
      <c r="VES27" s="78"/>
      <c r="VEW27" s="78"/>
      <c r="VFA27" s="78"/>
      <c r="VFE27" s="78"/>
      <c r="VFI27" s="78"/>
      <c r="VFM27" s="78"/>
      <c r="VFQ27" s="78"/>
      <c r="VFU27" s="78"/>
      <c r="VFY27" s="78"/>
      <c r="VGC27" s="78"/>
      <c r="VGG27" s="78"/>
      <c r="VGK27" s="78"/>
      <c r="VGO27" s="78"/>
      <c r="VGS27" s="78"/>
      <c r="VGW27" s="78"/>
      <c r="VHA27" s="78"/>
      <c r="VHE27" s="78"/>
      <c r="VHI27" s="78"/>
      <c r="VHM27" s="78"/>
      <c r="VHQ27" s="78"/>
      <c r="VHU27" s="78"/>
      <c r="VHY27" s="78"/>
      <c r="VIC27" s="78"/>
      <c r="VIG27" s="78"/>
      <c r="VIK27" s="78"/>
      <c r="VIO27" s="78"/>
      <c r="VIS27" s="78"/>
      <c r="VIW27" s="78"/>
      <c r="VJA27" s="78"/>
      <c r="VJE27" s="78"/>
      <c r="VJI27" s="78"/>
      <c r="VJM27" s="78"/>
      <c r="VJQ27" s="78"/>
      <c r="VJU27" s="78"/>
      <c r="VJY27" s="78"/>
      <c r="VKC27" s="78"/>
      <c r="VKG27" s="78"/>
      <c r="VKK27" s="78"/>
      <c r="VKO27" s="78"/>
      <c r="VKS27" s="78"/>
      <c r="VKW27" s="78"/>
      <c r="VLA27" s="78"/>
      <c r="VLE27" s="78"/>
      <c r="VLI27" s="78"/>
      <c r="VLM27" s="78"/>
      <c r="VLQ27" s="78"/>
      <c r="VLU27" s="78"/>
      <c r="VLY27" s="78"/>
      <c r="VMC27" s="78"/>
      <c r="VMG27" s="78"/>
      <c r="VMK27" s="78"/>
      <c r="VMO27" s="78"/>
      <c r="VMS27" s="78"/>
      <c r="VMW27" s="78"/>
      <c r="VNA27" s="78"/>
      <c r="VNE27" s="78"/>
      <c r="VNI27" s="78"/>
      <c r="VNM27" s="78"/>
      <c r="VNQ27" s="78"/>
      <c r="VNU27" s="78"/>
      <c r="VNY27" s="78"/>
      <c r="VOC27" s="78"/>
      <c r="VOG27" s="78"/>
      <c r="VOK27" s="78"/>
      <c r="VOO27" s="78"/>
      <c r="VOS27" s="78"/>
      <c r="VOW27" s="78"/>
      <c r="VPA27" s="78"/>
      <c r="VPE27" s="78"/>
      <c r="VPI27" s="78"/>
      <c r="VPM27" s="78"/>
      <c r="VPQ27" s="78"/>
      <c r="VPU27" s="78"/>
      <c r="VPY27" s="78"/>
      <c r="VQC27" s="78"/>
      <c r="VQG27" s="78"/>
      <c r="VQK27" s="78"/>
      <c r="VQO27" s="78"/>
      <c r="VQS27" s="78"/>
      <c r="VQW27" s="78"/>
      <c r="VRA27" s="78"/>
      <c r="VRE27" s="78"/>
      <c r="VRI27" s="78"/>
      <c r="VRM27" s="78"/>
      <c r="VRQ27" s="78"/>
      <c r="VRU27" s="78"/>
      <c r="VRY27" s="78"/>
      <c r="VSC27" s="78"/>
      <c r="VSG27" s="78"/>
      <c r="VSK27" s="78"/>
      <c r="VSO27" s="78"/>
      <c r="VSS27" s="78"/>
      <c r="VSW27" s="78"/>
      <c r="VTA27" s="78"/>
      <c r="VTE27" s="78"/>
      <c r="VTI27" s="78"/>
      <c r="VTM27" s="78"/>
      <c r="VTQ27" s="78"/>
      <c r="VTU27" s="78"/>
      <c r="VTY27" s="78"/>
      <c r="VUC27" s="78"/>
      <c r="VUG27" s="78"/>
      <c r="VUK27" s="78"/>
      <c r="VUO27" s="78"/>
      <c r="VUS27" s="78"/>
      <c r="VUW27" s="78"/>
      <c r="VVA27" s="78"/>
      <c r="VVE27" s="78"/>
      <c r="VVI27" s="78"/>
      <c r="VVM27" s="78"/>
      <c r="VVQ27" s="78"/>
      <c r="VVU27" s="78"/>
      <c r="VVY27" s="78"/>
      <c r="VWC27" s="78"/>
      <c r="VWG27" s="78"/>
      <c r="VWK27" s="78"/>
      <c r="VWO27" s="78"/>
      <c r="VWS27" s="78"/>
      <c r="VWW27" s="78"/>
      <c r="VXA27" s="78"/>
      <c r="VXE27" s="78"/>
      <c r="VXI27" s="78"/>
      <c r="VXM27" s="78"/>
      <c r="VXQ27" s="78"/>
      <c r="VXU27" s="78"/>
      <c r="VXY27" s="78"/>
      <c r="VYC27" s="78"/>
      <c r="VYG27" s="78"/>
      <c r="VYK27" s="78"/>
      <c r="VYO27" s="78"/>
      <c r="VYS27" s="78"/>
      <c r="VYW27" s="78"/>
      <c r="VZA27" s="78"/>
      <c r="VZE27" s="78"/>
      <c r="VZI27" s="78"/>
      <c r="VZM27" s="78"/>
      <c r="VZQ27" s="78"/>
      <c r="VZU27" s="78"/>
      <c r="VZY27" s="78"/>
      <c r="WAC27" s="78"/>
      <c r="WAG27" s="78"/>
      <c r="WAK27" s="78"/>
      <c r="WAO27" s="78"/>
      <c r="WAS27" s="78"/>
      <c r="WAW27" s="78"/>
      <c r="WBA27" s="78"/>
      <c r="WBE27" s="78"/>
      <c r="WBI27" s="78"/>
      <c r="WBM27" s="78"/>
      <c r="WBQ27" s="78"/>
      <c r="WBU27" s="78"/>
      <c r="WBY27" s="78"/>
      <c r="WCC27" s="78"/>
      <c r="WCG27" s="78"/>
      <c r="WCK27" s="78"/>
      <c r="WCO27" s="78"/>
      <c r="WCS27" s="78"/>
      <c r="WCW27" s="78"/>
      <c r="WDA27" s="78"/>
      <c r="WDE27" s="78"/>
      <c r="WDI27" s="78"/>
      <c r="WDM27" s="78"/>
      <c r="WDQ27" s="78"/>
      <c r="WDU27" s="78"/>
      <c r="WDY27" s="78"/>
      <c r="WEC27" s="78"/>
      <c r="WEG27" s="78"/>
      <c r="WEK27" s="78"/>
      <c r="WEO27" s="78"/>
      <c r="WES27" s="78"/>
      <c r="WEW27" s="78"/>
      <c r="WFA27" s="78"/>
      <c r="WFE27" s="78"/>
      <c r="WFI27" s="78"/>
      <c r="WFM27" s="78"/>
      <c r="WFQ27" s="78"/>
      <c r="WFU27" s="78"/>
      <c r="WFY27" s="78"/>
      <c r="WGC27" s="78"/>
      <c r="WGG27" s="78"/>
      <c r="WGK27" s="78"/>
      <c r="WGO27" s="78"/>
      <c r="WGS27" s="78"/>
      <c r="WGW27" s="78"/>
      <c r="WHA27" s="78"/>
      <c r="WHE27" s="78"/>
      <c r="WHI27" s="78"/>
      <c r="WHM27" s="78"/>
      <c r="WHQ27" s="78"/>
      <c r="WHU27" s="78"/>
      <c r="WHY27" s="78"/>
      <c r="WIC27" s="78"/>
      <c r="WIG27" s="78"/>
      <c r="WIK27" s="78"/>
      <c r="WIO27" s="78"/>
      <c r="WIS27" s="78"/>
      <c r="WIW27" s="78"/>
      <c r="WJA27" s="78"/>
      <c r="WJE27" s="78"/>
      <c r="WJI27" s="78"/>
      <c r="WJM27" s="78"/>
      <c r="WJQ27" s="78"/>
      <c r="WJU27" s="78"/>
      <c r="WJY27" s="78"/>
      <c r="WKC27" s="78"/>
      <c r="WKG27" s="78"/>
      <c r="WKK27" s="78"/>
      <c r="WKO27" s="78"/>
      <c r="WKS27" s="78"/>
      <c r="WKW27" s="78"/>
      <c r="WLA27" s="78"/>
      <c r="WLE27" s="78"/>
      <c r="WLI27" s="78"/>
      <c r="WLM27" s="78"/>
      <c r="WLQ27" s="78"/>
      <c r="WLU27" s="78"/>
      <c r="WLY27" s="78"/>
      <c r="WMC27" s="78"/>
      <c r="WMG27" s="78"/>
      <c r="WMK27" s="78"/>
      <c r="WMO27" s="78"/>
      <c r="WMS27" s="78"/>
      <c r="WMW27" s="78"/>
      <c r="WNA27" s="78"/>
      <c r="WNE27" s="78"/>
      <c r="WNI27" s="78"/>
      <c r="WNM27" s="78"/>
      <c r="WNQ27" s="78"/>
      <c r="WNU27" s="78"/>
      <c r="WNY27" s="78"/>
      <c r="WOC27" s="78"/>
      <c r="WOG27" s="78"/>
      <c r="WOK27" s="78"/>
      <c r="WOO27" s="78"/>
      <c r="WOS27" s="78"/>
      <c r="WOW27" s="78"/>
      <c r="WPA27" s="78"/>
      <c r="WPE27" s="78"/>
      <c r="WPI27" s="78"/>
      <c r="WPM27" s="78"/>
      <c r="WPQ27" s="78"/>
      <c r="WPU27" s="78"/>
      <c r="WPY27" s="78"/>
      <c r="WQC27" s="78"/>
      <c r="WQG27" s="78"/>
      <c r="WQK27" s="78"/>
      <c r="WQO27" s="78"/>
      <c r="WQS27" s="78"/>
      <c r="WQW27" s="78"/>
      <c r="WRA27" s="78"/>
      <c r="WRE27" s="78"/>
      <c r="WRI27" s="78"/>
      <c r="WRM27" s="78"/>
      <c r="WRQ27" s="78"/>
      <c r="WRU27" s="78"/>
      <c r="WRY27" s="78"/>
      <c r="WSC27" s="78"/>
      <c r="WSG27" s="78"/>
      <c r="WSK27" s="78"/>
      <c r="WSO27" s="78"/>
      <c r="WSS27" s="78"/>
      <c r="WSW27" s="78"/>
      <c r="WTA27" s="78"/>
      <c r="WTE27" s="78"/>
      <c r="WTI27" s="78"/>
      <c r="WTM27" s="78"/>
      <c r="WTQ27" s="78"/>
      <c r="WTU27" s="78"/>
      <c r="WTY27" s="78"/>
      <c r="WUC27" s="78"/>
      <c r="WUG27" s="78"/>
      <c r="WUK27" s="78"/>
      <c r="WUO27" s="78"/>
      <c r="WUS27" s="78"/>
      <c r="WUW27" s="78"/>
      <c r="WVA27" s="78"/>
      <c r="WVE27" s="78"/>
      <c r="WVI27" s="78"/>
      <c r="WVM27" s="78"/>
      <c r="WVQ27" s="78"/>
      <c r="WVU27" s="78"/>
      <c r="WVY27" s="78"/>
      <c r="WWC27" s="78"/>
      <c r="WWG27" s="78"/>
      <c r="WWK27" s="78"/>
      <c r="WWO27" s="78"/>
      <c r="WWS27" s="78"/>
      <c r="WWW27" s="78"/>
      <c r="WXA27" s="78"/>
      <c r="WXE27" s="78"/>
      <c r="WXI27" s="78"/>
      <c r="WXM27" s="78"/>
      <c r="WXQ27" s="78"/>
      <c r="WXU27" s="78"/>
      <c r="WXY27" s="78"/>
      <c r="WYC27" s="78"/>
      <c r="WYG27" s="78"/>
      <c r="WYK27" s="78"/>
      <c r="WYO27" s="78"/>
      <c r="WYS27" s="78"/>
      <c r="WYW27" s="78"/>
      <c r="WZA27" s="78"/>
      <c r="WZE27" s="78"/>
      <c r="WZI27" s="78"/>
      <c r="WZM27" s="78"/>
      <c r="WZQ27" s="78"/>
      <c r="WZU27" s="78"/>
      <c r="WZY27" s="78"/>
      <c r="XAC27" s="78"/>
      <c r="XAG27" s="78"/>
      <c r="XAK27" s="78"/>
      <c r="XAO27" s="78"/>
      <c r="XAS27" s="78"/>
      <c r="XAW27" s="78"/>
      <c r="XBA27" s="78"/>
      <c r="XBE27" s="78"/>
      <c r="XBI27" s="78"/>
      <c r="XBM27" s="78"/>
      <c r="XBQ27" s="78"/>
      <c r="XBU27" s="78"/>
      <c r="XBY27" s="78"/>
      <c r="XCC27" s="78"/>
      <c r="XCG27" s="78"/>
      <c r="XCK27" s="78"/>
      <c r="XCO27" s="78"/>
      <c r="XCS27" s="78"/>
      <c r="XCW27" s="78"/>
      <c r="XDA27" s="78"/>
      <c r="XDE27" s="78"/>
      <c r="XDI27" s="78"/>
      <c r="XDM27" s="78"/>
      <c r="XDQ27" s="78"/>
      <c r="XDU27" s="78"/>
      <c r="XDY27" s="78"/>
      <c r="XEC27" s="78"/>
      <c r="XEG27" s="78"/>
      <c r="XEK27" s="78"/>
      <c r="XEO27" s="78"/>
      <c r="XES27" s="78"/>
      <c r="XEW27" s="78"/>
      <c r="XFA27" s="78"/>
    </row>
    <row r="28" spans="1:1021 1025:2045 2049:3069 3073:4093 4097:5117 5121:6141 6145:7165 7169:8189 8193:9213 9217:10237 10241:11261 11265:12285 12289:13309 13313:14333 14337:15357 15361:16381" s="79" customFormat="1" outlineLevel="1">
      <c r="A28" s="78"/>
      <c r="C28" s="72" t="s">
        <v>126</v>
      </c>
      <c r="D28" s="4"/>
      <c r="E28" s="68">
        <f>E27/E$19</f>
        <v>0.64664133862925099</v>
      </c>
      <c r="F28" s="68">
        <f>F27/F$19</f>
        <v>0.62851996936141463</v>
      </c>
      <c r="G28" s="68">
        <f>G27/G$19</f>
        <v>0.37684066281694706</v>
      </c>
      <c r="H28" s="68">
        <f>H27/H$19</f>
        <v>0.45096207742938393</v>
      </c>
      <c r="I28" s="68">
        <f>I27/I$19</f>
        <v>0.44980197319086151</v>
      </c>
      <c r="J28" s="68">
        <f t="shared" ref="J28:S28" si="8">Company_Store_per_Total_Sale</f>
        <v>0.45038202531012272</v>
      </c>
      <c r="K28" s="68">
        <f t="shared" si="8"/>
        <v>0.45038202531012272</v>
      </c>
      <c r="L28" s="68">
        <f t="shared" si="8"/>
        <v>0.45038202531012272</v>
      </c>
      <c r="M28" s="68">
        <f t="shared" si="8"/>
        <v>0.45038202531012272</v>
      </c>
      <c r="N28" s="68">
        <f t="shared" si="8"/>
        <v>0.45038202531012272</v>
      </c>
      <c r="O28" s="68">
        <f t="shared" si="8"/>
        <v>0.45038202531012272</v>
      </c>
      <c r="P28" s="68">
        <f t="shared" si="8"/>
        <v>0.45038202531012272</v>
      </c>
      <c r="Q28" s="68">
        <f t="shared" si="8"/>
        <v>0.45038202531012272</v>
      </c>
      <c r="R28" s="68">
        <f t="shared" si="8"/>
        <v>0.45038202531012272</v>
      </c>
      <c r="S28" s="68">
        <f t="shared" si="8"/>
        <v>0.45038202531012272</v>
      </c>
      <c r="U28" s="78"/>
      <c r="Y28" s="78"/>
      <c r="AC28" s="78"/>
      <c r="AG28" s="78"/>
      <c r="AK28" s="78"/>
      <c r="AO28" s="78"/>
      <c r="AS28" s="78"/>
      <c r="AW28" s="78"/>
      <c r="BA28" s="78"/>
      <c r="BE28" s="78"/>
      <c r="BI28" s="78"/>
      <c r="BM28" s="78"/>
      <c r="BQ28" s="78"/>
      <c r="BU28" s="78"/>
      <c r="BY28" s="78"/>
      <c r="CC28" s="78"/>
      <c r="CG28" s="78"/>
      <c r="CK28" s="78"/>
      <c r="CO28" s="78"/>
      <c r="CS28" s="78"/>
      <c r="CW28" s="78"/>
      <c r="DA28" s="78"/>
      <c r="DE28" s="78"/>
      <c r="DI28" s="78"/>
      <c r="DM28" s="78"/>
      <c r="DQ28" s="78"/>
      <c r="DU28" s="78"/>
      <c r="DY28" s="78"/>
      <c r="EC28" s="78"/>
      <c r="EG28" s="78"/>
      <c r="EK28" s="78"/>
      <c r="EO28" s="78"/>
      <c r="ES28" s="78"/>
      <c r="EW28" s="78"/>
      <c r="FA28" s="78"/>
      <c r="FE28" s="78"/>
      <c r="FI28" s="78"/>
      <c r="FM28" s="78"/>
      <c r="FQ28" s="78"/>
      <c r="FU28" s="78"/>
      <c r="FY28" s="78"/>
      <c r="GC28" s="78"/>
      <c r="GG28" s="78"/>
      <c r="GK28" s="78"/>
      <c r="GO28" s="78"/>
      <c r="GS28" s="78"/>
      <c r="GW28" s="78"/>
      <c r="HA28" s="78"/>
      <c r="HE28" s="78"/>
      <c r="HI28" s="78"/>
      <c r="HM28" s="78"/>
      <c r="HQ28" s="78"/>
      <c r="HU28" s="78"/>
      <c r="HY28" s="78"/>
      <c r="IC28" s="78"/>
      <c r="IG28" s="78"/>
      <c r="IK28" s="78"/>
      <c r="IO28" s="78"/>
      <c r="IS28" s="78"/>
      <c r="IW28" s="78"/>
      <c r="JA28" s="78"/>
      <c r="JE28" s="78"/>
      <c r="JI28" s="78"/>
      <c r="JM28" s="78"/>
      <c r="JQ28" s="78"/>
      <c r="JU28" s="78"/>
      <c r="JY28" s="78"/>
      <c r="KC28" s="78"/>
      <c r="KG28" s="78"/>
      <c r="KK28" s="78"/>
      <c r="KO28" s="78"/>
      <c r="KS28" s="78"/>
      <c r="KW28" s="78"/>
      <c r="LA28" s="78"/>
      <c r="LE28" s="78"/>
      <c r="LI28" s="78"/>
      <c r="LM28" s="78"/>
      <c r="LQ28" s="78"/>
      <c r="LU28" s="78"/>
      <c r="LY28" s="78"/>
      <c r="MC28" s="78"/>
      <c r="MG28" s="78"/>
      <c r="MK28" s="78"/>
      <c r="MO28" s="78"/>
      <c r="MS28" s="78"/>
      <c r="MW28" s="78"/>
      <c r="NA28" s="78"/>
      <c r="NE28" s="78"/>
      <c r="NI28" s="78"/>
      <c r="NM28" s="78"/>
      <c r="NQ28" s="78"/>
      <c r="NU28" s="78"/>
      <c r="NY28" s="78"/>
      <c r="OC28" s="78"/>
      <c r="OG28" s="78"/>
      <c r="OK28" s="78"/>
      <c r="OO28" s="78"/>
      <c r="OS28" s="78"/>
      <c r="OW28" s="78"/>
      <c r="PA28" s="78"/>
      <c r="PE28" s="78"/>
      <c r="PI28" s="78"/>
      <c r="PM28" s="78"/>
      <c r="PQ28" s="78"/>
      <c r="PU28" s="78"/>
      <c r="PY28" s="78"/>
      <c r="QC28" s="78"/>
      <c r="QG28" s="78"/>
      <c r="QK28" s="78"/>
      <c r="QO28" s="78"/>
      <c r="QS28" s="78"/>
      <c r="QW28" s="78"/>
      <c r="RA28" s="78"/>
      <c r="RE28" s="78"/>
      <c r="RI28" s="78"/>
      <c r="RM28" s="78"/>
      <c r="RQ28" s="78"/>
      <c r="RU28" s="78"/>
      <c r="RY28" s="78"/>
      <c r="SC28" s="78"/>
      <c r="SG28" s="78"/>
      <c r="SK28" s="78"/>
      <c r="SO28" s="78"/>
      <c r="SS28" s="78"/>
      <c r="SW28" s="78"/>
      <c r="TA28" s="78"/>
      <c r="TE28" s="78"/>
      <c r="TI28" s="78"/>
      <c r="TM28" s="78"/>
      <c r="TQ28" s="78"/>
      <c r="TU28" s="78"/>
      <c r="TY28" s="78"/>
      <c r="UC28" s="78"/>
      <c r="UG28" s="78"/>
      <c r="UK28" s="78"/>
      <c r="UO28" s="78"/>
      <c r="US28" s="78"/>
      <c r="UW28" s="78"/>
      <c r="VA28" s="78"/>
      <c r="VE28" s="78"/>
      <c r="VI28" s="78"/>
      <c r="VM28" s="78"/>
      <c r="VQ28" s="78"/>
      <c r="VU28" s="78"/>
      <c r="VY28" s="78"/>
      <c r="WC28" s="78"/>
      <c r="WG28" s="78"/>
      <c r="WK28" s="78"/>
      <c r="WO28" s="78"/>
      <c r="WS28" s="78"/>
      <c r="WW28" s="78"/>
      <c r="XA28" s="78"/>
      <c r="XE28" s="78"/>
      <c r="XI28" s="78"/>
      <c r="XM28" s="78"/>
      <c r="XQ28" s="78"/>
      <c r="XU28" s="78"/>
      <c r="XY28" s="78"/>
      <c r="YC28" s="78"/>
      <c r="YG28" s="78"/>
      <c r="YK28" s="78"/>
      <c r="YO28" s="78"/>
      <c r="YS28" s="78"/>
      <c r="YW28" s="78"/>
      <c r="ZA28" s="78"/>
      <c r="ZE28" s="78"/>
      <c r="ZI28" s="78"/>
      <c r="ZM28" s="78"/>
      <c r="ZQ28" s="78"/>
      <c r="ZU28" s="78"/>
      <c r="ZY28" s="78"/>
      <c r="AAC28" s="78"/>
      <c r="AAG28" s="78"/>
      <c r="AAK28" s="78"/>
      <c r="AAO28" s="78"/>
      <c r="AAS28" s="78"/>
      <c r="AAW28" s="78"/>
      <c r="ABA28" s="78"/>
      <c r="ABE28" s="78"/>
      <c r="ABI28" s="78"/>
      <c r="ABM28" s="78"/>
      <c r="ABQ28" s="78"/>
      <c r="ABU28" s="78"/>
      <c r="ABY28" s="78"/>
      <c r="ACC28" s="78"/>
      <c r="ACG28" s="78"/>
      <c r="ACK28" s="78"/>
      <c r="ACO28" s="78"/>
      <c r="ACS28" s="78"/>
      <c r="ACW28" s="78"/>
      <c r="ADA28" s="78"/>
      <c r="ADE28" s="78"/>
      <c r="ADI28" s="78"/>
      <c r="ADM28" s="78"/>
      <c r="ADQ28" s="78"/>
      <c r="ADU28" s="78"/>
      <c r="ADY28" s="78"/>
      <c r="AEC28" s="78"/>
      <c r="AEG28" s="78"/>
      <c r="AEK28" s="78"/>
      <c r="AEO28" s="78"/>
      <c r="AES28" s="78"/>
      <c r="AEW28" s="78"/>
      <c r="AFA28" s="78"/>
      <c r="AFE28" s="78"/>
      <c r="AFI28" s="78"/>
      <c r="AFM28" s="78"/>
      <c r="AFQ28" s="78"/>
      <c r="AFU28" s="78"/>
      <c r="AFY28" s="78"/>
      <c r="AGC28" s="78"/>
      <c r="AGG28" s="78"/>
      <c r="AGK28" s="78"/>
      <c r="AGO28" s="78"/>
      <c r="AGS28" s="78"/>
      <c r="AGW28" s="78"/>
      <c r="AHA28" s="78"/>
      <c r="AHE28" s="78"/>
      <c r="AHI28" s="78"/>
      <c r="AHM28" s="78"/>
      <c r="AHQ28" s="78"/>
      <c r="AHU28" s="78"/>
      <c r="AHY28" s="78"/>
      <c r="AIC28" s="78"/>
      <c r="AIG28" s="78"/>
      <c r="AIK28" s="78"/>
      <c r="AIO28" s="78"/>
      <c r="AIS28" s="78"/>
      <c r="AIW28" s="78"/>
      <c r="AJA28" s="78"/>
      <c r="AJE28" s="78"/>
      <c r="AJI28" s="78"/>
      <c r="AJM28" s="78"/>
      <c r="AJQ28" s="78"/>
      <c r="AJU28" s="78"/>
      <c r="AJY28" s="78"/>
      <c r="AKC28" s="78"/>
      <c r="AKG28" s="78"/>
      <c r="AKK28" s="78"/>
      <c r="AKO28" s="78"/>
      <c r="AKS28" s="78"/>
      <c r="AKW28" s="78"/>
      <c r="ALA28" s="78"/>
      <c r="ALE28" s="78"/>
      <c r="ALI28" s="78"/>
      <c r="ALM28" s="78"/>
      <c r="ALQ28" s="78"/>
      <c r="ALU28" s="78"/>
      <c r="ALY28" s="78"/>
      <c r="AMC28" s="78"/>
      <c r="AMG28" s="78"/>
      <c r="AMK28" s="78"/>
      <c r="AMO28" s="78"/>
      <c r="AMS28" s="78"/>
      <c r="AMW28" s="78"/>
      <c r="ANA28" s="78"/>
      <c r="ANE28" s="78"/>
      <c r="ANI28" s="78"/>
      <c r="ANM28" s="78"/>
      <c r="ANQ28" s="78"/>
      <c r="ANU28" s="78"/>
      <c r="ANY28" s="78"/>
      <c r="AOC28" s="78"/>
      <c r="AOG28" s="78"/>
      <c r="AOK28" s="78"/>
      <c r="AOO28" s="78"/>
      <c r="AOS28" s="78"/>
      <c r="AOW28" s="78"/>
      <c r="APA28" s="78"/>
      <c r="APE28" s="78"/>
      <c r="API28" s="78"/>
      <c r="APM28" s="78"/>
      <c r="APQ28" s="78"/>
      <c r="APU28" s="78"/>
      <c r="APY28" s="78"/>
      <c r="AQC28" s="78"/>
      <c r="AQG28" s="78"/>
      <c r="AQK28" s="78"/>
      <c r="AQO28" s="78"/>
      <c r="AQS28" s="78"/>
      <c r="AQW28" s="78"/>
      <c r="ARA28" s="78"/>
      <c r="ARE28" s="78"/>
      <c r="ARI28" s="78"/>
      <c r="ARM28" s="78"/>
      <c r="ARQ28" s="78"/>
      <c r="ARU28" s="78"/>
      <c r="ARY28" s="78"/>
      <c r="ASC28" s="78"/>
      <c r="ASG28" s="78"/>
      <c r="ASK28" s="78"/>
      <c r="ASO28" s="78"/>
      <c r="ASS28" s="78"/>
      <c r="ASW28" s="78"/>
      <c r="ATA28" s="78"/>
      <c r="ATE28" s="78"/>
      <c r="ATI28" s="78"/>
      <c r="ATM28" s="78"/>
      <c r="ATQ28" s="78"/>
      <c r="ATU28" s="78"/>
      <c r="ATY28" s="78"/>
      <c r="AUC28" s="78"/>
      <c r="AUG28" s="78"/>
      <c r="AUK28" s="78"/>
      <c r="AUO28" s="78"/>
      <c r="AUS28" s="78"/>
      <c r="AUW28" s="78"/>
      <c r="AVA28" s="78"/>
      <c r="AVE28" s="78"/>
      <c r="AVI28" s="78"/>
      <c r="AVM28" s="78"/>
      <c r="AVQ28" s="78"/>
      <c r="AVU28" s="78"/>
      <c r="AVY28" s="78"/>
      <c r="AWC28" s="78"/>
      <c r="AWG28" s="78"/>
      <c r="AWK28" s="78"/>
      <c r="AWO28" s="78"/>
      <c r="AWS28" s="78"/>
      <c r="AWW28" s="78"/>
      <c r="AXA28" s="78"/>
      <c r="AXE28" s="78"/>
      <c r="AXI28" s="78"/>
      <c r="AXM28" s="78"/>
      <c r="AXQ28" s="78"/>
      <c r="AXU28" s="78"/>
      <c r="AXY28" s="78"/>
      <c r="AYC28" s="78"/>
      <c r="AYG28" s="78"/>
      <c r="AYK28" s="78"/>
      <c r="AYO28" s="78"/>
      <c r="AYS28" s="78"/>
      <c r="AYW28" s="78"/>
      <c r="AZA28" s="78"/>
      <c r="AZE28" s="78"/>
      <c r="AZI28" s="78"/>
      <c r="AZM28" s="78"/>
      <c r="AZQ28" s="78"/>
      <c r="AZU28" s="78"/>
      <c r="AZY28" s="78"/>
      <c r="BAC28" s="78"/>
      <c r="BAG28" s="78"/>
      <c r="BAK28" s="78"/>
      <c r="BAO28" s="78"/>
      <c r="BAS28" s="78"/>
      <c r="BAW28" s="78"/>
      <c r="BBA28" s="78"/>
      <c r="BBE28" s="78"/>
      <c r="BBI28" s="78"/>
      <c r="BBM28" s="78"/>
      <c r="BBQ28" s="78"/>
      <c r="BBU28" s="78"/>
      <c r="BBY28" s="78"/>
      <c r="BCC28" s="78"/>
      <c r="BCG28" s="78"/>
      <c r="BCK28" s="78"/>
      <c r="BCO28" s="78"/>
      <c r="BCS28" s="78"/>
      <c r="BCW28" s="78"/>
      <c r="BDA28" s="78"/>
      <c r="BDE28" s="78"/>
      <c r="BDI28" s="78"/>
      <c r="BDM28" s="78"/>
      <c r="BDQ28" s="78"/>
      <c r="BDU28" s="78"/>
      <c r="BDY28" s="78"/>
      <c r="BEC28" s="78"/>
      <c r="BEG28" s="78"/>
      <c r="BEK28" s="78"/>
      <c r="BEO28" s="78"/>
      <c r="BES28" s="78"/>
      <c r="BEW28" s="78"/>
      <c r="BFA28" s="78"/>
      <c r="BFE28" s="78"/>
      <c r="BFI28" s="78"/>
      <c r="BFM28" s="78"/>
      <c r="BFQ28" s="78"/>
      <c r="BFU28" s="78"/>
      <c r="BFY28" s="78"/>
      <c r="BGC28" s="78"/>
      <c r="BGG28" s="78"/>
      <c r="BGK28" s="78"/>
      <c r="BGO28" s="78"/>
      <c r="BGS28" s="78"/>
      <c r="BGW28" s="78"/>
      <c r="BHA28" s="78"/>
      <c r="BHE28" s="78"/>
      <c r="BHI28" s="78"/>
      <c r="BHM28" s="78"/>
      <c r="BHQ28" s="78"/>
      <c r="BHU28" s="78"/>
      <c r="BHY28" s="78"/>
      <c r="BIC28" s="78"/>
      <c r="BIG28" s="78"/>
      <c r="BIK28" s="78"/>
      <c r="BIO28" s="78"/>
      <c r="BIS28" s="78"/>
      <c r="BIW28" s="78"/>
      <c r="BJA28" s="78"/>
      <c r="BJE28" s="78"/>
      <c r="BJI28" s="78"/>
      <c r="BJM28" s="78"/>
      <c r="BJQ28" s="78"/>
      <c r="BJU28" s="78"/>
      <c r="BJY28" s="78"/>
      <c r="BKC28" s="78"/>
      <c r="BKG28" s="78"/>
      <c r="BKK28" s="78"/>
      <c r="BKO28" s="78"/>
      <c r="BKS28" s="78"/>
      <c r="BKW28" s="78"/>
      <c r="BLA28" s="78"/>
      <c r="BLE28" s="78"/>
      <c r="BLI28" s="78"/>
      <c r="BLM28" s="78"/>
      <c r="BLQ28" s="78"/>
      <c r="BLU28" s="78"/>
      <c r="BLY28" s="78"/>
      <c r="BMC28" s="78"/>
      <c r="BMG28" s="78"/>
      <c r="BMK28" s="78"/>
      <c r="BMO28" s="78"/>
      <c r="BMS28" s="78"/>
      <c r="BMW28" s="78"/>
      <c r="BNA28" s="78"/>
      <c r="BNE28" s="78"/>
      <c r="BNI28" s="78"/>
      <c r="BNM28" s="78"/>
      <c r="BNQ28" s="78"/>
      <c r="BNU28" s="78"/>
      <c r="BNY28" s="78"/>
      <c r="BOC28" s="78"/>
      <c r="BOG28" s="78"/>
      <c r="BOK28" s="78"/>
      <c r="BOO28" s="78"/>
      <c r="BOS28" s="78"/>
      <c r="BOW28" s="78"/>
      <c r="BPA28" s="78"/>
      <c r="BPE28" s="78"/>
      <c r="BPI28" s="78"/>
      <c r="BPM28" s="78"/>
      <c r="BPQ28" s="78"/>
      <c r="BPU28" s="78"/>
      <c r="BPY28" s="78"/>
      <c r="BQC28" s="78"/>
      <c r="BQG28" s="78"/>
      <c r="BQK28" s="78"/>
      <c r="BQO28" s="78"/>
      <c r="BQS28" s="78"/>
      <c r="BQW28" s="78"/>
      <c r="BRA28" s="78"/>
      <c r="BRE28" s="78"/>
      <c r="BRI28" s="78"/>
      <c r="BRM28" s="78"/>
      <c r="BRQ28" s="78"/>
      <c r="BRU28" s="78"/>
      <c r="BRY28" s="78"/>
      <c r="BSC28" s="78"/>
      <c r="BSG28" s="78"/>
      <c r="BSK28" s="78"/>
      <c r="BSO28" s="78"/>
      <c r="BSS28" s="78"/>
      <c r="BSW28" s="78"/>
      <c r="BTA28" s="78"/>
      <c r="BTE28" s="78"/>
      <c r="BTI28" s="78"/>
      <c r="BTM28" s="78"/>
      <c r="BTQ28" s="78"/>
      <c r="BTU28" s="78"/>
      <c r="BTY28" s="78"/>
      <c r="BUC28" s="78"/>
      <c r="BUG28" s="78"/>
      <c r="BUK28" s="78"/>
      <c r="BUO28" s="78"/>
      <c r="BUS28" s="78"/>
      <c r="BUW28" s="78"/>
      <c r="BVA28" s="78"/>
      <c r="BVE28" s="78"/>
      <c r="BVI28" s="78"/>
      <c r="BVM28" s="78"/>
      <c r="BVQ28" s="78"/>
      <c r="BVU28" s="78"/>
      <c r="BVY28" s="78"/>
      <c r="BWC28" s="78"/>
      <c r="BWG28" s="78"/>
      <c r="BWK28" s="78"/>
      <c r="BWO28" s="78"/>
      <c r="BWS28" s="78"/>
      <c r="BWW28" s="78"/>
      <c r="BXA28" s="78"/>
      <c r="BXE28" s="78"/>
      <c r="BXI28" s="78"/>
      <c r="BXM28" s="78"/>
      <c r="BXQ28" s="78"/>
      <c r="BXU28" s="78"/>
      <c r="BXY28" s="78"/>
      <c r="BYC28" s="78"/>
      <c r="BYG28" s="78"/>
      <c r="BYK28" s="78"/>
      <c r="BYO28" s="78"/>
      <c r="BYS28" s="78"/>
      <c r="BYW28" s="78"/>
      <c r="BZA28" s="78"/>
      <c r="BZE28" s="78"/>
      <c r="BZI28" s="78"/>
      <c r="BZM28" s="78"/>
      <c r="BZQ28" s="78"/>
      <c r="BZU28" s="78"/>
      <c r="BZY28" s="78"/>
      <c r="CAC28" s="78"/>
      <c r="CAG28" s="78"/>
      <c r="CAK28" s="78"/>
      <c r="CAO28" s="78"/>
      <c r="CAS28" s="78"/>
      <c r="CAW28" s="78"/>
      <c r="CBA28" s="78"/>
      <c r="CBE28" s="78"/>
      <c r="CBI28" s="78"/>
      <c r="CBM28" s="78"/>
      <c r="CBQ28" s="78"/>
      <c r="CBU28" s="78"/>
      <c r="CBY28" s="78"/>
      <c r="CCC28" s="78"/>
      <c r="CCG28" s="78"/>
      <c r="CCK28" s="78"/>
      <c r="CCO28" s="78"/>
      <c r="CCS28" s="78"/>
      <c r="CCW28" s="78"/>
      <c r="CDA28" s="78"/>
      <c r="CDE28" s="78"/>
      <c r="CDI28" s="78"/>
      <c r="CDM28" s="78"/>
      <c r="CDQ28" s="78"/>
      <c r="CDU28" s="78"/>
      <c r="CDY28" s="78"/>
      <c r="CEC28" s="78"/>
      <c r="CEG28" s="78"/>
      <c r="CEK28" s="78"/>
      <c r="CEO28" s="78"/>
      <c r="CES28" s="78"/>
      <c r="CEW28" s="78"/>
      <c r="CFA28" s="78"/>
      <c r="CFE28" s="78"/>
      <c r="CFI28" s="78"/>
      <c r="CFM28" s="78"/>
      <c r="CFQ28" s="78"/>
      <c r="CFU28" s="78"/>
      <c r="CFY28" s="78"/>
      <c r="CGC28" s="78"/>
      <c r="CGG28" s="78"/>
      <c r="CGK28" s="78"/>
      <c r="CGO28" s="78"/>
      <c r="CGS28" s="78"/>
      <c r="CGW28" s="78"/>
      <c r="CHA28" s="78"/>
      <c r="CHE28" s="78"/>
      <c r="CHI28" s="78"/>
      <c r="CHM28" s="78"/>
      <c r="CHQ28" s="78"/>
      <c r="CHU28" s="78"/>
      <c r="CHY28" s="78"/>
      <c r="CIC28" s="78"/>
      <c r="CIG28" s="78"/>
      <c r="CIK28" s="78"/>
      <c r="CIO28" s="78"/>
      <c r="CIS28" s="78"/>
      <c r="CIW28" s="78"/>
      <c r="CJA28" s="78"/>
      <c r="CJE28" s="78"/>
      <c r="CJI28" s="78"/>
      <c r="CJM28" s="78"/>
      <c r="CJQ28" s="78"/>
      <c r="CJU28" s="78"/>
      <c r="CJY28" s="78"/>
      <c r="CKC28" s="78"/>
      <c r="CKG28" s="78"/>
      <c r="CKK28" s="78"/>
      <c r="CKO28" s="78"/>
      <c r="CKS28" s="78"/>
      <c r="CKW28" s="78"/>
      <c r="CLA28" s="78"/>
      <c r="CLE28" s="78"/>
      <c r="CLI28" s="78"/>
      <c r="CLM28" s="78"/>
      <c r="CLQ28" s="78"/>
      <c r="CLU28" s="78"/>
      <c r="CLY28" s="78"/>
      <c r="CMC28" s="78"/>
      <c r="CMG28" s="78"/>
      <c r="CMK28" s="78"/>
      <c r="CMO28" s="78"/>
      <c r="CMS28" s="78"/>
      <c r="CMW28" s="78"/>
      <c r="CNA28" s="78"/>
      <c r="CNE28" s="78"/>
      <c r="CNI28" s="78"/>
      <c r="CNM28" s="78"/>
      <c r="CNQ28" s="78"/>
      <c r="CNU28" s="78"/>
      <c r="CNY28" s="78"/>
      <c r="COC28" s="78"/>
      <c r="COG28" s="78"/>
      <c r="COK28" s="78"/>
      <c r="COO28" s="78"/>
      <c r="COS28" s="78"/>
      <c r="COW28" s="78"/>
      <c r="CPA28" s="78"/>
      <c r="CPE28" s="78"/>
      <c r="CPI28" s="78"/>
      <c r="CPM28" s="78"/>
      <c r="CPQ28" s="78"/>
      <c r="CPU28" s="78"/>
      <c r="CPY28" s="78"/>
      <c r="CQC28" s="78"/>
      <c r="CQG28" s="78"/>
      <c r="CQK28" s="78"/>
      <c r="CQO28" s="78"/>
      <c r="CQS28" s="78"/>
      <c r="CQW28" s="78"/>
      <c r="CRA28" s="78"/>
      <c r="CRE28" s="78"/>
      <c r="CRI28" s="78"/>
      <c r="CRM28" s="78"/>
      <c r="CRQ28" s="78"/>
      <c r="CRU28" s="78"/>
      <c r="CRY28" s="78"/>
      <c r="CSC28" s="78"/>
      <c r="CSG28" s="78"/>
      <c r="CSK28" s="78"/>
      <c r="CSO28" s="78"/>
      <c r="CSS28" s="78"/>
      <c r="CSW28" s="78"/>
      <c r="CTA28" s="78"/>
      <c r="CTE28" s="78"/>
      <c r="CTI28" s="78"/>
      <c r="CTM28" s="78"/>
      <c r="CTQ28" s="78"/>
      <c r="CTU28" s="78"/>
      <c r="CTY28" s="78"/>
      <c r="CUC28" s="78"/>
      <c r="CUG28" s="78"/>
      <c r="CUK28" s="78"/>
      <c r="CUO28" s="78"/>
      <c r="CUS28" s="78"/>
      <c r="CUW28" s="78"/>
      <c r="CVA28" s="78"/>
      <c r="CVE28" s="78"/>
      <c r="CVI28" s="78"/>
      <c r="CVM28" s="78"/>
      <c r="CVQ28" s="78"/>
      <c r="CVU28" s="78"/>
      <c r="CVY28" s="78"/>
      <c r="CWC28" s="78"/>
      <c r="CWG28" s="78"/>
      <c r="CWK28" s="78"/>
      <c r="CWO28" s="78"/>
      <c r="CWS28" s="78"/>
      <c r="CWW28" s="78"/>
      <c r="CXA28" s="78"/>
      <c r="CXE28" s="78"/>
      <c r="CXI28" s="78"/>
      <c r="CXM28" s="78"/>
      <c r="CXQ28" s="78"/>
      <c r="CXU28" s="78"/>
      <c r="CXY28" s="78"/>
      <c r="CYC28" s="78"/>
      <c r="CYG28" s="78"/>
      <c r="CYK28" s="78"/>
      <c r="CYO28" s="78"/>
      <c r="CYS28" s="78"/>
      <c r="CYW28" s="78"/>
      <c r="CZA28" s="78"/>
      <c r="CZE28" s="78"/>
      <c r="CZI28" s="78"/>
      <c r="CZM28" s="78"/>
      <c r="CZQ28" s="78"/>
      <c r="CZU28" s="78"/>
      <c r="CZY28" s="78"/>
      <c r="DAC28" s="78"/>
      <c r="DAG28" s="78"/>
      <c r="DAK28" s="78"/>
      <c r="DAO28" s="78"/>
      <c r="DAS28" s="78"/>
      <c r="DAW28" s="78"/>
      <c r="DBA28" s="78"/>
      <c r="DBE28" s="78"/>
      <c r="DBI28" s="78"/>
      <c r="DBM28" s="78"/>
      <c r="DBQ28" s="78"/>
      <c r="DBU28" s="78"/>
      <c r="DBY28" s="78"/>
      <c r="DCC28" s="78"/>
      <c r="DCG28" s="78"/>
      <c r="DCK28" s="78"/>
      <c r="DCO28" s="78"/>
      <c r="DCS28" s="78"/>
      <c r="DCW28" s="78"/>
      <c r="DDA28" s="78"/>
      <c r="DDE28" s="78"/>
      <c r="DDI28" s="78"/>
      <c r="DDM28" s="78"/>
      <c r="DDQ28" s="78"/>
      <c r="DDU28" s="78"/>
      <c r="DDY28" s="78"/>
      <c r="DEC28" s="78"/>
      <c r="DEG28" s="78"/>
      <c r="DEK28" s="78"/>
      <c r="DEO28" s="78"/>
      <c r="DES28" s="78"/>
      <c r="DEW28" s="78"/>
      <c r="DFA28" s="78"/>
      <c r="DFE28" s="78"/>
      <c r="DFI28" s="78"/>
      <c r="DFM28" s="78"/>
      <c r="DFQ28" s="78"/>
      <c r="DFU28" s="78"/>
      <c r="DFY28" s="78"/>
      <c r="DGC28" s="78"/>
      <c r="DGG28" s="78"/>
      <c r="DGK28" s="78"/>
      <c r="DGO28" s="78"/>
      <c r="DGS28" s="78"/>
      <c r="DGW28" s="78"/>
      <c r="DHA28" s="78"/>
      <c r="DHE28" s="78"/>
      <c r="DHI28" s="78"/>
      <c r="DHM28" s="78"/>
      <c r="DHQ28" s="78"/>
      <c r="DHU28" s="78"/>
      <c r="DHY28" s="78"/>
      <c r="DIC28" s="78"/>
      <c r="DIG28" s="78"/>
      <c r="DIK28" s="78"/>
      <c r="DIO28" s="78"/>
      <c r="DIS28" s="78"/>
      <c r="DIW28" s="78"/>
      <c r="DJA28" s="78"/>
      <c r="DJE28" s="78"/>
      <c r="DJI28" s="78"/>
      <c r="DJM28" s="78"/>
      <c r="DJQ28" s="78"/>
      <c r="DJU28" s="78"/>
      <c r="DJY28" s="78"/>
      <c r="DKC28" s="78"/>
      <c r="DKG28" s="78"/>
      <c r="DKK28" s="78"/>
      <c r="DKO28" s="78"/>
      <c r="DKS28" s="78"/>
      <c r="DKW28" s="78"/>
      <c r="DLA28" s="78"/>
      <c r="DLE28" s="78"/>
      <c r="DLI28" s="78"/>
      <c r="DLM28" s="78"/>
      <c r="DLQ28" s="78"/>
      <c r="DLU28" s="78"/>
      <c r="DLY28" s="78"/>
      <c r="DMC28" s="78"/>
      <c r="DMG28" s="78"/>
      <c r="DMK28" s="78"/>
      <c r="DMO28" s="78"/>
      <c r="DMS28" s="78"/>
      <c r="DMW28" s="78"/>
      <c r="DNA28" s="78"/>
      <c r="DNE28" s="78"/>
      <c r="DNI28" s="78"/>
      <c r="DNM28" s="78"/>
      <c r="DNQ28" s="78"/>
      <c r="DNU28" s="78"/>
      <c r="DNY28" s="78"/>
      <c r="DOC28" s="78"/>
      <c r="DOG28" s="78"/>
      <c r="DOK28" s="78"/>
      <c r="DOO28" s="78"/>
      <c r="DOS28" s="78"/>
      <c r="DOW28" s="78"/>
      <c r="DPA28" s="78"/>
      <c r="DPE28" s="78"/>
      <c r="DPI28" s="78"/>
      <c r="DPM28" s="78"/>
      <c r="DPQ28" s="78"/>
      <c r="DPU28" s="78"/>
      <c r="DPY28" s="78"/>
      <c r="DQC28" s="78"/>
      <c r="DQG28" s="78"/>
      <c r="DQK28" s="78"/>
      <c r="DQO28" s="78"/>
      <c r="DQS28" s="78"/>
      <c r="DQW28" s="78"/>
      <c r="DRA28" s="78"/>
      <c r="DRE28" s="78"/>
      <c r="DRI28" s="78"/>
      <c r="DRM28" s="78"/>
      <c r="DRQ28" s="78"/>
      <c r="DRU28" s="78"/>
      <c r="DRY28" s="78"/>
      <c r="DSC28" s="78"/>
      <c r="DSG28" s="78"/>
      <c r="DSK28" s="78"/>
      <c r="DSO28" s="78"/>
      <c r="DSS28" s="78"/>
      <c r="DSW28" s="78"/>
      <c r="DTA28" s="78"/>
      <c r="DTE28" s="78"/>
      <c r="DTI28" s="78"/>
      <c r="DTM28" s="78"/>
      <c r="DTQ28" s="78"/>
      <c r="DTU28" s="78"/>
      <c r="DTY28" s="78"/>
      <c r="DUC28" s="78"/>
      <c r="DUG28" s="78"/>
      <c r="DUK28" s="78"/>
      <c r="DUO28" s="78"/>
      <c r="DUS28" s="78"/>
      <c r="DUW28" s="78"/>
      <c r="DVA28" s="78"/>
      <c r="DVE28" s="78"/>
      <c r="DVI28" s="78"/>
      <c r="DVM28" s="78"/>
      <c r="DVQ28" s="78"/>
      <c r="DVU28" s="78"/>
      <c r="DVY28" s="78"/>
      <c r="DWC28" s="78"/>
      <c r="DWG28" s="78"/>
      <c r="DWK28" s="78"/>
      <c r="DWO28" s="78"/>
      <c r="DWS28" s="78"/>
      <c r="DWW28" s="78"/>
      <c r="DXA28" s="78"/>
      <c r="DXE28" s="78"/>
      <c r="DXI28" s="78"/>
      <c r="DXM28" s="78"/>
      <c r="DXQ28" s="78"/>
      <c r="DXU28" s="78"/>
      <c r="DXY28" s="78"/>
      <c r="DYC28" s="78"/>
      <c r="DYG28" s="78"/>
      <c r="DYK28" s="78"/>
      <c r="DYO28" s="78"/>
      <c r="DYS28" s="78"/>
      <c r="DYW28" s="78"/>
      <c r="DZA28" s="78"/>
      <c r="DZE28" s="78"/>
      <c r="DZI28" s="78"/>
      <c r="DZM28" s="78"/>
      <c r="DZQ28" s="78"/>
      <c r="DZU28" s="78"/>
      <c r="DZY28" s="78"/>
      <c r="EAC28" s="78"/>
      <c r="EAG28" s="78"/>
      <c r="EAK28" s="78"/>
      <c r="EAO28" s="78"/>
      <c r="EAS28" s="78"/>
      <c r="EAW28" s="78"/>
      <c r="EBA28" s="78"/>
      <c r="EBE28" s="78"/>
      <c r="EBI28" s="78"/>
      <c r="EBM28" s="78"/>
      <c r="EBQ28" s="78"/>
      <c r="EBU28" s="78"/>
      <c r="EBY28" s="78"/>
      <c r="ECC28" s="78"/>
      <c r="ECG28" s="78"/>
      <c r="ECK28" s="78"/>
      <c r="ECO28" s="78"/>
      <c r="ECS28" s="78"/>
      <c r="ECW28" s="78"/>
      <c r="EDA28" s="78"/>
      <c r="EDE28" s="78"/>
      <c r="EDI28" s="78"/>
      <c r="EDM28" s="78"/>
      <c r="EDQ28" s="78"/>
      <c r="EDU28" s="78"/>
      <c r="EDY28" s="78"/>
      <c r="EEC28" s="78"/>
      <c r="EEG28" s="78"/>
      <c r="EEK28" s="78"/>
      <c r="EEO28" s="78"/>
      <c r="EES28" s="78"/>
      <c r="EEW28" s="78"/>
      <c r="EFA28" s="78"/>
      <c r="EFE28" s="78"/>
      <c r="EFI28" s="78"/>
      <c r="EFM28" s="78"/>
      <c r="EFQ28" s="78"/>
      <c r="EFU28" s="78"/>
      <c r="EFY28" s="78"/>
      <c r="EGC28" s="78"/>
      <c r="EGG28" s="78"/>
      <c r="EGK28" s="78"/>
      <c r="EGO28" s="78"/>
      <c r="EGS28" s="78"/>
      <c r="EGW28" s="78"/>
      <c r="EHA28" s="78"/>
      <c r="EHE28" s="78"/>
      <c r="EHI28" s="78"/>
      <c r="EHM28" s="78"/>
      <c r="EHQ28" s="78"/>
      <c r="EHU28" s="78"/>
      <c r="EHY28" s="78"/>
      <c r="EIC28" s="78"/>
      <c r="EIG28" s="78"/>
      <c r="EIK28" s="78"/>
      <c r="EIO28" s="78"/>
      <c r="EIS28" s="78"/>
      <c r="EIW28" s="78"/>
      <c r="EJA28" s="78"/>
      <c r="EJE28" s="78"/>
      <c r="EJI28" s="78"/>
      <c r="EJM28" s="78"/>
      <c r="EJQ28" s="78"/>
      <c r="EJU28" s="78"/>
      <c r="EJY28" s="78"/>
      <c r="EKC28" s="78"/>
      <c r="EKG28" s="78"/>
      <c r="EKK28" s="78"/>
      <c r="EKO28" s="78"/>
      <c r="EKS28" s="78"/>
      <c r="EKW28" s="78"/>
      <c r="ELA28" s="78"/>
      <c r="ELE28" s="78"/>
      <c r="ELI28" s="78"/>
      <c r="ELM28" s="78"/>
      <c r="ELQ28" s="78"/>
      <c r="ELU28" s="78"/>
      <c r="ELY28" s="78"/>
      <c r="EMC28" s="78"/>
      <c r="EMG28" s="78"/>
      <c r="EMK28" s="78"/>
      <c r="EMO28" s="78"/>
      <c r="EMS28" s="78"/>
      <c r="EMW28" s="78"/>
      <c r="ENA28" s="78"/>
      <c r="ENE28" s="78"/>
      <c r="ENI28" s="78"/>
      <c r="ENM28" s="78"/>
      <c r="ENQ28" s="78"/>
      <c r="ENU28" s="78"/>
      <c r="ENY28" s="78"/>
      <c r="EOC28" s="78"/>
      <c r="EOG28" s="78"/>
      <c r="EOK28" s="78"/>
      <c r="EOO28" s="78"/>
      <c r="EOS28" s="78"/>
      <c r="EOW28" s="78"/>
      <c r="EPA28" s="78"/>
      <c r="EPE28" s="78"/>
      <c r="EPI28" s="78"/>
      <c r="EPM28" s="78"/>
      <c r="EPQ28" s="78"/>
      <c r="EPU28" s="78"/>
      <c r="EPY28" s="78"/>
      <c r="EQC28" s="78"/>
      <c r="EQG28" s="78"/>
      <c r="EQK28" s="78"/>
      <c r="EQO28" s="78"/>
      <c r="EQS28" s="78"/>
      <c r="EQW28" s="78"/>
      <c r="ERA28" s="78"/>
      <c r="ERE28" s="78"/>
      <c r="ERI28" s="78"/>
      <c r="ERM28" s="78"/>
      <c r="ERQ28" s="78"/>
      <c r="ERU28" s="78"/>
      <c r="ERY28" s="78"/>
      <c r="ESC28" s="78"/>
      <c r="ESG28" s="78"/>
      <c r="ESK28" s="78"/>
      <c r="ESO28" s="78"/>
      <c r="ESS28" s="78"/>
      <c r="ESW28" s="78"/>
      <c r="ETA28" s="78"/>
      <c r="ETE28" s="78"/>
      <c r="ETI28" s="78"/>
      <c r="ETM28" s="78"/>
      <c r="ETQ28" s="78"/>
      <c r="ETU28" s="78"/>
      <c r="ETY28" s="78"/>
      <c r="EUC28" s="78"/>
      <c r="EUG28" s="78"/>
      <c r="EUK28" s="78"/>
      <c r="EUO28" s="78"/>
      <c r="EUS28" s="78"/>
      <c r="EUW28" s="78"/>
      <c r="EVA28" s="78"/>
      <c r="EVE28" s="78"/>
      <c r="EVI28" s="78"/>
      <c r="EVM28" s="78"/>
      <c r="EVQ28" s="78"/>
      <c r="EVU28" s="78"/>
      <c r="EVY28" s="78"/>
      <c r="EWC28" s="78"/>
      <c r="EWG28" s="78"/>
      <c r="EWK28" s="78"/>
      <c r="EWO28" s="78"/>
      <c r="EWS28" s="78"/>
      <c r="EWW28" s="78"/>
      <c r="EXA28" s="78"/>
      <c r="EXE28" s="78"/>
      <c r="EXI28" s="78"/>
      <c r="EXM28" s="78"/>
      <c r="EXQ28" s="78"/>
      <c r="EXU28" s="78"/>
      <c r="EXY28" s="78"/>
      <c r="EYC28" s="78"/>
      <c r="EYG28" s="78"/>
      <c r="EYK28" s="78"/>
      <c r="EYO28" s="78"/>
      <c r="EYS28" s="78"/>
      <c r="EYW28" s="78"/>
      <c r="EZA28" s="78"/>
      <c r="EZE28" s="78"/>
      <c r="EZI28" s="78"/>
      <c r="EZM28" s="78"/>
      <c r="EZQ28" s="78"/>
      <c r="EZU28" s="78"/>
      <c r="EZY28" s="78"/>
      <c r="FAC28" s="78"/>
      <c r="FAG28" s="78"/>
      <c r="FAK28" s="78"/>
      <c r="FAO28" s="78"/>
      <c r="FAS28" s="78"/>
      <c r="FAW28" s="78"/>
      <c r="FBA28" s="78"/>
      <c r="FBE28" s="78"/>
      <c r="FBI28" s="78"/>
      <c r="FBM28" s="78"/>
      <c r="FBQ28" s="78"/>
      <c r="FBU28" s="78"/>
      <c r="FBY28" s="78"/>
      <c r="FCC28" s="78"/>
      <c r="FCG28" s="78"/>
      <c r="FCK28" s="78"/>
      <c r="FCO28" s="78"/>
      <c r="FCS28" s="78"/>
      <c r="FCW28" s="78"/>
      <c r="FDA28" s="78"/>
      <c r="FDE28" s="78"/>
      <c r="FDI28" s="78"/>
      <c r="FDM28" s="78"/>
      <c r="FDQ28" s="78"/>
      <c r="FDU28" s="78"/>
      <c r="FDY28" s="78"/>
      <c r="FEC28" s="78"/>
      <c r="FEG28" s="78"/>
      <c r="FEK28" s="78"/>
      <c r="FEO28" s="78"/>
      <c r="FES28" s="78"/>
      <c r="FEW28" s="78"/>
      <c r="FFA28" s="78"/>
      <c r="FFE28" s="78"/>
      <c r="FFI28" s="78"/>
      <c r="FFM28" s="78"/>
      <c r="FFQ28" s="78"/>
      <c r="FFU28" s="78"/>
      <c r="FFY28" s="78"/>
      <c r="FGC28" s="78"/>
      <c r="FGG28" s="78"/>
      <c r="FGK28" s="78"/>
      <c r="FGO28" s="78"/>
      <c r="FGS28" s="78"/>
      <c r="FGW28" s="78"/>
      <c r="FHA28" s="78"/>
      <c r="FHE28" s="78"/>
      <c r="FHI28" s="78"/>
      <c r="FHM28" s="78"/>
      <c r="FHQ28" s="78"/>
      <c r="FHU28" s="78"/>
      <c r="FHY28" s="78"/>
      <c r="FIC28" s="78"/>
      <c r="FIG28" s="78"/>
      <c r="FIK28" s="78"/>
      <c r="FIO28" s="78"/>
      <c r="FIS28" s="78"/>
      <c r="FIW28" s="78"/>
      <c r="FJA28" s="78"/>
      <c r="FJE28" s="78"/>
      <c r="FJI28" s="78"/>
      <c r="FJM28" s="78"/>
      <c r="FJQ28" s="78"/>
      <c r="FJU28" s="78"/>
      <c r="FJY28" s="78"/>
      <c r="FKC28" s="78"/>
      <c r="FKG28" s="78"/>
      <c r="FKK28" s="78"/>
      <c r="FKO28" s="78"/>
      <c r="FKS28" s="78"/>
      <c r="FKW28" s="78"/>
      <c r="FLA28" s="78"/>
      <c r="FLE28" s="78"/>
      <c r="FLI28" s="78"/>
      <c r="FLM28" s="78"/>
      <c r="FLQ28" s="78"/>
      <c r="FLU28" s="78"/>
      <c r="FLY28" s="78"/>
      <c r="FMC28" s="78"/>
      <c r="FMG28" s="78"/>
      <c r="FMK28" s="78"/>
      <c r="FMO28" s="78"/>
      <c r="FMS28" s="78"/>
      <c r="FMW28" s="78"/>
      <c r="FNA28" s="78"/>
      <c r="FNE28" s="78"/>
      <c r="FNI28" s="78"/>
      <c r="FNM28" s="78"/>
      <c r="FNQ28" s="78"/>
      <c r="FNU28" s="78"/>
      <c r="FNY28" s="78"/>
      <c r="FOC28" s="78"/>
      <c r="FOG28" s="78"/>
      <c r="FOK28" s="78"/>
      <c r="FOO28" s="78"/>
      <c r="FOS28" s="78"/>
      <c r="FOW28" s="78"/>
      <c r="FPA28" s="78"/>
      <c r="FPE28" s="78"/>
      <c r="FPI28" s="78"/>
      <c r="FPM28" s="78"/>
      <c r="FPQ28" s="78"/>
      <c r="FPU28" s="78"/>
      <c r="FPY28" s="78"/>
      <c r="FQC28" s="78"/>
      <c r="FQG28" s="78"/>
      <c r="FQK28" s="78"/>
      <c r="FQO28" s="78"/>
      <c r="FQS28" s="78"/>
      <c r="FQW28" s="78"/>
      <c r="FRA28" s="78"/>
      <c r="FRE28" s="78"/>
      <c r="FRI28" s="78"/>
      <c r="FRM28" s="78"/>
      <c r="FRQ28" s="78"/>
      <c r="FRU28" s="78"/>
      <c r="FRY28" s="78"/>
      <c r="FSC28" s="78"/>
      <c r="FSG28" s="78"/>
      <c r="FSK28" s="78"/>
      <c r="FSO28" s="78"/>
      <c r="FSS28" s="78"/>
      <c r="FSW28" s="78"/>
      <c r="FTA28" s="78"/>
      <c r="FTE28" s="78"/>
      <c r="FTI28" s="78"/>
      <c r="FTM28" s="78"/>
      <c r="FTQ28" s="78"/>
      <c r="FTU28" s="78"/>
      <c r="FTY28" s="78"/>
      <c r="FUC28" s="78"/>
      <c r="FUG28" s="78"/>
      <c r="FUK28" s="78"/>
      <c r="FUO28" s="78"/>
      <c r="FUS28" s="78"/>
      <c r="FUW28" s="78"/>
      <c r="FVA28" s="78"/>
      <c r="FVE28" s="78"/>
      <c r="FVI28" s="78"/>
      <c r="FVM28" s="78"/>
      <c r="FVQ28" s="78"/>
      <c r="FVU28" s="78"/>
      <c r="FVY28" s="78"/>
      <c r="FWC28" s="78"/>
      <c r="FWG28" s="78"/>
      <c r="FWK28" s="78"/>
      <c r="FWO28" s="78"/>
      <c r="FWS28" s="78"/>
      <c r="FWW28" s="78"/>
      <c r="FXA28" s="78"/>
      <c r="FXE28" s="78"/>
      <c r="FXI28" s="78"/>
      <c r="FXM28" s="78"/>
      <c r="FXQ28" s="78"/>
      <c r="FXU28" s="78"/>
      <c r="FXY28" s="78"/>
      <c r="FYC28" s="78"/>
      <c r="FYG28" s="78"/>
      <c r="FYK28" s="78"/>
      <c r="FYO28" s="78"/>
      <c r="FYS28" s="78"/>
      <c r="FYW28" s="78"/>
      <c r="FZA28" s="78"/>
      <c r="FZE28" s="78"/>
      <c r="FZI28" s="78"/>
      <c r="FZM28" s="78"/>
      <c r="FZQ28" s="78"/>
      <c r="FZU28" s="78"/>
      <c r="FZY28" s="78"/>
      <c r="GAC28" s="78"/>
      <c r="GAG28" s="78"/>
      <c r="GAK28" s="78"/>
      <c r="GAO28" s="78"/>
      <c r="GAS28" s="78"/>
      <c r="GAW28" s="78"/>
      <c r="GBA28" s="78"/>
      <c r="GBE28" s="78"/>
      <c r="GBI28" s="78"/>
      <c r="GBM28" s="78"/>
      <c r="GBQ28" s="78"/>
      <c r="GBU28" s="78"/>
      <c r="GBY28" s="78"/>
      <c r="GCC28" s="78"/>
      <c r="GCG28" s="78"/>
      <c r="GCK28" s="78"/>
      <c r="GCO28" s="78"/>
      <c r="GCS28" s="78"/>
      <c r="GCW28" s="78"/>
      <c r="GDA28" s="78"/>
      <c r="GDE28" s="78"/>
      <c r="GDI28" s="78"/>
      <c r="GDM28" s="78"/>
      <c r="GDQ28" s="78"/>
      <c r="GDU28" s="78"/>
      <c r="GDY28" s="78"/>
      <c r="GEC28" s="78"/>
      <c r="GEG28" s="78"/>
      <c r="GEK28" s="78"/>
      <c r="GEO28" s="78"/>
      <c r="GES28" s="78"/>
      <c r="GEW28" s="78"/>
      <c r="GFA28" s="78"/>
      <c r="GFE28" s="78"/>
      <c r="GFI28" s="78"/>
      <c r="GFM28" s="78"/>
      <c r="GFQ28" s="78"/>
      <c r="GFU28" s="78"/>
      <c r="GFY28" s="78"/>
      <c r="GGC28" s="78"/>
      <c r="GGG28" s="78"/>
      <c r="GGK28" s="78"/>
      <c r="GGO28" s="78"/>
      <c r="GGS28" s="78"/>
      <c r="GGW28" s="78"/>
      <c r="GHA28" s="78"/>
      <c r="GHE28" s="78"/>
      <c r="GHI28" s="78"/>
      <c r="GHM28" s="78"/>
      <c r="GHQ28" s="78"/>
      <c r="GHU28" s="78"/>
      <c r="GHY28" s="78"/>
      <c r="GIC28" s="78"/>
      <c r="GIG28" s="78"/>
      <c r="GIK28" s="78"/>
      <c r="GIO28" s="78"/>
      <c r="GIS28" s="78"/>
      <c r="GIW28" s="78"/>
      <c r="GJA28" s="78"/>
      <c r="GJE28" s="78"/>
      <c r="GJI28" s="78"/>
      <c r="GJM28" s="78"/>
      <c r="GJQ28" s="78"/>
      <c r="GJU28" s="78"/>
      <c r="GJY28" s="78"/>
      <c r="GKC28" s="78"/>
      <c r="GKG28" s="78"/>
      <c r="GKK28" s="78"/>
      <c r="GKO28" s="78"/>
      <c r="GKS28" s="78"/>
      <c r="GKW28" s="78"/>
      <c r="GLA28" s="78"/>
      <c r="GLE28" s="78"/>
      <c r="GLI28" s="78"/>
      <c r="GLM28" s="78"/>
      <c r="GLQ28" s="78"/>
      <c r="GLU28" s="78"/>
      <c r="GLY28" s="78"/>
      <c r="GMC28" s="78"/>
      <c r="GMG28" s="78"/>
      <c r="GMK28" s="78"/>
      <c r="GMO28" s="78"/>
      <c r="GMS28" s="78"/>
      <c r="GMW28" s="78"/>
      <c r="GNA28" s="78"/>
      <c r="GNE28" s="78"/>
      <c r="GNI28" s="78"/>
      <c r="GNM28" s="78"/>
      <c r="GNQ28" s="78"/>
      <c r="GNU28" s="78"/>
      <c r="GNY28" s="78"/>
      <c r="GOC28" s="78"/>
      <c r="GOG28" s="78"/>
      <c r="GOK28" s="78"/>
      <c r="GOO28" s="78"/>
      <c r="GOS28" s="78"/>
      <c r="GOW28" s="78"/>
      <c r="GPA28" s="78"/>
      <c r="GPE28" s="78"/>
      <c r="GPI28" s="78"/>
      <c r="GPM28" s="78"/>
      <c r="GPQ28" s="78"/>
      <c r="GPU28" s="78"/>
      <c r="GPY28" s="78"/>
      <c r="GQC28" s="78"/>
      <c r="GQG28" s="78"/>
      <c r="GQK28" s="78"/>
      <c r="GQO28" s="78"/>
      <c r="GQS28" s="78"/>
      <c r="GQW28" s="78"/>
      <c r="GRA28" s="78"/>
      <c r="GRE28" s="78"/>
      <c r="GRI28" s="78"/>
      <c r="GRM28" s="78"/>
      <c r="GRQ28" s="78"/>
      <c r="GRU28" s="78"/>
      <c r="GRY28" s="78"/>
      <c r="GSC28" s="78"/>
      <c r="GSG28" s="78"/>
      <c r="GSK28" s="78"/>
      <c r="GSO28" s="78"/>
      <c r="GSS28" s="78"/>
      <c r="GSW28" s="78"/>
      <c r="GTA28" s="78"/>
      <c r="GTE28" s="78"/>
      <c r="GTI28" s="78"/>
      <c r="GTM28" s="78"/>
      <c r="GTQ28" s="78"/>
      <c r="GTU28" s="78"/>
      <c r="GTY28" s="78"/>
      <c r="GUC28" s="78"/>
      <c r="GUG28" s="78"/>
      <c r="GUK28" s="78"/>
      <c r="GUO28" s="78"/>
      <c r="GUS28" s="78"/>
      <c r="GUW28" s="78"/>
      <c r="GVA28" s="78"/>
      <c r="GVE28" s="78"/>
      <c r="GVI28" s="78"/>
      <c r="GVM28" s="78"/>
      <c r="GVQ28" s="78"/>
      <c r="GVU28" s="78"/>
      <c r="GVY28" s="78"/>
      <c r="GWC28" s="78"/>
      <c r="GWG28" s="78"/>
      <c r="GWK28" s="78"/>
      <c r="GWO28" s="78"/>
      <c r="GWS28" s="78"/>
      <c r="GWW28" s="78"/>
      <c r="GXA28" s="78"/>
      <c r="GXE28" s="78"/>
      <c r="GXI28" s="78"/>
      <c r="GXM28" s="78"/>
      <c r="GXQ28" s="78"/>
      <c r="GXU28" s="78"/>
      <c r="GXY28" s="78"/>
      <c r="GYC28" s="78"/>
      <c r="GYG28" s="78"/>
      <c r="GYK28" s="78"/>
      <c r="GYO28" s="78"/>
      <c r="GYS28" s="78"/>
      <c r="GYW28" s="78"/>
      <c r="GZA28" s="78"/>
      <c r="GZE28" s="78"/>
      <c r="GZI28" s="78"/>
      <c r="GZM28" s="78"/>
      <c r="GZQ28" s="78"/>
      <c r="GZU28" s="78"/>
      <c r="GZY28" s="78"/>
      <c r="HAC28" s="78"/>
      <c r="HAG28" s="78"/>
      <c r="HAK28" s="78"/>
      <c r="HAO28" s="78"/>
      <c r="HAS28" s="78"/>
      <c r="HAW28" s="78"/>
      <c r="HBA28" s="78"/>
      <c r="HBE28" s="78"/>
      <c r="HBI28" s="78"/>
      <c r="HBM28" s="78"/>
      <c r="HBQ28" s="78"/>
      <c r="HBU28" s="78"/>
      <c r="HBY28" s="78"/>
      <c r="HCC28" s="78"/>
      <c r="HCG28" s="78"/>
      <c r="HCK28" s="78"/>
      <c r="HCO28" s="78"/>
      <c r="HCS28" s="78"/>
      <c r="HCW28" s="78"/>
      <c r="HDA28" s="78"/>
      <c r="HDE28" s="78"/>
      <c r="HDI28" s="78"/>
      <c r="HDM28" s="78"/>
      <c r="HDQ28" s="78"/>
      <c r="HDU28" s="78"/>
      <c r="HDY28" s="78"/>
      <c r="HEC28" s="78"/>
      <c r="HEG28" s="78"/>
      <c r="HEK28" s="78"/>
      <c r="HEO28" s="78"/>
      <c r="HES28" s="78"/>
      <c r="HEW28" s="78"/>
      <c r="HFA28" s="78"/>
      <c r="HFE28" s="78"/>
      <c r="HFI28" s="78"/>
      <c r="HFM28" s="78"/>
      <c r="HFQ28" s="78"/>
      <c r="HFU28" s="78"/>
      <c r="HFY28" s="78"/>
      <c r="HGC28" s="78"/>
      <c r="HGG28" s="78"/>
      <c r="HGK28" s="78"/>
      <c r="HGO28" s="78"/>
      <c r="HGS28" s="78"/>
      <c r="HGW28" s="78"/>
      <c r="HHA28" s="78"/>
      <c r="HHE28" s="78"/>
      <c r="HHI28" s="78"/>
      <c r="HHM28" s="78"/>
      <c r="HHQ28" s="78"/>
      <c r="HHU28" s="78"/>
      <c r="HHY28" s="78"/>
      <c r="HIC28" s="78"/>
      <c r="HIG28" s="78"/>
      <c r="HIK28" s="78"/>
      <c r="HIO28" s="78"/>
      <c r="HIS28" s="78"/>
      <c r="HIW28" s="78"/>
      <c r="HJA28" s="78"/>
      <c r="HJE28" s="78"/>
      <c r="HJI28" s="78"/>
      <c r="HJM28" s="78"/>
      <c r="HJQ28" s="78"/>
      <c r="HJU28" s="78"/>
      <c r="HJY28" s="78"/>
      <c r="HKC28" s="78"/>
      <c r="HKG28" s="78"/>
      <c r="HKK28" s="78"/>
      <c r="HKO28" s="78"/>
      <c r="HKS28" s="78"/>
      <c r="HKW28" s="78"/>
      <c r="HLA28" s="78"/>
      <c r="HLE28" s="78"/>
      <c r="HLI28" s="78"/>
      <c r="HLM28" s="78"/>
      <c r="HLQ28" s="78"/>
      <c r="HLU28" s="78"/>
      <c r="HLY28" s="78"/>
      <c r="HMC28" s="78"/>
      <c r="HMG28" s="78"/>
      <c r="HMK28" s="78"/>
      <c r="HMO28" s="78"/>
      <c r="HMS28" s="78"/>
      <c r="HMW28" s="78"/>
      <c r="HNA28" s="78"/>
      <c r="HNE28" s="78"/>
      <c r="HNI28" s="78"/>
      <c r="HNM28" s="78"/>
      <c r="HNQ28" s="78"/>
      <c r="HNU28" s="78"/>
      <c r="HNY28" s="78"/>
      <c r="HOC28" s="78"/>
      <c r="HOG28" s="78"/>
      <c r="HOK28" s="78"/>
      <c r="HOO28" s="78"/>
      <c r="HOS28" s="78"/>
      <c r="HOW28" s="78"/>
      <c r="HPA28" s="78"/>
      <c r="HPE28" s="78"/>
      <c r="HPI28" s="78"/>
      <c r="HPM28" s="78"/>
      <c r="HPQ28" s="78"/>
      <c r="HPU28" s="78"/>
      <c r="HPY28" s="78"/>
      <c r="HQC28" s="78"/>
      <c r="HQG28" s="78"/>
      <c r="HQK28" s="78"/>
      <c r="HQO28" s="78"/>
      <c r="HQS28" s="78"/>
      <c r="HQW28" s="78"/>
      <c r="HRA28" s="78"/>
      <c r="HRE28" s="78"/>
      <c r="HRI28" s="78"/>
      <c r="HRM28" s="78"/>
      <c r="HRQ28" s="78"/>
      <c r="HRU28" s="78"/>
      <c r="HRY28" s="78"/>
      <c r="HSC28" s="78"/>
      <c r="HSG28" s="78"/>
      <c r="HSK28" s="78"/>
      <c r="HSO28" s="78"/>
      <c r="HSS28" s="78"/>
      <c r="HSW28" s="78"/>
      <c r="HTA28" s="78"/>
      <c r="HTE28" s="78"/>
      <c r="HTI28" s="78"/>
      <c r="HTM28" s="78"/>
      <c r="HTQ28" s="78"/>
      <c r="HTU28" s="78"/>
      <c r="HTY28" s="78"/>
      <c r="HUC28" s="78"/>
      <c r="HUG28" s="78"/>
      <c r="HUK28" s="78"/>
      <c r="HUO28" s="78"/>
      <c r="HUS28" s="78"/>
      <c r="HUW28" s="78"/>
      <c r="HVA28" s="78"/>
      <c r="HVE28" s="78"/>
      <c r="HVI28" s="78"/>
      <c r="HVM28" s="78"/>
      <c r="HVQ28" s="78"/>
      <c r="HVU28" s="78"/>
      <c r="HVY28" s="78"/>
      <c r="HWC28" s="78"/>
      <c r="HWG28" s="78"/>
      <c r="HWK28" s="78"/>
      <c r="HWO28" s="78"/>
      <c r="HWS28" s="78"/>
      <c r="HWW28" s="78"/>
      <c r="HXA28" s="78"/>
      <c r="HXE28" s="78"/>
      <c r="HXI28" s="78"/>
      <c r="HXM28" s="78"/>
      <c r="HXQ28" s="78"/>
      <c r="HXU28" s="78"/>
      <c r="HXY28" s="78"/>
      <c r="HYC28" s="78"/>
      <c r="HYG28" s="78"/>
      <c r="HYK28" s="78"/>
      <c r="HYO28" s="78"/>
      <c r="HYS28" s="78"/>
      <c r="HYW28" s="78"/>
      <c r="HZA28" s="78"/>
      <c r="HZE28" s="78"/>
      <c r="HZI28" s="78"/>
      <c r="HZM28" s="78"/>
      <c r="HZQ28" s="78"/>
      <c r="HZU28" s="78"/>
      <c r="HZY28" s="78"/>
      <c r="IAC28" s="78"/>
      <c r="IAG28" s="78"/>
      <c r="IAK28" s="78"/>
      <c r="IAO28" s="78"/>
      <c r="IAS28" s="78"/>
      <c r="IAW28" s="78"/>
      <c r="IBA28" s="78"/>
      <c r="IBE28" s="78"/>
      <c r="IBI28" s="78"/>
      <c r="IBM28" s="78"/>
      <c r="IBQ28" s="78"/>
      <c r="IBU28" s="78"/>
      <c r="IBY28" s="78"/>
      <c r="ICC28" s="78"/>
      <c r="ICG28" s="78"/>
      <c r="ICK28" s="78"/>
      <c r="ICO28" s="78"/>
      <c r="ICS28" s="78"/>
      <c r="ICW28" s="78"/>
      <c r="IDA28" s="78"/>
      <c r="IDE28" s="78"/>
      <c r="IDI28" s="78"/>
      <c r="IDM28" s="78"/>
      <c r="IDQ28" s="78"/>
      <c r="IDU28" s="78"/>
      <c r="IDY28" s="78"/>
      <c r="IEC28" s="78"/>
      <c r="IEG28" s="78"/>
      <c r="IEK28" s="78"/>
      <c r="IEO28" s="78"/>
      <c r="IES28" s="78"/>
      <c r="IEW28" s="78"/>
      <c r="IFA28" s="78"/>
      <c r="IFE28" s="78"/>
      <c r="IFI28" s="78"/>
      <c r="IFM28" s="78"/>
      <c r="IFQ28" s="78"/>
      <c r="IFU28" s="78"/>
      <c r="IFY28" s="78"/>
      <c r="IGC28" s="78"/>
      <c r="IGG28" s="78"/>
      <c r="IGK28" s="78"/>
      <c r="IGO28" s="78"/>
      <c r="IGS28" s="78"/>
      <c r="IGW28" s="78"/>
      <c r="IHA28" s="78"/>
      <c r="IHE28" s="78"/>
      <c r="IHI28" s="78"/>
      <c r="IHM28" s="78"/>
      <c r="IHQ28" s="78"/>
      <c r="IHU28" s="78"/>
      <c r="IHY28" s="78"/>
      <c r="IIC28" s="78"/>
      <c r="IIG28" s="78"/>
      <c r="IIK28" s="78"/>
      <c r="IIO28" s="78"/>
      <c r="IIS28" s="78"/>
      <c r="IIW28" s="78"/>
      <c r="IJA28" s="78"/>
      <c r="IJE28" s="78"/>
      <c r="IJI28" s="78"/>
      <c r="IJM28" s="78"/>
      <c r="IJQ28" s="78"/>
      <c r="IJU28" s="78"/>
      <c r="IJY28" s="78"/>
      <c r="IKC28" s="78"/>
      <c r="IKG28" s="78"/>
      <c r="IKK28" s="78"/>
      <c r="IKO28" s="78"/>
      <c r="IKS28" s="78"/>
      <c r="IKW28" s="78"/>
      <c r="ILA28" s="78"/>
      <c r="ILE28" s="78"/>
      <c r="ILI28" s="78"/>
      <c r="ILM28" s="78"/>
      <c r="ILQ28" s="78"/>
      <c r="ILU28" s="78"/>
      <c r="ILY28" s="78"/>
      <c r="IMC28" s="78"/>
      <c r="IMG28" s="78"/>
      <c r="IMK28" s="78"/>
      <c r="IMO28" s="78"/>
      <c r="IMS28" s="78"/>
      <c r="IMW28" s="78"/>
      <c r="INA28" s="78"/>
      <c r="INE28" s="78"/>
      <c r="INI28" s="78"/>
      <c r="INM28" s="78"/>
      <c r="INQ28" s="78"/>
      <c r="INU28" s="78"/>
      <c r="INY28" s="78"/>
      <c r="IOC28" s="78"/>
      <c r="IOG28" s="78"/>
      <c r="IOK28" s="78"/>
      <c r="IOO28" s="78"/>
      <c r="IOS28" s="78"/>
      <c r="IOW28" s="78"/>
      <c r="IPA28" s="78"/>
      <c r="IPE28" s="78"/>
      <c r="IPI28" s="78"/>
      <c r="IPM28" s="78"/>
      <c r="IPQ28" s="78"/>
      <c r="IPU28" s="78"/>
      <c r="IPY28" s="78"/>
      <c r="IQC28" s="78"/>
      <c r="IQG28" s="78"/>
      <c r="IQK28" s="78"/>
      <c r="IQO28" s="78"/>
      <c r="IQS28" s="78"/>
      <c r="IQW28" s="78"/>
      <c r="IRA28" s="78"/>
      <c r="IRE28" s="78"/>
      <c r="IRI28" s="78"/>
      <c r="IRM28" s="78"/>
      <c r="IRQ28" s="78"/>
      <c r="IRU28" s="78"/>
      <c r="IRY28" s="78"/>
      <c r="ISC28" s="78"/>
      <c r="ISG28" s="78"/>
      <c r="ISK28" s="78"/>
      <c r="ISO28" s="78"/>
      <c r="ISS28" s="78"/>
      <c r="ISW28" s="78"/>
      <c r="ITA28" s="78"/>
      <c r="ITE28" s="78"/>
      <c r="ITI28" s="78"/>
      <c r="ITM28" s="78"/>
      <c r="ITQ28" s="78"/>
      <c r="ITU28" s="78"/>
      <c r="ITY28" s="78"/>
      <c r="IUC28" s="78"/>
      <c r="IUG28" s="78"/>
      <c r="IUK28" s="78"/>
      <c r="IUO28" s="78"/>
      <c r="IUS28" s="78"/>
      <c r="IUW28" s="78"/>
      <c r="IVA28" s="78"/>
      <c r="IVE28" s="78"/>
      <c r="IVI28" s="78"/>
      <c r="IVM28" s="78"/>
      <c r="IVQ28" s="78"/>
      <c r="IVU28" s="78"/>
      <c r="IVY28" s="78"/>
      <c r="IWC28" s="78"/>
      <c r="IWG28" s="78"/>
      <c r="IWK28" s="78"/>
      <c r="IWO28" s="78"/>
      <c r="IWS28" s="78"/>
      <c r="IWW28" s="78"/>
      <c r="IXA28" s="78"/>
      <c r="IXE28" s="78"/>
      <c r="IXI28" s="78"/>
      <c r="IXM28" s="78"/>
      <c r="IXQ28" s="78"/>
      <c r="IXU28" s="78"/>
      <c r="IXY28" s="78"/>
      <c r="IYC28" s="78"/>
      <c r="IYG28" s="78"/>
      <c r="IYK28" s="78"/>
      <c r="IYO28" s="78"/>
      <c r="IYS28" s="78"/>
      <c r="IYW28" s="78"/>
      <c r="IZA28" s="78"/>
      <c r="IZE28" s="78"/>
      <c r="IZI28" s="78"/>
      <c r="IZM28" s="78"/>
      <c r="IZQ28" s="78"/>
      <c r="IZU28" s="78"/>
      <c r="IZY28" s="78"/>
      <c r="JAC28" s="78"/>
      <c r="JAG28" s="78"/>
      <c r="JAK28" s="78"/>
      <c r="JAO28" s="78"/>
      <c r="JAS28" s="78"/>
      <c r="JAW28" s="78"/>
      <c r="JBA28" s="78"/>
      <c r="JBE28" s="78"/>
      <c r="JBI28" s="78"/>
      <c r="JBM28" s="78"/>
      <c r="JBQ28" s="78"/>
      <c r="JBU28" s="78"/>
      <c r="JBY28" s="78"/>
      <c r="JCC28" s="78"/>
      <c r="JCG28" s="78"/>
      <c r="JCK28" s="78"/>
      <c r="JCO28" s="78"/>
      <c r="JCS28" s="78"/>
      <c r="JCW28" s="78"/>
      <c r="JDA28" s="78"/>
      <c r="JDE28" s="78"/>
      <c r="JDI28" s="78"/>
      <c r="JDM28" s="78"/>
      <c r="JDQ28" s="78"/>
      <c r="JDU28" s="78"/>
      <c r="JDY28" s="78"/>
      <c r="JEC28" s="78"/>
      <c r="JEG28" s="78"/>
      <c r="JEK28" s="78"/>
      <c r="JEO28" s="78"/>
      <c r="JES28" s="78"/>
      <c r="JEW28" s="78"/>
      <c r="JFA28" s="78"/>
      <c r="JFE28" s="78"/>
      <c r="JFI28" s="78"/>
      <c r="JFM28" s="78"/>
      <c r="JFQ28" s="78"/>
      <c r="JFU28" s="78"/>
      <c r="JFY28" s="78"/>
      <c r="JGC28" s="78"/>
      <c r="JGG28" s="78"/>
      <c r="JGK28" s="78"/>
      <c r="JGO28" s="78"/>
      <c r="JGS28" s="78"/>
      <c r="JGW28" s="78"/>
      <c r="JHA28" s="78"/>
      <c r="JHE28" s="78"/>
      <c r="JHI28" s="78"/>
      <c r="JHM28" s="78"/>
      <c r="JHQ28" s="78"/>
      <c r="JHU28" s="78"/>
      <c r="JHY28" s="78"/>
      <c r="JIC28" s="78"/>
      <c r="JIG28" s="78"/>
      <c r="JIK28" s="78"/>
      <c r="JIO28" s="78"/>
      <c r="JIS28" s="78"/>
      <c r="JIW28" s="78"/>
      <c r="JJA28" s="78"/>
      <c r="JJE28" s="78"/>
      <c r="JJI28" s="78"/>
      <c r="JJM28" s="78"/>
      <c r="JJQ28" s="78"/>
      <c r="JJU28" s="78"/>
      <c r="JJY28" s="78"/>
      <c r="JKC28" s="78"/>
      <c r="JKG28" s="78"/>
      <c r="JKK28" s="78"/>
      <c r="JKO28" s="78"/>
      <c r="JKS28" s="78"/>
      <c r="JKW28" s="78"/>
      <c r="JLA28" s="78"/>
      <c r="JLE28" s="78"/>
      <c r="JLI28" s="78"/>
      <c r="JLM28" s="78"/>
      <c r="JLQ28" s="78"/>
      <c r="JLU28" s="78"/>
      <c r="JLY28" s="78"/>
      <c r="JMC28" s="78"/>
      <c r="JMG28" s="78"/>
      <c r="JMK28" s="78"/>
      <c r="JMO28" s="78"/>
      <c r="JMS28" s="78"/>
      <c r="JMW28" s="78"/>
      <c r="JNA28" s="78"/>
      <c r="JNE28" s="78"/>
      <c r="JNI28" s="78"/>
      <c r="JNM28" s="78"/>
      <c r="JNQ28" s="78"/>
      <c r="JNU28" s="78"/>
      <c r="JNY28" s="78"/>
      <c r="JOC28" s="78"/>
      <c r="JOG28" s="78"/>
      <c r="JOK28" s="78"/>
      <c r="JOO28" s="78"/>
      <c r="JOS28" s="78"/>
      <c r="JOW28" s="78"/>
      <c r="JPA28" s="78"/>
      <c r="JPE28" s="78"/>
      <c r="JPI28" s="78"/>
      <c r="JPM28" s="78"/>
      <c r="JPQ28" s="78"/>
      <c r="JPU28" s="78"/>
      <c r="JPY28" s="78"/>
      <c r="JQC28" s="78"/>
      <c r="JQG28" s="78"/>
      <c r="JQK28" s="78"/>
      <c r="JQO28" s="78"/>
      <c r="JQS28" s="78"/>
      <c r="JQW28" s="78"/>
      <c r="JRA28" s="78"/>
      <c r="JRE28" s="78"/>
      <c r="JRI28" s="78"/>
      <c r="JRM28" s="78"/>
      <c r="JRQ28" s="78"/>
      <c r="JRU28" s="78"/>
      <c r="JRY28" s="78"/>
      <c r="JSC28" s="78"/>
      <c r="JSG28" s="78"/>
      <c r="JSK28" s="78"/>
      <c r="JSO28" s="78"/>
      <c r="JSS28" s="78"/>
      <c r="JSW28" s="78"/>
      <c r="JTA28" s="78"/>
      <c r="JTE28" s="78"/>
      <c r="JTI28" s="78"/>
      <c r="JTM28" s="78"/>
      <c r="JTQ28" s="78"/>
      <c r="JTU28" s="78"/>
      <c r="JTY28" s="78"/>
      <c r="JUC28" s="78"/>
      <c r="JUG28" s="78"/>
      <c r="JUK28" s="78"/>
      <c r="JUO28" s="78"/>
      <c r="JUS28" s="78"/>
      <c r="JUW28" s="78"/>
      <c r="JVA28" s="78"/>
      <c r="JVE28" s="78"/>
      <c r="JVI28" s="78"/>
      <c r="JVM28" s="78"/>
      <c r="JVQ28" s="78"/>
      <c r="JVU28" s="78"/>
      <c r="JVY28" s="78"/>
      <c r="JWC28" s="78"/>
      <c r="JWG28" s="78"/>
      <c r="JWK28" s="78"/>
      <c r="JWO28" s="78"/>
      <c r="JWS28" s="78"/>
      <c r="JWW28" s="78"/>
      <c r="JXA28" s="78"/>
      <c r="JXE28" s="78"/>
      <c r="JXI28" s="78"/>
      <c r="JXM28" s="78"/>
      <c r="JXQ28" s="78"/>
      <c r="JXU28" s="78"/>
      <c r="JXY28" s="78"/>
      <c r="JYC28" s="78"/>
      <c r="JYG28" s="78"/>
      <c r="JYK28" s="78"/>
      <c r="JYO28" s="78"/>
      <c r="JYS28" s="78"/>
      <c r="JYW28" s="78"/>
      <c r="JZA28" s="78"/>
      <c r="JZE28" s="78"/>
      <c r="JZI28" s="78"/>
      <c r="JZM28" s="78"/>
      <c r="JZQ28" s="78"/>
      <c r="JZU28" s="78"/>
      <c r="JZY28" s="78"/>
      <c r="KAC28" s="78"/>
      <c r="KAG28" s="78"/>
      <c r="KAK28" s="78"/>
      <c r="KAO28" s="78"/>
      <c r="KAS28" s="78"/>
      <c r="KAW28" s="78"/>
      <c r="KBA28" s="78"/>
      <c r="KBE28" s="78"/>
      <c r="KBI28" s="78"/>
      <c r="KBM28" s="78"/>
      <c r="KBQ28" s="78"/>
      <c r="KBU28" s="78"/>
      <c r="KBY28" s="78"/>
      <c r="KCC28" s="78"/>
      <c r="KCG28" s="78"/>
      <c r="KCK28" s="78"/>
      <c r="KCO28" s="78"/>
      <c r="KCS28" s="78"/>
      <c r="KCW28" s="78"/>
      <c r="KDA28" s="78"/>
      <c r="KDE28" s="78"/>
      <c r="KDI28" s="78"/>
      <c r="KDM28" s="78"/>
      <c r="KDQ28" s="78"/>
      <c r="KDU28" s="78"/>
      <c r="KDY28" s="78"/>
      <c r="KEC28" s="78"/>
      <c r="KEG28" s="78"/>
      <c r="KEK28" s="78"/>
      <c r="KEO28" s="78"/>
      <c r="KES28" s="78"/>
      <c r="KEW28" s="78"/>
      <c r="KFA28" s="78"/>
      <c r="KFE28" s="78"/>
      <c r="KFI28" s="78"/>
      <c r="KFM28" s="78"/>
      <c r="KFQ28" s="78"/>
      <c r="KFU28" s="78"/>
      <c r="KFY28" s="78"/>
      <c r="KGC28" s="78"/>
      <c r="KGG28" s="78"/>
      <c r="KGK28" s="78"/>
      <c r="KGO28" s="78"/>
      <c r="KGS28" s="78"/>
      <c r="KGW28" s="78"/>
      <c r="KHA28" s="78"/>
      <c r="KHE28" s="78"/>
      <c r="KHI28" s="78"/>
      <c r="KHM28" s="78"/>
      <c r="KHQ28" s="78"/>
      <c r="KHU28" s="78"/>
      <c r="KHY28" s="78"/>
      <c r="KIC28" s="78"/>
      <c r="KIG28" s="78"/>
      <c r="KIK28" s="78"/>
      <c r="KIO28" s="78"/>
      <c r="KIS28" s="78"/>
      <c r="KIW28" s="78"/>
      <c r="KJA28" s="78"/>
      <c r="KJE28" s="78"/>
      <c r="KJI28" s="78"/>
      <c r="KJM28" s="78"/>
      <c r="KJQ28" s="78"/>
      <c r="KJU28" s="78"/>
      <c r="KJY28" s="78"/>
      <c r="KKC28" s="78"/>
      <c r="KKG28" s="78"/>
      <c r="KKK28" s="78"/>
      <c r="KKO28" s="78"/>
      <c r="KKS28" s="78"/>
      <c r="KKW28" s="78"/>
      <c r="KLA28" s="78"/>
      <c r="KLE28" s="78"/>
      <c r="KLI28" s="78"/>
      <c r="KLM28" s="78"/>
      <c r="KLQ28" s="78"/>
      <c r="KLU28" s="78"/>
      <c r="KLY28" s="78"/>
      <c r="KMC28" s="78"/>
      <c r="KMG28" s="78"/>
      <c r="KMK28" s="78"/>
      <c r="KMO28" s="78"/>
      <c r="KMS28" s="78"/>
      <c r="KMW28" s="78"/>
      <c r="KNA28" s="78"/>
      <c r="KNE28" s="78"/>
      <c r="KNI28" s="78"/>
      <c r="KNM28" s="78"/>
      <c r="KNQ28" s="78"/>
      <c r="KNU28" s="78"/>
      <c r="KNY28" s="78"/>
      <c r="KOC28" s="78"/>
      <c r="KOG28" s="78"/>
      <c r="KOK28" s="78"/>
      <c r="KOO28" s="78"/>
      <c r="KOS28" s="78"/>
      <c r="KOW28" s="78"/>
      <c r="KPA28" s="78"/>
      <c r="KPE28" s="78"/>
      <c r="KPI28" s="78"/>
      <c r="KPM28" s="78"/>
      <c r="KPQ28" s="78"/>
      <c r="KPU28" s="78"/>
      <c r="KPY28" s="78"/>
      <c r="KQC28" s="78"/>
      <c r="KQG28" s="78"/>
      <c r="KQK28" s="78"/>
      <c r="KQO28" s="78"/>
      <c r="KQS28" s="78"/>
      <c r="KQW28" s="78"/>
      <c r="KRA28" s="78"/>
      <c r="KRE28" s="78"/>
      <c r="KRI28" s="78"/>
      <c r="KRM28" s="78"/>
      <c r="KRQ28" s="78"/>
      <c r="KRU28" s="78"/>
      <c r="KRY28" s="78"/>
      <c r="KSC28" s="78"/>
      <c r="KSG28" s="78"/>
      <c r="KSK28" s="78"/>
      <c r="KSO28" s="78"/>
      <c r="KSS28" s="78"/>
      <c r="KSW28" s="78"/>
      <c r="KTA28" s="78"/>
      <c r="KTE28" s="78"/>
      <c r="KTI28" s="78"/>
      <c r="KTM28" s="78"/>
      <c r="KTQ28" s="78"/>
      <c r="KTU28" s="78"/>
      <c r="KTY28" s="78"/>
      <c r="KUC28" s="78"/>
      <c r="KUG28" s="78"/>
      <c r="KUK28" s="78"/>
      <c r="KUO28" s="78"/>
      <c r="KUS28" s="78"/>
      <c r="KUW28" s="78"/>
      <c r="KVA28" s="78"/>
      <c r="KVE28" s="78"/>
      <c r="KVI28" s="78"/>
      <c r="KVM28" s="78"/>
      <c r="KVQ28" s="78"/>
      <c r="KVU28" s="78"/>
      <c r="KVY28" s="78"/>
      <c r="KWC28" s="78"/>
      <c r="KWG28" s="78"/>
      <c r="KWK28" s="78"/>
      <c r="KWO28" s="78"/>
      <c r="KWS28" s="78"/>
      <c r="KWW28" s="78"/>
      <c r="KXA28" s="78"/>
      <c r="KXE28" s="78"/>
      <c r="KXI28" s="78"/>
      <c r="KXM28" s="78"/>
      <c r="KXQ28" s="78"/>
      <c r="KXU28" s="78"/>
      <c r="KXY28" s="78"/>
      <c r="KYC28" s="78"/>
      <c r="KYG28" s="78"/>
      <c r="KYK28" s="78"/>
      <c r="KYO28" s="78"/>
      <c r="KYS28" s="78"/>
      <c r="KYW28" s="78"/>
      <c r="KZA28" s="78"/>
      <c r="KZE28" s="78"/>
      <c r="KZI28" s="78"/>
      <c r="KZM28" s="78"/>
      <c r="KZQ28" s="78"/>
      <c r="KZU28" s="78"/>
      <c r="KZY28" s="78"/>
      <c r="LAC28" s="78"/>
      <c r="LAG28" s="78"/>
      <c r="LAK28" s="78"/>
      <c r="LAO28" s="78"/>
      <c r="LAS28" s="78"/>
      <c r="LAW28" s="78"/>
      <c r="LBA28" s="78"/>
      <c r="LBE28" s="78"/>
      <c r="LBI28" s="78"/>
      <c r="LBM28" s="78"/>
      <c r="LBQ28" s="78"/>
      <c r="LBU28" s="78"/>
      <c r="LBY28" s="78"/>
      <c r="LCC28" s="78"/>
      <c r="LCG28" s="78"/>
      <c r="LCK28" s="78"/>
      <c r="LCO28" s="78"/>
      <c r="LCS28" s="78"/>
      <c r="LCW28" s="78"/>
      <c r="LDA28" s="78"/>
      <c r="LDE28" s="78"/>
      <c r="LDI28" s="78"/>
      <c r="LDM28" s="78"/>
      <c r="LDQ28" s="78"/>
      <c r="LDU28" s="78"/>
      <c r="LDY28" s="78"/>
      <c r="LEC28" s="78"/>
      <c r="LEG28" s="78"/>
      <c r="LEK28" s="78"/>
      <c r="LEO28" s="78"/>
      <c r="LES28" s="78"/>
      <c r="LEW28" s="78"/>
      <c r="LFA28" s="78"/>
      <c r="LFE28" s="78"/>
      <c r="LFI28" s="78"/>
      <c r="LFM28" s="78"/>
      <c r="LFQ28" s="78"/>
      <c r="LFU28" s="78"/>
      <c r="LFY28" s="78"/>
      <c r="LGC28" s="78"/>
      <c r="LGG28" s="78"/>
      <c r="LGK28" s="78"/>
      <c r="LGO28" s="78"/>
      <c r="LGS28" s="78"/>
      <c r="LGW28" s="78"/>
      <c r="LHA28" s="78"/>
      <c r="LHE28" s="78"/>
      <c r="LHI28" s="78"/>
      <c r="LHM28" s="78"/>
      <c r="LHQ28" s="78"/>
      <c r="LHU28" s="78"/>
      <c r="LHY28" s="78"/>
      <c r="LIC28" s="78"/>
      <c r="LIG28" s="78"/>
      <c r="LIK28" s="78"/>
      <c r="LIO28" s="78"/>
      <c r="LIS28" s="78"/>
      <c r="LIW28" s="78"/>
      <c r="LJA28" s="78"/>
      <c r="LJE28" s="78"/>
      <c r="LJI28" s="78"/>
      <c r="LJM28" s="78"/>
      <c r="LJQ28" s="78"/>
      <c r="LJU28" s="78"/>
      <c r="LJY28" s="78"/>
      <c r="LKC28" s="78"/>
      <c r="LKG28" s="78"/>
      <c r="LKK28" s="78"/>
      <c r="LKO28" s="78"/>
      <c r="LKS28" s="78"/>
      <c r="LKW28" s="78"/>
      <c r="LLA28" s="78"/>
      <c r="LLE28" s="78"/>
      <c r="LLI28" s="78"/>
      <c r="LLM28" s="78"/>
      <c r="LLQ28" s="78"/>
      <c r="LLU28" s="78"/>
      <c r="LLY28" s="78"/>
      <c r="LMC28" s="78"/>
      <c r="LMG28" s="78"/>
      <c r="LMK28" s="78"/>
      <c r="LMO28" s="78"/>
      <c r="LMS28" s="78"/>
      <c r="LMW28" s="78"/>
      <c r="LNA28" s="78"/>
      <c r="LNE28" s="78"/>
      <c r="LNI28" s="78"/>
      <c r="LNM28" s="78"/>
      <c r="LNQ28" s="78"/>
      <c r="LNU28" s="78"/>
      <c r="LNY28" s="78"/>
      <c r="LOC28" s="78"/>
      <c r="LOG28" s="78"/>
      <c r="LOK28" s="78"/>
      <c r="LOO28" s="78"/>
      <c r="LOS28" s="78"/>
      <c r="LOW28" s="78"/>
      <c r="LPA28" s="78"/>
      <c r="LPE28" s="78"/>
      <c r="LPI28" s="78"/>
      <c r="LPM28" s="78"/>
      <c r="LPQ28" s="78"/>
      <c r="LPU28" s="78"/>
      <c r="LPY28" s="78"/>
      <c r="LQC28" s="78"/>
      <c r="LQG28" s="78"/>
      <c r="LQK28" s="78"/>
      <c r="LQO28" s="78"/>
      <c r="LQS28" s="78"/>
      <c r="LQW28" s="78"/>
      <c r="LRA28" s="78"/>
      <c r="LRE28" s="78"/>
      <c r="LRI28" s="78"/>
      <c r="LRM28" s="78"/>
      <c r="LRQ28" s="78"/>
      <c r="LRU28" s="78"/>
      <c r="LRY28" s="78"/>
      <c r="LSC28" s="78"/>
      <c r="LSG28" s="78"/>
      <c r="LSK28" s="78"/>
      <c r="LSO28" s="78"/>
      <c r="LSS28" s="78"/>
      <c r="LSW28" s="78"/>
      <c r="LTA28" s="78"/>
      <c r="LTE28" s="78"/>
      <c r="LTI28" s="78"/>
      <c r="LTM28" s="78"/>
      <c r="LTQ28" s="78"/>
      <c r="LTU28" s="78"/>
      <c r="LTY28" s="78"/>
      <c r="LUC28" s="78"/>
      <c r="LUG28" s="78"/>
      <c r="LUK28" s="78"/>
      <c r="LUO28" s="78"/>
      <c r="LUS28" s="78"/>
      <c r="LUW28" s="78"/>
      <c r="LVA28" s="78"/>
      <c r="LVE28" s="78"/>
      <c r="LVI28" s="78"/>
      <c r="LVM28" s="78"/>
      <c r="LVQ28" s="78"/>
      <c r="LVU28" s="78"/>
      <c r="LVY28" s="78"/>
      <c r="LWC28" s="78"/>
      <c r="LWG28" s="78"/>
      <c r="LWK28" s="78"/>
      <c r="LWO28" s="78"/>
      <c r="LWS28" s="78"/>
      <c r="LWW28" s="78"/>
      <c r="LXA28" s="78"/>
      <c r="LXE28" s="78"/>
      <c r="LXI28" s="78"/>
      <c r="LXM28" s="78"/>
      <c r="LXQ28" s="78"/>
      <c r="LXU28" s="78"/>
      <c r="LXY28" s="78"/>
      <c r="LYC28" s="78"/>
      <c r="LYG28" s="78"/>
      <c r="LYK28" s="78"/>
      <c r="LYO28" s="78"/>
      <c r="LYS28" s="78"/>
      <c r="LYW28" s="78"/>
      <c r="LZA28" s="78"/>
      <c r="LZE28" s="78"/>
      <c r="LZI28" s="78"/>
      <c r="LZM28" s="78"/>
      <c r="LZQ28" s="78"/>
      <c r="LZU28" s="78"/>
      <c r="LZY28" s="78"/>
      <c r="MAC28" s="78"/>
      <c r="MAG28" s="78"/>
      <c r="MAK28" s="78"/>
      <c r="MAO28" s="78"/>
      <c r="MAS28" s="78"/>
      <c r="MAW28" s="78"/>
      <c r="MBA28" s="78"/>
      <c r="MBE28" s="78"/>
      <c r="MBI28" s="78"/>
      <c r="MBM28" s="78"/>
      <c r="MBQ28" s="78"/>
      <c r="MBU28" s="78"/>
      <c r="MBY28" s="78"/>
      <c r="MCC28" s="78"/>
      <c r="MCG28" s="78"/>
      <c r="MCK28" s="78"/>
      <c r="MCO28" s="78"/>
      <c r="MCS28" s="78"/>
      <c r="MCW28" s="78"/>
      <c r="MDA28" s="78"/>
      <c r="MDE28" s="78"/>
      <c r="MDI28" s="78"/>
      <c r="MDM28" s="78"/>
      <c r="MDQ28" s="78"/>
      <c r="MDU28" s="78"/>
      <c r="MDY28" s="78"/>
      <c r="MEC28" s="78"/>
      <c r="MEG28" s="78"/>
      <c r="MEK28" s="78"/>
      <c r="MEO28" s="78"/>
      <c r="MES28" s="78"/>
      <c r="MEW28" s="78"/>
      <c r="MFA28" s="78"/>
      <c r="MFE28" s="78"/>
      <c r="MFI28" s="78"/>
      <c r="MFM28" s="78"/>
      <c r="MFQ28" s="78"/>
      <c r="MFU28" s="78"/>
      <c r="MFY28" s="78"/>
      <c r="MGC28" s="78"/>
      <c r="MGG28" s="78"/>
      <c r="MGK28" s="78"/>
      <c r="MGO28" s="78"/>
      <c r="MGS28" s="78"/>
      <c r="MGW28" s="78"/>
      <c r="MHA28" s="78"/>
      <c r="MHE28" s="78"/>
      <c r="MHI28" s="78"/>
      <c r="MHM28" s="78"/>
      <c r="MHQ28" s="78"/>
      <c r="MHU28" s="78"/>
      <c r="MHY28" s="78"/>
      <c r="MIC28" s="78"/>
      <c r="MIG28" s="78"/>
      <c r="MIK28" s="78"/>
      <c r="MIO28" s="78"/>
      <c r="MIS28" s="78"/>
      <c r="MIW28" s="78"/>
      <c r="MJA28" s="78"/>
      <c r="MJE28" s="78"/>
      <c r="MJI28" s="78"/>
      <c r="MJM28" s="78"/>
      <c r="MJQ28" s="78"/>
      <c r="MJU28" s="78"/>
      <c r="MJY28" s="78"/>
      <c r="MKC28" s="78"/>
      <c r="MKG28" s="78"/>
      <c r="MKK28" s="78"/>
      <c r="MKO28" s="78"/>
      <c r="MKS28" s="78"/>
      <c r="MKW28" s="78"/>
      <c r="MLA28" s="78"/>
      <c r="MLE28" s="78"/>
      <c r="MLI28" s="78"/>
      <c r="MLM28" s="78"/>
      <c r="MLQ28" s="78"/>
      <c r="MLU28" s="78"/>
      <c r="MLY28" s="78"/>
      <c r="MMC28" s="78"/>
      <c r="MMG28" s="78"/>
      <c r="MMK28" s="78"/>
      <c r="MMO28" s="78"/>
      <c r="MMS28" s="78"/>
      <c r="MMW28" s="78"/>
      <c r="MNA28" s="78"/>
      <c r="MNE28" s="78"/>
      <c r="MNI28" s="78"/>
      <c r="MNM28" s="78"/>
      <c r="MNQ28" s="78"/>
      <c r="MNU28" s="78"/>
      <c r="MNY28" s="78"/>
      <c r="MOC28" s="78"/>
      <c r="MOG28" s="78"/>
      <c r="MOK28" s="78"/>
      <c r="MOO28" s="78"/>
      <c r="MOS28" s="78"/>
      <c r="MOW28" s="78"/>
      <c r="MPA28" s="78"/>
      <c r="MPE28" s="78"/>
      <c r="MPI28" s="78"/>
      <c r="MPM28" s="78"/>
      <c r="MPQ28" s="78"/>
      <c r="MPU28" s="78"/>
      <c r="MPY28" s="78"/>
      <c r="MQC28" s="78"/>
      <c r="MQG28" s="78"/>
      <c r="MQK28" s="78"/>
      <c r="MQO28" s="78"/>
      <c r="MQS28" s="78"/>
      <c r="MQW28" s="78"/>
      <c r="MRA28" s="78"/>
      <c r="MRE28" s="78"/>
      <c r="MRI28" s="78"/>
      <c r="MRM28" s="78"/>
      <c r="MRQ28" s="78"/>
      <c r="MRU28" s="78"/>
      <c r="MRY28" s="78"/>
      <c r="MSC28" s="78"/>
      <c r="MSG28" s="78"/>
      <c r="MSK28" s="78"/>
      <c r="MSO28" s="78"/>
      <c r="MSS28" s="78"/>
      <c r="MSW28" s="78"/>
      <c r="MTA28" s="78"/>
      <c r="MTE28" s="78"/>
      <c r="MTI28" s="78"/>
      <c r="MTM28" s="78"/>
      <c r="MTQ28" s="78"/>
      <c r="MTU28" s="78"/>
      <c r="MTY28" s="78"/>
      <c r="MUC28" s="78"/>
      <c r="MUG28" s="78"/>
      <c r="MUK28" s="78"/>
      <c r="MUO28" s="78"/>
      <c r="MUS28" s="78"/>
      <c r="MUW28" s="78"/>
      <c r="MVA28" s="78"/>
      <c r="MVE28" s="78"/>
      <c r="MVI28" s="78"/>
      <c r="MVM28" s="78"/>
      <c r="MVQ28" s="78"/>
      <c r="MVU28" s="78"/>
      <c r="MVY28" s="78"/>
      <c r="MWC28" s="78"/>
      <c r="MWG28" s="78"/>
      <c r="MWK28" s="78"/>
      <c r="MWO28" s="78"/>
      <c r="MWS28" s="78"/>
      <c r="MWW28" s="78"/>
      <c r="MXA28" s="78"/>
      <c r="MXE28" s="78"/>
      <c r="MXI28" s="78"/>
      <c r="MXM28" s="78"/>
      <c r="MXQ28" s="78"/>
      <c r="MXU28" s="78"/>
      <c r="MXY28" s="78"/>
      <c r="MYC28" s="78"/>
      <c r="MYG28" s="78"/>
      <c r="MYK28" s="78"/>
      <c r="MYO28" s="78"/>
      <c r="MYS28" s="78"/>
      <c r="MYW28" s="78"/>
      <c r="MZA28" s="78"/>
      <c r="MZE28" s="78"/>
      <c r="MZI28" s="78"/>
      <c r="MZM28" s="78"/>
      <c r="MZQ28" s="78"/>
      <c r="MZU28" s="78"/>
      <c r="MZY28" s="78"/>
      <c r="NAC28" s="78"/>
      <c r="NAG28" s="78"/>
      <c r="NAK28" s="78"/>
      <c r="NAO28" s="78"/>
      <c r="NAS28" s="78"/>
      <c r="NAW28" s="78"/>
      <c r="NBA28" s="78"/>
      <c r="NBE28" s="78"/>
      <c r="NBI28" s="78"/>
      <c r="NBM28" s="78"/>
      <c r="NBQ28" s="78"/>
      <c r="NBU28" s="78"/>
      <c r="NBY28" s="78"/>
      <c r="NCC28" s="78"/>
      <c r="NCG28" s="78"/>
      <c r="NCK28" s="78"/>
      <c r="NCO28" s="78"/>
      <c r="NCS28" s="78"/>
      <c r="NCW28" s="78"/>
      <c r="NDA28" s="78"/>
      <c r="NDE28" s="78"/>
      <c r="NDI28" s="78"/>
      <c r="NDM28" s="78"/>
      <c r="NDQ28" s="78"/>
      <c r="NDU28" s="78"/>
      <c r="NDY28" s="78"/>
      <c r="NEC28" s="78"/>
      <c r="NEG28" s="78"/>
      <c r="NEK28" s="78"/>
      <c r="NEO28" s="78"/>
      <c r="NES28" s="78"/>
      <c r="NEW28" s="78"/>
      <c r="NFA28" s="78"/>
      <c r="NFE28" s="78"/>
      <c r="NFI28" s="78"/>
      <c r="NFM28" s="78"/>
      <c r="NFQ28" s="78"/>
      <c r="NFU28" s="78"/>
      <c r="NFY28" s="78"/>
      <c r="NGC28" s="78"/>
      <c r="NGG28" s="78"/>
      <c r="NGK28" s="78"/>
      <c r="NGO28" s="78"/>
      <c r="NGS28" s="78"/>
      <c r="NGW28" s="78"/>
      <c r="NHA28" s="78"/>
      <c r="NHE28" s="78"/>
      <c r="NHI28" s="78"/>
      <c r="NHM28" s="78"/>
      <c r="NHQ28" s="78"/>
      <c r="NHU28" s="78"/>
      <c r="NHY28" s="78"/>
      <c r="NIC28" s="78"/>
      <c r="NIG28" s="78"/>
      <c r="NIK28" s="78"/>
      <c r="NIO28" s="78"/>
      <c r="NIS28" s="78"/>
      <c r="NIW28" s="78"/>
      <c r="NJA28" s="78"/>
      <c r="NJE28" s="78"/>
      <c r="NJI28" s="78"/>
      <c r="NJM28" s="78"/>
      <c r="NJQ28" s="78"/>
      <c r="NJU28" s="78"/>
      <c r="NJY28" s="78"/>
      <c r="NKC28" s="78"/>
      <c r="NKG28" s="78"/>
      <c r="NKK28" s="78"/>
      <c r="NKO28" s="78"/>
      <c r="NKS28" s="78"/>
      <c r="NKW28" s="78"/>
      <c r="NLA28" s="78"/>
      <c r="NLE28" s="78"/>
      <c r="NLI28" s="78"/>
      <c r="NLM28" s="78"/>
      <c r="NLQ28" s="78"/>
      <c r="NLU28" s="78"/>
      <c r="NLY28" s="78"/>
      <c r="NMC28" s="78"/>
      <c r="NMG28" s="78"/>
      <c r="NMK28" s="78"/>
      <c r="NMO28" s="78"/>
      <c r="NMS28" s="78"/>
      <c r="NMW28" s="78"/>
      <c r="NNA28" s="78"/>
      <c r="NNE28" s="78"/>
      <c r="NNI28" s="78"/>
      <c r="NNM28" s="78"/>
      <c r="NNQ28" s="78"/>
      <c r="NNU28" s="78"/>
      <c r="NNY28" s="78"/>
      <c r="NOC28" s="78"/>
      <c r="NOG28" s="78"/>
      <c r="NOK28" s="78"/>
      <c r="NOO28" s="78"/>
      <c r="NOS28" s="78"/>
      <c r="NOW28" s="78"/>
      <c r="NPA28" s="78"/>
      <c r="NPE28" s="78"/>
      <c r="NPI28" s="78"/>
      <c r="NPM28" s="78"/>
      <c r="NPQ28" s="78"/>
      <c r="NPU28" s="78"/>
      <c r="NPY28" s="78"/>
      <c r="NQC28" s="78"/>
      <c r="NQG28" s="78"/>
      <c r="NQK28" s="78"/>
      <c r="NQO28" s="78"/>
      <c r="NQS28" s="78"/>
      <c r="NQW28" s="78"/>
      <c r="NRA28" s="78"/>
      <c r="NRE28" s="78"/>
      <c r="NRI28" s="78"/>
      <c r="NRM28" s="78"/>
      <c r="NRQ28" s="78"/>
      <c r="NRU28" s="78"/>
      <c r="NRY28" s="78"/>
      <c r="NSC28" s="78"/>
      <c r="NSG28" s="78"/>
      <c r="NSK28" s="78"/>
      <c r="NSO28" s="78"/>
      <c r="NSS28" s="78"/>
      <c r="NSW28" s="78"/>
      <c r="NTA28" s="78"/>
      <c r="NTE28" s="78"/>
      <c r="NTI28" s="78"/>
      <c r="NTM28" s="78"/>
      <c r="NTQ28" s="78"/>
      <c r="NTU28" s="78"/>
      <c r="NTY28" s="78"/>
      <c r="NUC28" s="78"/>
      <c r="NUG28" s="78"/>
      <c r="NUK28" s="78"/>
      <c r="NUO28" s="78"/>
      <c r="NUS28" s="78"/>
      <c r="NUW28" s="78"/>
      <c r="NVA28" s="78"/>
      <c r="NVE28" s="78"/>
      <c r="NVI28" s="78"/>
      <c r="NVM28" s="78"/>
      <c r="NVQ28" s="78"/>
      <c r="NVU28" s="78"/>
      <c r="NVY28" s="78"/>
      <c r="NWC28" s="78"/>
      <c r="NWG28" s="78"/>
      <c r="NWK28" s="78"/>
      <c r="NWO28" s="78"/>
      <c r="NWS28" s="78"/>
      <c r="NWW28" s="78"/>
      <c r="NXA28" s="78"/>
      <c r="NXE28" s="78"/>
      <c r="NXI28" s="78"/>
      <c r="NXM28" s="78"/>
      <c r="NXQ28" s="78"/>
      <c r="NXU28" s="78"/>
      <c r="NXY28" s="78"/>
      <c r="NYC28" s="78"/>
      <c r="NYG28" s="78"/>
      <c r="NYK28" s="78"/>
      <c r="NYO28" s="78"/>
      <c r="NYS28" s="78"/>
      <c r="NYW28" s="78"/>
      <c r="NZA28" s="78"/>
      <c r="NZE28" s="78"/>
      <c r="NZI28" s="78"/>
      <c r="NZM28" s="78"/>
      <c r="NZQ28" s="78"/>
      <c r="NZU28" s="78"/>
      <c r="NZY28" s="78"/>
      <c r="OAC28" s="78"/>
      <c r="OAG28" s="78"/>
      <c r="OAK28" s="78"/>
      <c r="OAO28" s="78"/>
      <c r="OAS28" s="78"/>
      <c r="OAW28" s="78"/>
      <c r="OBA28" s="78"/>
      <c r="OBE28" s="78"/>
      <c r="OBI28" s="78"/>
      <c r="OBM28" s="78"/>
      <c r="OBQ28" s="78"/>
      <c r="OBU28" s="78"/>
      <c r="OBY28" s="78"/>
      <c r="OCC28" s="78"/>
      <c r="OCG28" s="78"/>
      <c r="OCK28" s="78"/>
      <c r="OCO28" s="78"/>
      <c r="OCS28" s="78"/>
      <c r="OCW28" s="78"/>
      <c r="ODA28" s="78"/>
      <c r="ODE28" s="78"/>
      <c r="ODI28" s="78"/>
      <c r="ODM28" s="78"/>
      <c r="ODQ28" s="78"/>
      <c r="ODU28" s="78"/>
      <c r="ODY28" s="78"/>
      <c r="OEC28" s="78"/>
      <c r="OEG28" s="78"/>
      <c r="OEK28" s="78"/>
      <c r="OEO28" s="78"/>
      <c r="OES28" s="78"/>
      <c r="OEW28" s="78"/>
      <c r="OFA28" s="78"/>
      <c r="OFE28" s="78"/>
      <c r="OFI28" s="78"/>
      <c r="OFM28" s="78"/>
      <c r="OFQ28" s="78"/>
      <c r="OFU28" s="78"/>
      <c r="OFY28" s="78"/>
      <c r="OGC28" s="78"/>
      <c r="OGG28" s="78"/>
      <c r="OGK28" s="78"/>
      <c r="OGO28" s="78"/>
      <c r="OGS28" s="78"/>
      <c r="OGW28" s="78"/>
      <c r="OHA28" s="78"/>
      <c r="OHE28" s="78"/>
      <c r="OHI28" s="78"/>
      <c r="OHM28" s="78"/>
      <c r="OHQ28" s="78"/>
      <c r="OHU28" s="78"/>
      <c r="OHY28" s="78"/>
      <c r="OIC28" s="78"/>
      <c r="OIG28" s="78"/>
      <c r="OIK28" s="78"/>
      <c r="OIO28" s="78"/>
      <c r="OIS28" s="78"/>
      <c r="OIW28" s="78"/>
      <c r="OJA28" s="78"/>
      <c r="OJE28" s="78"/>
      <c r="OJI28" s="78"/>
      <c r="OJM28" s="78"/>
      <c r="OJQ28" s="78"/>
      <c r="OJU28" s="78"/>
      <c r="OJY28" s="78"/>
      <c r="OKC28" s="78"/>
      <c r="OKG28" s="78"/>
      <c r="OKK28" s="78"/>
      <c r="OKO28" s="78"/>
      <c r="OKS28" s="78"/>
      <c r="OKW28" s="78"/>
      <c r="OLA28" s="78"/>
      <c r="OLE28" s="78"/>
      <c r="OLI28" s="78"/>
      <c r="OLM28" s="78"/>
      <c r="OLQ28" s="78"/>
      <c r="OLU28" s="78"/>
      <c r="OLY28" s="78"/>
      <c r="OMC28" s="78"/>
      <c r="OMG28" s="78"/>
      <c r="OMK28" s="78"/>
      <c r="OMO28" s="78"/>
      <c r="OMS28" s="78"/>
      <c r="OMW28" s="78"/>
      <c r="ONA28" s="78"/>
      <c r="ONE28" s="78"/>
      <c r="ONI28" s="78"/>
      <c r="ONM28" s="78"/>
      <c r="ONQ28" s="78"/>
      <c r="ONU28" s="78"/>
      <c r="ONY28" s="78"/>
      <c r="OOC28" s="78"/>
      <c r="OOG28" s="78"/>
      <c r="OOK28" s="78"/>
      <c r="OOO28" s="78"/>
      <c r="OOS28" s="78"/>
      <c r="OOW28" s="78"/>
      <c r="OPA28" s="78"/>
      <c r="OPE28" s="78"/>
      <c r="OPI28" s="78"/>
      <c r="OPM28" s="78"/>
      <c r="OPQ28" s="78"/>
      <c r="OPU28" s="78"/>
      <c r="OPY28" s="78"/>
      <c r="OQC28" s="78"/>
      <c r="OQG28" s="78"/>
      <c r="OQK28" s="78"/>
      <c r="OQO28" s="78"/>
      <c r="OQS28" s="78"/>
      <c r="OQW28" s="78"/>
      <c r="ORA28" s="78"/>
      <c r="ORE28" s="78"/>
      <c r="ORI28" s="78"/>
      <c r="ORM28" s="78"/>
      <c r="ORQ28" s="78"/>
      <c r="ORU28" s="78"/>
      <c r="ORY28" s="78"/>
      <c r="OSC28" s="78"/>
      <c r="OSG28" s="78"/>
      <c r="OSK28" s="78"/>
      <c r="OSO28" s="78"/>
      <c r="OSS28" s="78"/>
      <c r="OSW28" s="78"/>
      <c r="OTA28" s="78"/>
      <c r="OTE28" s="78"/>
      <c r="OTI28" s="78"/>
      <c r="OTM28" s="78"/>
      <c r="OTQ28" s="78"/>
      <c r="OTU28" s="78"/>
      <c r="OTY28" s="78"/>
      <c r="OUC28" s="78"/>
      <c r="OUG28" s="78"/>
      <c r="OUK28" s="78"/>
      <c r="OUO28" s="78"/>
      <c r="OUS28" s="78"/>
      <c r="OUW28" s="78"/>
      <c r="OVA28" s="78"/>
      <c r="OVE28" s="78"/>
      <c r="OVI28" s="78"/>
      <c r="OVM28" s="78"/>
      <c r="OVQ28" s="78"/>
      <c r="OVU28" s="78"/>
      <c r="OVY28" s="78"/>
      <c r="OWC28" s="78"/>
      <c r="OWG28" s="78"/>
      <c r="OWK28" s="78"/>
      <c r="OWO28" s="78"/>
      <c r="OWS28" s="78"/>
      <c r="OWW28" s="78"/>
      <c r="OXA28" s="78"/>
      <c r="OXE28" s="78"/>
      <c r="OXI28" s="78"/>
      <c r="OXM28" s="78"/>
      <c r="OXQ28" s="78"/>
      <c r="OXU28" s="78"/>
      <c r="OXY28" s="78"/>
      <c r="OYC28" s="78"/>
      <c r="OYG28" s="78"/>
      <c r="OYK28" s="78"/>
      <c r="OYO28" s="78"/>
      <c r="OYS28" s="78"/>
      <c r="OYW28" s="78"/>
      <c r="OZA28" s="78"/>
      <c r="OZE28" s="78"/>
      <c r="OZI28" s="78"/>
      <c r="OZM28" s="78"/>
      <c r="OZQ28" s="78"/>
      <c r="OZU28" s="78"/>
      <c r="OZY28" s="78"/>
      <c r="PAC28" s="78"/>
      <c r="PAG28" s="78"/>
      <c r="PAK28" s="78"/>
      <c r="PAO28" s="78"/>
      <c r="PAS28" s="78"/>
      <c r="PAW28" s="78"/>
      <c r="PBA28" s="78"/>
      <c r="PBE28" s="78"/>
      <c r="PBI28" s="78"/>
      <c r="PBM28" s="78"/>
      <c r="PBQ28" s="78"/>
      <c r="PBU28" s="78"/>
      <c r="PBY28" s="78"/>
      <c r="PCC28" s="78"/>
      <c r="PCG28" s="78"/>
      <c r="PCK28" s="78"/>
      <c r="PCO28" s="78"/>
      <c r="PCS28" s="78"/>
      <c r="PCW28" s="78"/>
      <c r="PDA28" s="78"/>
      <c r="PDE28" s="78"/>
      <c r="PDI28" s="78"/>
      <c r="PDM28" s="78"/>
      <c r="PDQ28" s="78"/>
      <c r="PDU28" s="78"/>
      <c r="PDY28" s="78"/>
      <c r="PEC28" s="78"/>
      <c r="PEG28" s="78"/>
      <c r="PEK28" s="78"/>
      <c r="PEO28" s="78"/>
      <c r="PES28" s="78"/>
      <c r="PEW28" s="78"/>
      <c r="PFA28" s="78"/>
      <c r="PFE28" s="78"/>
      <c r="PFI28" s="78"/>
      <c r="PFM28" s="78"/>
      <c r="PFQ28" s="78"/>
      <c r="PFU28" s="78"/>
      <c r="PFY28" s="78"/>
      <c r="PGC28" s="78"/>
      <c r="PGG28" s="78"/>
      <c r="PGK28" s="78"/>
      <c r="PGO28" s="78"/>
      <c r="PGS28" s="78"/>
      <c r="PGW28" s="78"/>
      <c r="PHA28" s="78"/>
      <c r="PHE28" s="78"/>
      <c r="PHI28" s="78"/>
      <c r="PHM28" s="78"/>
      <c r="PHQ28" s="78"/>
      <c r="PHU28" s="78"/>
      <c r="PHY28" s="78"/>
      <c r="PIC28" s="78"/>
      <c r="PIG28" s="78"/>
      <c r="PIK28" s="78"/>
      <c r="PIO28" s="78"/>
      <c r="PIS28" s="78"/>
      <c r="PIW28" s="78"/>
      <c r="PJA28" s="78"/>
      <c r="PJE28" s="78"/>
      <c r="PJI28" s="78"/>
      <c r="PJM28" s="78"/>
      <c r="PJQ28" s="78"/>
      <c r="PJU28" s="78"/>
      <c r="PJY28" s="78"/>
      <c r="PKC28" s="78"/>
      <c r="PKG28" s="78"/>
      <c r="PKK28" s="78"/>
      <c r="PKO28" s="78"/>
      <c r="PKS28" s="78"/>
      <c r="PKW28" s="78"/>
      <c r="PLA28" s="78"/>
      <c r="PLE28" s="78"/>
      <c r="PLI28" s="78"/>
      <c r="PLM28" s="78"/>
      <c r="PLQ28" s="78"/>
      <c r="PLU28" s="78"/>
      <c r="PLY28" s="78"/>
      <c r="PMC28" s="78"/>
      <c r="PMG28" s="78"/>
      <c r="PMK28" s="78"/>
      <c r="PMO28" s="78"/>
      <c r="PMS28" s="78"/>
      <c r="PMW28" s="78"/>
      <c r="PNA28" s="78"/>
      <c r="PNE28" s="78"/>
      <c r="PNI28" s="78"/>
      <c r="PNM28" s="78"/>
      <c r="PNQ28" s="78"/>
      <c r="PNU28" s="78"/>
      <c r="PNY28" s="78"/>
      <c r="POC28" s="78"/>
      <c r="POG28" s="78"/>
      <c r="POK28" s="78"/>
      <c r="POO28" s="78"/>
      <c r="POS28" s="78"/>
      <c r="POW28" s="78"/>
      <c r="PPA28" s="78"/>
      <c r="PPE28" s="78"/>
      <c r="PPI28" s="78"/>
      <c r="PPM28" s="78"/>
      <c r="PPQ28" s="78"/>
      <c r="PPU28" s="78"/>
      <c r="PPY28" s="78"/>
      <c r="PQC28" s="78"/>
      <c r="PQG28" s="78"/>
      <c r="PQK28" s="78"/>
      <c r="PQO28" s="78"/>
      <c r="PQS28" s="78"/>
      <c r="PQW28" s="78"/>
      <c r="PRA28" s="78"/>
      <c r="PRE28" s="78"/>
      <c r="PRI28" s="78"/>
      <c r="PRM28" s="78"/>
      <c r="PRQ28" s="78"/>
      <c r="PRU28" s="78"/>
      <c r="PRY28" s="78"/>
      <c r="PSC28" s="78"/>
      <c r="PSG28" s="78"/>
      <c r="PSK28" s="78"/>
      <c r="PSO28" s="78"/>
      <c r="PSS28" s="78"/>
      <c r="PSW28" s="78"/>
      <c r="PTA28" s="78"/>
      <c r="PTE28" s="78"/>
      <c r="PTI28" s="78"/>
      <c r="PTM28" s="78"/>
      <c r="PTQ28" s="78"/>
      <c r="PTU28" s="78"/>
      <c r="PTY28" s="78"/>
      <c r="PUC28" s="78"/>
      <c r="PUG28" s="78"/>
      <c r="PUK28" s="78"/>
      <c r="PUO28" s="78"/>
      <c r="PUS28" s="78"/>
      <c r="PUW28" s="78"/>
      <c r="PVA28" s="78"/>
      <c r="PVE28" s="78"/>
      <c r="PVI28" s="78"/>
      <c r="PVM28" s="78"/>
      <c r="PVQ28" s="78"/>
      <c r="PVU28" s="78"/>
      <c r="PVY28" s="78"/>
      <c r="PWC28" s="78"/>
      <c r="PWG28" s="78"/>
      <c r="PWK28" s="78"/>
      <c r="PWO28" s="78"/>
      <c r="PWS28" s="78"/>
      <c r="PWW28" s="78"/>
      <c r="PXA28" s="78"/>
      <c r="PXE28" s="78"/>
      <c r="PXI28" s="78"/>
      <c r="PXM28" s="78"/>
      <c r="PXQ28" s="78"/>
      <c r="PXU28" s="78"/>
      <c r="PXY28" s="78"/>
      <c r="PYC28" s="78"/>
      <c r="PYG28" s="78"/>
      <c r="PYK28" s="78"/>
      <c r="PYO28" s="78"/>
      <c r="PYS28" s="78"/>
      <c r="PYW28" s="78"/>
      <c r="PZA28" s="78"/>
      <c r="PZE28" s="78"/>
      <c r="PZI28" s="78"/>
      <c r="PZM28" s="78"/>
      <c r="PZQ28" s="78"/>
      <c r="PZU28" s="78"/>
      <c r="PZY28" s="78"/>
      <c r="QAC28" s="78"/>
      <c r="QAG28" s="78"/>
      <c r="QAK28" s="78"/>
      <c r="QAO28" s="78"/>
      <c r="QAS28" s="78"/>
      <c r="QAW28" s="78"/>
      <c r="QBA28" s="78"/>
      <c r="QBE28" s="78"/>
      <c r="QBI28" s="78"/>
      <c r="QBM28" s="78"/>
      <c r="QBQ28" s="78"/>
      <c r="QBU28" s="78"/>
      <c r="QBY28" s="78"/>
      <c r="QCC28" s="78"/>
      <c r="QCG28" s="78"/>
      <c r="QCK28" s="78"/>
      <c r="QCO28" s="78"/>
      <c r="QCS28" s="78"/>
      <c r="QCW28" s="78"/>
      <c r="QDA28" s="78"/>
      <c r="QDE28" s="78"/>
      <c r="QDI28" s="78"/>
      <c r="QDM28" s="78"/>
      <c r="QDQ28" s="78"/>
      <c r="QDU28" s="78"/>
      <c r="QDY28" s="78"/>
      <c r="QEC28" s="78"/>
      <c r="QEG28" s="78"/>
      <c r="QEK28" s="78"/>
      <c r="QEO28" s="78"/>
      <c r="QES28" s="78"/>
      <c r="QEW28" s="78"/>
      <c r="QFA28" s="78"/>
      <c r="QFE28" s="78"/>
      <c r="QFI28" s="78"/>
      <c r="QFM28" s="78"/>
      <c r="QFQ28" s="78"/>
      <c r="QFU28" s="78"/>
      <c r="QFY28" s="78"/>
      <c r="QGC28" s="78"/>
      <c r="QGG28" s="78"/>
      <c r="QGK28" s="78"/>
      <c r="QGO28" s="78"/>
      <c r="QGS28" s="78"/>
      <c r="QGW28" s="78"/>
      <c r="QHA28" s="78"/>
      <c r="QHE28" s="78"/>
      <c r="QHI28" s="78"/>
      <c r="QHM28" s="78"/>
      <c r="QHQ28" s="78"/>
      <c r="QHU28" s="78"/>
      <c r="QHY28" s="78"/>
      <c r="QIC28" s="78"/>
      <c r="QIG28" s="78"/>
      <c r="QIK28" s="78"/>
      <c r="QIO28" s="78"/>
      <c r="QIS28" s="78"/>
      <c r="QIW28" s="78"/>
      <c r="QJA28" s="78"/>
      <c r="QJE28" s="78"/>
      <c r="QJI28" s="78"/>
      <c r="QJM28" s="78"/>
      <c r="QJQ28" s="78"/>
      <c r="QJU28" s="78"/>
      <c r="QJY28" s="78"/>
      <c r="QKC28" s="78"/>
      <c r="QKG28" s="78"/>
      <c r="QKK28" s="78"/>
      <c r="QKO28" s="78"/>
      <c r="QKS28" s="78"/>
      <c r="QKW28" s="78"/>
      <c r="QLA28" s="78"/>
      <c r="QLE28" s="78"/>
      <c r="QLI28" s="78"/>
      <c r="QLM28" s="78"/>
      <c r="QLQ28" s="78"/>
      <c r="QLU28" s="78"/>
      <c r="QLY28" s="78"/>
      <c r="QMC28" s="78"/>
      <c r="QMG28" s="78"/>
      <c r="QMK28" s="78"/>
      <c r="QMO28" s="78"/>
      <c r="QMS28" s="78"/>
      <c r="QMW28" s="78"/>
      <c r="QNA28" s="78"/>
      <c r="QNE28" s="78"/>
      <c r="QNI28" s="78"/>
      <c r="QNM28" s="78"/>
      <c r="QNQ28" s="78"/>
      <c r="QNU28" s="78"/>
      <c r="QNY28" s="78"/>
      <c r="QOC28" s="78"/>
      <c r="QOG28" s="78"/>
      <c r="QOK28" s="78"/>
      <c r="QOO28" s="78"/>
      <c r="QOS28" s="78"/>
      <c r="QOW28" s="78"/>
      <c r="QPA28" s="78"/>
      <c r="QPE28" s="78"/>
      <c r="QPI28" s="78"/>
      <c r="QPM28" s="78"/>
      <c r="QPQ28" s="78"/>
      <c r="QPU28" s="78"/>
      <c r="QPY28" s="78"/>
      <c r="QQC28" s="78"/>
      <c r="QQG28" s="78"/>
      <c r="QQK28" s="78"/>
      <c r="QQO28" s="78"/>
      <c r="QQS28" s="78"/>
      <c r="QQW28" s="78"/>
      <c r="QRA28" s="78"/>
      <c r="QRE28" s="78"/>
      <c r="QRI28" s="78"/>
      <c r="QRM28" s="78"/>
      <c r="QRQ28" s="78"/>
      <c r="QRU28" s="78"/>
      <c r="QRY28" s="78"/>
      <c r="QSC28" s="78"/>
      <c r="QSG28" s="78"/>
      <c r="QSK28" s="78"/>
      <c r="QSO28" s="78"/>
      <c r="QSS28" s="78"/>
      <c r="QSW28" s="78"/>
      <c r="QTA28" s="78"/>
      <c r="QTE28" s="78"/>
      <c r="QTI28" s="78"/>
      <c r="QTM28" s="78"/>
      <c r="QTQ28" s="78"/>
      <c r="QTU28" s="78"/>
      <c r="QTY28" s="78"/>
      <c r="QUC28" s="78"/>
      <c r="QUG28" s="78"/>
      <c r="QUK28" s="78"/>
      <c r="QUO28" s="78"/>
      <c r="QUS28" s="78"/>
      <c r="QUW28" s="78"/>
      <c r="QVA28" s="78"/>
      <c r="QVE28" s="78"/>
      <c r="QVI28" s="78"/>
      <c r="QVM28" s="78"/>
      <c r="QVQ28" s="78"/>
      <c r="QVU28" s="78"/>
      <c r="QVY28" s="78"/>
      <c r="QWC28" s="78"/>
      <c r="QWG28" s="78"/>
      <c r="QWK28" s="78"/>
      <c r="QWO28" s="78"/>
      <c r="QWS28" s="78"/>
      <c r="QWW28" s="78"/>
      <c r="QXA28" s="78"/>
      <c r="QXE28" s="78"/>
      <c r="QXI28" s="78"/>
      <c r="QXM28" s="78"/>
      <c r="QXQ28" s="78"/>
      <c r="QXU28" s="78"/>
      <c r="QXY28" s="78"/>
      <c r="QYC28" s="78"/>
      <c r="QYG28" s="78"/>
      <c r="QYK28" s="78"/>
      <c r="QYO28" s="78"/>
      <c r="QYS28" s="78"/>
      <c r="QYW28" s="78"/>
      <c r="QZA28" s="78"/>
      <c r="QZE28" s="78"/>
      <c r="QZI28" s="78"/>
      <c r="QZM28" s="78"/>
      <c r="QZQ28" s="78"/>
      <c r="QZU28" s="78"/>
      <c r="QZY28" s="78"/>
      <c r="RAC28" s="78"/>
      <c r="RAG28" s="78"/>
      <c r="RAK28" s="78"/>
      <c r="RAO28" s="78"/>
      <c r="RAS28" s="78"/>
      <c r="RAW28" s="78"/>
      <c r="RBA28" s="78"/>
      <c r="RBE28" s="78"/>
      <c r="RBI28" s="78"/>
      <c r="RBM28" s="78"/>
      <c r="RBQ28" s="78"/>
      <c r="RBU28" s="78"/>
      <c r="RBY28" s="78"/>
      <c r="RCC28" s="78"/>
      <c r="RCG28" s="78"/>
      <c r="RCK28" s="78"/>
      <c r="RCO28" s="78"/>
      <c r="RCS28" s="78"/>
      <c r="RCW28" s="78"/>
      <c r="RDA28" s="78"/>
      <c r="RDE28" s="78"/>
      <c r="RDI28" s="78"/>
      <c r="RDM28" s="78"/>
      <c r="RDQ28" s="78"/>
      <c r="RDU28" s="78"/>
      <c r="RDY28" s="78"/>
      <c r="REC28" s="78"/>
      <c r="REG28" s="78"/>
      <c r="REK28" s="78"/>
      <c r="REO28" s="78"/>
      <c r="RES28" s="78"/>
      <c r="REW28" s="78"/>
      <c r="RFA28" s="78"/>
      <c r="RFE28" s="78"/>
      <c r="RFI28" s="78"/>
      <c r="RFM28" s="78"/>
      <c r="RFQ28" s="78"/>
      <c r="RFU28" s="78"/>
      <c r="RFY28" s="78"/>
      <c r="RGC28" s="78"/>
      <c r="RGG28" s="78"/>
      <c r="RGK28" s="78"/>
      <c r="RGO28" s="78"/>
      <c r="RGS28" s="78"/>
      <c r="RGW28" s="78"/>
      <c r="RHA28" s="78"/>
      <c r="RHE28" s="78"/>
      <c r="RHI28" s="78"/>
      <c r="RHM28" s="78"/>
      <c r="RHQ28" s="78"/>
      <c r="RHU28" s="78"/>
      <c r="RHY28" s="78"/>
      <c r="RIC28" s="78"/>
      <c r="RIG28" s="78"/>
      <c r="RIK28" s="78"/>
      <c r="RIO28" s="78"/>
      <c r="RIS28" s="78"/>
      <c r="RIW28" s="78"/>
      <c r="RJA28" s="78"/>
      <c r="RJE28" s="78"/>
      <c r="RJI28" s="78"/>
      <c r="RJM28" s="78"/>
      <c r="RJQ28" s="78"/>
      <c r="RJU28" s="78"/>
      <c r="RJY28" s="78"/>
      <c r="RKC28" s="78"/>
      <c r="RKG28" s="78"/>
      <c r="RKK28" s="78"/>
      <c r="RKO28" s="78"/>
      <c r="RKS28" s="78"/>
      <c r="RKW28" s="78"/>
      <c r="RLA28" s="78"/>
      <c r="RLE28" s="78"/>
      <c r="RLI28" s="78"/>
      <c r="RLM28" s="78"/>
      <c r="RLQ28" s="78"/>
      <c r="RLU28" s="78"/>
      <c r="RLY28" s="78"/>
      <c r="RMC28" s="78"/>
      <c r="RMG28" s="78"/>
      <c r="RMK28" s="78"/>
      <c r="RMO28" s="78"/>
      <c r="RMS28" s="78"/>
      <c r="RMW28" s="78"/>
      <c r="RNA28" s="78"/>
      <c r="RNE28" s="78"/>
      <c r="RNI28" s="78"/>
      <c r="RNM28" s="78"/>
      <c r="RNQ28" s="78"/>
      <c r="RNU28" s="78"/>
      <c r="RNY28" s="78"/>
      <c r="ROC28" s="78"/>
      <c r="ROG28" s="78"/>
      <c r="ROK28" s="78"/>
      <c r="ROO28" s="78"/>
      <c r="ROS28" s="78"/>
      <c r="ROW28" s="78"/>
      <c r="RPA28" s="78"/>
      <c r="RPE28" s="78"/>
      <c r="RPI28" s="78"/>
      <c r="RPM28" s="78"/>
      <c r="RPQ28" s="78"/>
      <c r="RPU28" s="78"/>
      <c r="RPY28" s="78"/>
      <c r="RQC28" s="78"/>
      <c r="RQG28" s="78"/>
      <c r="RQK28" s="78"/>
      <c r="RQO28" s="78"/>
      <c r="RQS28" s="78"/>
      <c r="RQW28" s="78"/>
      <c r="RRA28" s="78"/>
      <c r="RRE28" s="78"/>
      <c r="RRI28" s="78"/>
      <c r="RRM28" s="78"/>
      <c r="RRQ28" s="78"/>
      <c r="RRU28" s="78"/>
      <c r="RRY28" s="78"/>
      <c r="RSC28" s="78"/>
      <c r="RSG28" s="78"/>
      <c r="RSK28" s="78"/>
      <c r="RSO28" s="78"/>
      <c r="RSS28" s="78"/>
      <c r="RSW28" s="78"/>
      <c r="RTA28" s="78"/>
      <c r="RTE28" s="78"/>
      <c r="RTI28" s="78"/>
      <c r="RTM28" s="78"/>
      <c r="RTQ28" s="78"/>
      <c r="RTU28" s="78"/>
      <c r="RTY28" s="78"/>
      <c r="RUC28" s="78"/>
      <c r="RUG28" s="78"/>
      <c r="RUK28" s="78"/>
      <c r="RUO28" s="78"/>
      <c r="RUS28" s="78"/>
      <c r="RUW28" s="78"/>
      <c r="RVA28" s="78"/>
      <c r="RVE28" s="78"/>
      <c r="RVI28" s="78"/>
      <c r="RVM28" s="78"/>
      <c r="RVQ28" s="78"/>
      <c r="RVU28" s="78"/>
      <c r="RVY28" s="78"/>
      <c r="RWC28" s="78"/>
      <c r="RWG28" s="78"/>
      <c r="RWK28" s="78"/>
      <c r="RWO28" s="78"/>
      <c r="RWS28" s="78"/>
      <c r="RWW28" s="78"/>
      <c r="RXA28" s="78"/>
      <c r="RXE28" s="78"/>
      <c r="RXI28" s="78"/>
      <c r="RXM28" s="78"/>
      <c r="RXQ28" s="78"/>
      <c r="RXU28" s="78"/>
      <c r="RXY28" s="78"/>
      <c r="RYC28" s="78"/>
      <c r="RYG28" s="78"/>
      <c r="RYK28" s="78"/>
      <c r="RYO28" s="78"/>
      <c r="RYS28" s="78"/>
      <c r="RYW28" s="78"/>
      <c r="RZA28" s="78"/>
      <c r="RZE28" s="78"/>
      <c r="RZI28" s="78"/>
      <c r="RZM28" s="78"/>
      <c r="RZQ28" s="78"/>
      <c r="RZU28" s="78"/>
      <c r="RZY28" s="78"/>
      <c r="SAC28" s="78"/>
      <c r="SAG28" s="78"/>
      <c r="SAK28" s="78"/>
      <c r="SAO28" s="78"/>
      <c r="SAS28" s="78"/>
      <c r="SAW28" s="78"/>
      <c r="SBA28" s="78"/>
      <c r="SBE28" s="78"/>
      <c r="SBI28" s="78"/>
      <c r="SBM28" s="78"/>
      <c r="SBQ28" s="78"/>
      <c r="SBU28" s="78"/>
      <c r="SBY28" s="78"/>
      <c r="SCC28" s="78"/>
      <c r="SCG28" s="78"/>
      <c r="SCK28" s="78"/>
      <c r="SCO28" s="78"/>
      <c r="SCS28" s="78"/>
      <c r="SCW28" s="78"/>
      <c r="SDA28" s="78"/>
      <c r="SDE28" s="78"/>
      <c r="SDI28" s="78"/>
      <c r="SDM28" s="78"/>
      <c r="SDQ28" s="78"/>
      <c r="SDU28" s="78"/>
      <c r="SDY28" s="78"/>
      <c r="SEC28" s="78"/>
      <c r="SEG28" s="78"/>
      <c r="SEK28" s="78"/>
      <c r="SEO28" s="78"/>
      <c r="SES28" s="78"/>
      <c r="SEW28" s="78"/>
      <c r="SFA28" s="78"/>
      <c r="SFE28" s="78"/>
      <c r="SFI28" s="78"/>
      <c r="SFM28" s="78"/>
      <c r="SFQ28" s="78"/>
      <c r="SFU28" s="78"/>
      <c r="SFY28" s="78"/>
      <c r="SGC28" s="78"/>
      <c r="SGG28" s="78"/>
      <c r="SGK28" s="78"/>
      <c r="SGO28" s="78"/>
      <c r="SGS28" s="78"/>
      <c r="SGW28" s="78"/>
      <c r="SHA28" s="78"/>
      <c r="SHE28" s="78"/>
      <c r="SHI28" s="78"/>
      <c r="SHM28" s="78"/>
      <c r="SHQ28" s="78"/>
      <c r="SHU28" s="78"/>
      <c r="SHY28" s="78"/>
      <c r="SIC28" s="78"/>
      <c r="SIG28" s="78"/>
      <c r="SIK28" s="78"/>
      <c r="SIO28" s="78"/>
      <c r="SIS28" s="78"/>
      <c r="SIW28" s="78"/>
      <c r="SJA28" s="78"/>
      <c r="SJE28" s="78"/>
      <c r="SJI28" s="78"/>
      <c r="SJM28" s="78"/>
      <c r="SJQ28" s="78"/>
      <c r="SJU28" s="78"/>
      <c r="SJY28" s="78"/>
      <c r="SKC28" s="78"/>
      <c r="SKG28" s="78"/>
      <c r="SKK28" s="78"/>
      <c r="SKO28" s="78"/>
      <c r="SKS28" s="78"/>
      <c r="SKW28" s="78"/>
      <c r="SLA28" s="78"/>
      <c r="SLE28" s="78"/>
      <c r="SLI28" s="78"/>
      <c r="SLM28" s="78"/>
      <c r="SLQ28" s="78"/>
      <c r="SLU28" s="78"/>
      <c r="SLY28" s="78"/>
      <c r="SMC28" s="78"/>
      <c r="SMG28" s="78"/>
      <c r="SMK28" s="78"/>
      <c r="SMO28" s="78"/>
      <c r="SMS28" s="78"/>
      <c r="SMW28" s="78"/>
      <c r="SNA28" s="78"/>
      <c r="SNE28" s="78"/>
      <c r="SNI28" s="78"/>
      <c r="SNM28" s="78"/>
      <c r="SNQ28" s="78"/>
      <c r="SNU28" s="78"/>
      <c r="SNY28" s="78"/>
      <c r="SOC28" s="78"/>
      <c r="SOG28" s="78"/>
      <c r="SOK28" s="78"/>
      <c r="SOO28" s="78"/>
      <c r="SOS28" s="78"/>
      <c r="SOW28" s="78"/>
      <c r="SPA28" s="78"/>
      <c r="SPE28" s="78"/>
      <c r="SPI28" s="78"/>
      <c r="SPM28" s="78"/>
      <c r="SPQ28" s="78"/>
      <c r="SPU28" s="78"/>
      <c r="SPY28" s="78"/>
      <c r="SQC28" s="78"/>
      <c r="SQG28" s="78"/>
      <c r="SQK28" s="78"/>
      <c r="SQO28" s="78"/>
      <c r="SQS28" s="78"/>
      <c r="SQW28" s="78"/>
      <c r="SRA28" s="78"/>
      <c r="SRE28" s="78"/>
      <c r="SRI28" s="78"/>
      <c r="SRM28" s="78"/>
      <c r="SRQ28" s="78"/>
      <c r="SRU28" s="78"/>
      <c r="SRY28" s="78"/>
      <c r="SSC28" s="78"/>
      <c r="SSG28" s="78"/>
      <c r="SSK28" s="78"/>
      <c r="SSO28" s="78"/>
      <c r="SSS28" s="78"/>
      <c r="SSW28" s="78"/>
      <c r="STA28" s="78"/>
      <c r="STE28" s="78"/>
      <c r="STI28" s="78"/>
      <c r="STM28" s="78"/>
      <c r="STQ28" s="78"/>
      <c r="STU28" s="78"/>
      <c r="STY28" s="78"/>
      <c r="SUC28" s="78"/>
      <c r="SUG28" s="78"/>
      <c r="SUK28" s="78"/>
      <c r="SUO28" s="78"/>
      <c r="SUS28" s="78"/>
      <c r="SUW28" s="78"/>
      <c r="SVA28" s="78"/>
      <c r="SVE28" s="78"/>
      <c r="SVI28" s="78"/>
      <c r="SVM28" s="78"/>
      <c r="SVQ28" s="78"/>
      <c r="SVU28" s="78"/>
      <c r="SVY28" s="78"/>
      <c r="SWC28" s="78"/>
      <c r="SWG28" s="78"/>
      <c r="SWK28" s="78"/>
      <c r="SWO28" s="78"/>
      <c r="SWS28" s="78"/>
      <c r="SWW28" s="78"/>
      <c r="SXA28" s="78"/>
      <c r="SXE28" s="78"/>
      <c r="SXI28" s="78"/>
      <c r="SXM28" s="78"/>
      <c r="SXQ28" s="78"/>
      <c r="SXU28" s="78"/>
      <c r="SXY28" s="78"/>
      <c r="SYC28" s="78"/>
      <c r="SYG28" s="78"/>
      <c r="SYK28" s="78"/>
      <c r="SYO28" s="78"/>
      <c r="SYS28" s="78"/>
      <c r="SYW28" s="78"/>
      <c r="SZA28" s="78"/>
      <c r="SZE28" s="78"/>
      <c r="SZI28" s="78"/>
      <c r="SZM28" s="78"/>
      <c r="SZQ28" s="78"/>
      <c r="SZU28" s="78"/>
      <c r="SZY28" s="78"/>
      <c r="TAC28" s="78"/>
      <c r="TAG28" s="78"/>
      <c r="TAK28" s="78"/>
      <c r="TAO28" s="78"/>
      <c r="TAS28" s="78"/>
      <c r="TAW28" s="78"/>
      <c r="TBA28" s="78"/>
      <c r="TBE28" s="78"/>
      <c r="TBI28" s="78"/>
      <c r="TBM28" s="78"/>
      <c r="TBQ28" s="78"/>
      <c r="TBU28" s="78"/>
      <c r="TBY28" s="78"/>
      <c r="TCC28" s="78"/>
      <c r="TCG28" s="78"/>
      <c r="TCK28" s="78"/>
      <c r="TCO28" s="78"/>
      <c r="TCS28" s="78"/>
      <c r="TCW28" s="78"/>
      <c r="TDA28" s="78"/>
      <c r="TDE28" s="78"/>
      <c r="TDI28" s="78"/>
      <c r="TDM28" s="78"/>
      <c r="TDQ28" s="78"/>
      <c r="TDU28" s="78"/>
      <c r="TDY28" s="78"/>
      <c r="TEC28" s="78"/>
      <c r="TEG28" s="78"/>
      <c r="TEK28" s="78"/>
      <c r="TEO28" s="78"/>
      <c r="TES28" s="78"/>
      <c r="TEW28" s="78"/>
      <c r="TFA28" s="78"/>
      <c r="TFE28" s="78"/>
      <c r="TFI28" s="78"/>
      <c r="TFM28" s="78"/>
      <c r="TFQ28" s="78"/>
      <c r="TFU28" s="78"/>
      <c r="TFY28" s="78"/>
      <c r="TGC28" s="78"/>
      <c r="TGG28" s="78"/>
      <c r="TGK28" s="78"/>
      <c r="TGO28" s="78"/>
      <c r="TGS28" s="78"/>
      <c r="TGW28" s="78"/>
      <c r="THA28" s="78"/>
      <c r="THE28" s="78"/>
      <c r="THI28" s="78"/>
      <c r="THM28" s="78"/>
      <c r="THQ28" s="78"/>
      <c r="THU28" s="78"/>
      <c r="THY28" s="78"/>
      <c r="TIC28" s="78"/>
      <c r="TIG28" s="78"/>
      <c r="TIK28" s="78"/>
      <c r="TIO28" s="78"/>
      <c r="TIS28" s="78"/>
      <c r="TIW28" s="78"/>
      <c r="TJA28" s="78"/>
      <c r="TJE28" s="78"/>
      <c r="TJI28" s="78"/>
      <c r="TJM28" s="78"/>
      <c r="TJQ28" s="78"/>
      <c r="TJU28" s="78"/>
      <c r="TJY28" s="78"/>
      <c r="TKC28" s="78"/>
      <c r="TKG28" s="78"/>
      <c r="TKK28" s="78"/>
      <c r="TKO28" s="78"/>
      <c r="TKS28" s="78"/>
      <c r="TKW28" s="78"/>
      <c r="TLA28" s="78"/>
      <c r="TLE28" s="78"/>
      <c r="TLI28" s="78"/>
      <c r="TLM28" s="78"/>
      <c r="TLQ28" s="78"/>
      <c r="TLU28" s="78"/>
      <c r="TLY28" s="78"/>
      <c r="TMC28" s="78"/>
      <c r="TMG28" s="78"/>
      <c r="TMK28" s="78"/>
      <c r="TMO28" s="78"/>
      <c r="TMS28" s="78"/>
      <c r="TMW28" s="78"/>
      <c r="TNA28" s="78"/>
      <c r="TNE28" s="78"/>
      <c r="TNI28" s="78"/>
      <c r="TNM28" s="78"/>
      <c r="TNQ28" s="78"/>
      <c r="TNU28" s="78"/>
      <c r="TNY28" s="78"/>
      <c r="TOC28" s="78"/>
      <c r="TOG28" s="78"/>
      <c r="TOK28" s="78"/>
      <c r="TOO28" s="78"/>
      <c r="TOS28" s="78"/>
      <c r="TOW28" s="78"/>
      <c r="TPA28" s="78"/>
      <c r="TPE28" s="78"/>
      <c r="TPI28" s="78"/>
      <c r="TPM28" s="78"/>
      <c r="TPQ28" s="78"/>
      <c r="TPU28" s="78"/>
      <c r="TPY28" s="78"/>
      <c r="TQC28" s="78"/>
      <c r="TQG28" s="78"/>
      <c r="TQK28" s="78"/>
      <c r="TQO28" s="78"/>
      <c r="TQS28" s="78"/>
      <c r="TQW28" s="78"/>
      <c r="TRA28" s="78"/>
      <c r="TRE28" s="78"/>
      <c r="TRI28" s="78"/>
      <c r="TRM28" s="78"/>
      <c r="TRQ28" s="78"/>
      <c r="TRU28" s="78"/>
      <c r="TRY28" s="78"/>
      <c r="TSC28" s="78"/>
      <c r="TSG28" s="78"/>
      <c r="TSK28" s="78"/>
      <c r="TSO28" s="78"/>
      <c r="TSS28" s="78"/>
      <c r="TSW28" s="78"/>
      <c r="TTA28" s="78"/>
      <c r="TTE28" s="78"/>
      <c r="TTI28" s="78"/>
      <c r="TTM28" s="78"/>
      <c r="TTQ28" s="78"/>
      <c r="TTU28" s="78"/>
      <c r="TTY28" s="78"/>
      <c r="TUC28" s="78"/>
      <c r="TUG28" s="78"/>
      <c r="TUK28" s="78"/>
      <c r="TUO28" s="78"/>
      <c r="TUS28" s="78"/>
      <c r="TUW28" s="78"/>
      <c r="TVA28" s="78"/>
      <c r="TVE28" s="78"/>
      <c r="TVI28" s="78"/>
      <c r="TVM28" s="78"/>
      <c r="TVQ28" s="78"/>
      <c r="TVU28" s="78"/>
      <c r="TVY28" s="78"/>
      <c r="TWC28" s="78"/>
      <c r="TWG28" s="78"/>
      <c r="TWK28" s="78"/>
      <c r="TWO28" s="78"/>
      <c r="TWS28" s="78"/>
      <c r="TWW28" s="78"/>
      <c r="TXA28" s="78"/>
      <c r="TXE28" s="78"/>
      <c r="TXI28" s="78"/>
      <c r="TXM28" s="78"/>
      <c r="TXQ28" s="78"/>
      <c r="TXU28" s="78"/>
      <c r="TXY28" s="78"/>
      <c r="TYC28" s="78"/>
      <c r="TYG28" s="78"/>
      <c r="TYK28" s="78"/>
      <c r="TYO28" s="78"/>
      <c r="TYS28" s="78"/>
      <c r="TYW28" s="78"/>
      <c r="TZA28" s="78"/>
      <c r="TZE28" s="78"/>
      <c r="TZI28" s="78"/>
      <c r="TZM28" s="78"/>
      <c r="TZQ28" s="78"/>
      <c r="TZU28" s="78"/>
      <c r="TZY28" s="78"/>
      <c r="UAC28" s="78"/>
      <c r="UAG28" s="78"/>
      <c r="UAK28" s="78"/>
      <c r="UAO28" s="78"/>
      <c r="UAS28" s="78"/>
      <c r="UAW28" s="78"/>
      <c r="UBA28" s="78"/>
      <c r="UBE28" s="78"/>
      <c r="UBI28" s="78"/>
      <c r="UBM28" s="78"/>
      <c r="UBQ28" s="78"/>
      <c r="UBU28" s="78"/>
      <c r="UBY28" s="78"/>
      <c r="UCC28" s="78"/>
      <c r="UCG28" s="78"/>
      <c r="UCK28" s="78"/>
      <c r="UCO28" s="78"/>
      <c r="UCS28" s="78"/>
      <c r="UCW28" s="78"/>
      <c r="UDA28" s="78"/>
      <c r="UDE28" s="78"/>
      <c r="UDI28" s="78"/>
      <c r="UDM28" s="78"/>
      <c r="UDQ28" s="78"/>
      <c r="UDU28" s="78"/>
      <c r="UDY28" s="78"/>
      <c r="UEC28" s="78"/>
      <c r="UEG28" s="78"/>
      <c r="UEK28" s="78"/>
      <c r="UEO28" s="78"/>
      <c r="UES28" s="78"/>
      <c r="UEW28" s="78"/>
      <c r="UFA28" s="78"/>
      <c r="UFE28" s="78"/>
      <c r="UFI28" s="78"/>
      <c r="UFM28" s="78"/>
      <c r="UFQ28" s="78"/>
      <c r="UFU28" s="78"/>
      <c r="UFY28" s="78"/>
      <c r="UGC28" s="78"/>
      <c r="UGG28" s="78"/>
      <c r="UGK28" s="78"/>
      <c r="UGO28" s="78"/>
      <c r="UGS28" s="78"/>
      <c r="UGW28" s="78"/>
      <c r="UHA28" s="78"/>
      <c r="UHE28" s="78"/>
      <c r="UHI28" s="78"/>
      <c r="UHM28" s="78"/>
      <c r="UHQ28" s="78"/>
      <c r="UHU28" s="78"/>
      <c r="UHY28" s="78"/>
      <c r="UIC28" s="78"/>
      <c r="UIG28" s="78"/>
      <c r="UIK28" s="78"/>
      <c r="UIO28" s="78"/>
      <c r="UIS28" s="78"/>
      <c r="UIW28" s="78"/>
      <c r="UJA28" s="78"/>
      <c r="UJE28" s="78"/>
      <c r="UJI28" s="78"/>
      <c r="UJM28" s="78"/>
      <c r="UJQ28" s="78"/>
      <c r="UJU28" s="78"/>
      <c r="UJY28" s="78"/>
      <c r="UKC28" s="78"/>
      <c r="UKG28" s="78"/>
      <c r="UKK28" s="78"/>
      <c r="UKO28" s="78"/>
      <c r="UKS28" s="78"/>
      <c r="UKW28" s="78"/>
      <c r="ULA28" s="78"/>
      <c r="ULE28" s="78"/>
      <c r="ULI28" s="78"/>
      <c r="ULM28" s="78"/>
      <c r="ULQ28" s="78"/>
      <c r="ULU28" s="78"/>
      <c r="ULY28" s="78"/>
      <c r="UMC28" s="78"/>
      <c r="UMG28" s="78"/>
      <c r="UMK28" s="78"/>
      <c r="UMO28" s="78"/>
      <c r="UMS28" s="78"/>
      <c r="UMW28" s="78"/>
      <c r="UNA28" s="78"/>
      <c r="UNE28" s="78"/>
      <c r="UNI28" s="78"/>
      <c r="UNM28" s="78"/>
      <c r="UNQ28" s="78"/>
      <c r="UNU28" s="78"/>
      <c r="UNY28" s="78"/>
      <c r="UOC28" s="78"/>
      <c r="UOG28" s="78"/>
      <c r="UOK28" s="78"/>
      <c r="UOO28" s="78"/>
      <c r="UOS28" s="78"/>
      <c r="UOW28" s="78"/>
      <c r="UPA28" s="78"/>
      <c r="UPE28" s="78"/>
      <c r="UPI28" s="78"/>
      <c r="UPM28" s="78"/>
      <c r="UPQ28" s="78"/>
      <c r="UPU28" s="78"/>
      <c r="UPY28" s="78"/>
      <c r="UQC28" s="78"/>
      <c r="UQG28" s="78"/>
      <c r="UQK28" s="78"/>
      <c r="UQO28" s="78"/>
      <c r="UQS28" s="78"/>
      <c r="UQW28" s="78"/>
      <c r="URA28" s="78"/>
      <c r="URE28" s="78"/>
      <c r="URI28" s="78"/>
      <c r="URM28" s="78"/>
      <c r="URQ28" s="78"/>
      <c r="URU28" s="78"/>
      <c r="URY28" s="78"/>
      <c r="USC28" s="78"/>
      <c r="USG28" s="78"/>
      <c r="USK28" s="78"/>
      <c r="USO28" s="78"/>
      <c r="USS28" s="78"/>
      <c r="USW28" s="78"/>
      <c r="UTA28" s="78"/>
      <c r="UTE28" s="78"/>
      <c r="UTI28" s="78"/>
      <c r="UTM28" s="78"/>
      <c r="UTQ28" s="78"/>
      <c r="UTU28" s="78"/>
      <c r="UTY28" s="78"/>
      <c r="UUC28" s="78"/>
      <c r="UUG28" s="78"/>
      <c r="UUK28" s="78"/>
      <c r="UUO28" s="78"/>
      <c r="UUS28" s="78"/>
      <c r="UUW28" s="78"/>
      <c r="UVA28" s="78"/>
      <c r="UVE28" s="78"/>
      <c r="UVI28" s="78"/>
      <c r="UVM28" s="78"/>
      <c r="UVQ28" s="78"/>
      <c r="UVU28" s="78"/>
      <c r="UVY28" s="78"/>
      <c r="UWC28" s="78"/>
      <c r="UWG28" s="78"/>
      <c r="UWK28" s="78"/>
      <c r="UWO28" s="78"/>
      <c r="UWS28" s="78"/>
      <c r="UWW28" s="78"/>
      <c r="UXA28" s="78"/>
      <c r="UXE28" s="78"/>
      <c r="UXI28" s="78"/>
      <c r="UXM28" s="78"/>
      <c r="UXQ28" s="78"/>
      <c r="UXU28" s="78"/>
      <c r="UXY28" s="78"/>
      <c r="UYC28" s="78"/>
      <c r="UYG28" s="78"/>
      <c r="UYK28" s="78"/>
      <c r="UYO28" s="78"/>
      <c r="UYS28" s="78"/>
      <c r="UYW28" s="78"/>
      <c r="UZA28" s="78"/>
      <c r="UZE28" s="78"/>
      <c r="UZI28" s="78"/>
      <c r="UZM28" s="78"/>
      <c r="UZQ28" s="78"/>
      <c r="UZU28" s="78"/>
      <c r="UZY28" s="78"/>
      <c r="VAC28" s="78"/>
      <c r="VAG28" s="78"/>
      <c r="VAK28" s="78"/>
      <c r="VAO28" s="78"/>
      <c r="VAS28" s="78"/>
      <c r="VAW28" s="78"/>
      <c r="VBA28" s="78"/>
      <c r="VBE28" s="78"/>
      <c r="VBI28" s="78"/>
      <c r="VBM28" s="78"/>
      <c r="VBQ28" s="78"/>
      <c r="VBU28" s="78"/>
      <c r="VBY28" s="78"/>
      <c r="VCC28" s="78"/>
      <c r="VCG28" s="78"/>
      <c r="VCK28" s="78"/>
      <c r="VCO28" s="78"/>
      <c r="VCS28" s="78"/>
      <c r="VCW28" s="78"/>
      <c r="VDA28" s="78"/>
      <c r="VDE28" s="78"/>
      <c r="VDI28" s="78"/>
      <c r="VDM28" s="78"/>
      <c r="VDQ28" s="78"/>
      <c r="VDU28" s="78"/>
      <c r="VDY28" s="78"/>
      <c r="VEC28" s="78"/>
      <c r="VEG28" s="78"/>
      <c r="VEK28" s="78"/>
      <c r="VEO28" s="78"/>
      <c r="VES28" s="78"/>
      <c r="VEW28" s="78"/>
      <c r="VFA28" s="78"/>
      <c r="VFE28" s="78"/>
      <c r="VFI28" s="78"/>
      <c r="VFM28" s="78"/>
      <c r="VFQ28" s="78"/>
      <c r="VFU28" s="78"/>
      <c r="VFY28" s="78"/>
      <c r="VGC28" s="78"/>
      <c r="VGG28" s="78"/>
      <c r="VGK28" s="78"/>
      <c r="VGO28" s="78"/>
      <c r="VGS28" s="78"/>
      <c r="VGW28" s="78"/>
      <c r="VHA28" s="78"/>
      <c r="VHE28" s="78"/>
      <c r="VHI28" s="78"/>
      <c r="VHM28" s="78"/>
      <c r="VHQ28" s="78"/>
      <c r="VHU28" s="78"/>
      <c r="VHY28" s="78"/>
      <c r="VIC28" s="78"/>
      <c r="VIG28" s="78"/>
      <c r="VIK28" s="78"/>
      <c r="VIO28" s="78"/>
      <c r="VIS28" s="78"/>
      <c r="VIW28" s="78"/>
      <c r="VJA28" s="78"/>
      <c r="VJE28" s="78"/>
      <c r="VJI28" s="78"/>
      <c r="VJM28" s="78"/>
      <c r="VJQ28" s="78"/>
      <c r="VJU28" s="78"/>
      <c r="VJY28" s="78"/>
      <c r="VKC28" s="78"/>
      <c r="VKG28" s="78"/>
      <c r="VKK28" s="78"/>
      <c r="VKO28" s="78"/>
      <c r="VKS28" s="78"/>
      <c r="VKW28" s="78"/>
      <c r="VLA28" s="78"/>
      <c r="VLE28" s="78"/>
      <c r="VLI28" s="78"/>
      <c r="VLM28" s="78"/>
      <c r="VLQ28" s="78"/>
      <c r="VLU28" s="78"/>
      <c r="VLY28" s="78"/>
      <c r="VMC28" s="78"/>
      <c r="VMG28" s="78"/>
      <c r="VMK28" s="78"/>
      <c r="VMO28" s="78"/>
      <c r="VMS28" s="78"/>
      <c r="VMW28" s="78"/>
      <c r="VNA28" s="78"/>
      <c r="VNE28" s="78"/>
      <c r="VNI28" s="78"/>
      <c r="VNM28" s="78"/>
      <c r="VNQ28" s="78"/>
      <c r="VNU28" s="78"/>
      <c r="VNY28" s="78"/>
      <c r="VOC28" s="78"/>
      <c r="VOG28" s="78"/>
      <c r="VOK28" s="78"/>
      <c r="VOO28" s="78"/>
      <c r="VOS28" s="78"/>
      <c r="VOW28" s="78"/>
      <c r="VPA28" s="78"/>
      <c r="VPE28" s="78"/>
      <c r="VPI28" s="78"/>
      <c r="VPM28" s="78"/>
      <c r="VPQ28" s="78"/>
      <c r="VPU28" s="78"/>
      <c r="VPY28" s="78"/>
      <c r="VQC28" s="78"/>
      <c r="VQG28" s="78"/>
      <c r="VQK28" s="78"/>
      <c r="VQO28" s="78"/>
      <c r="VQS28" s="78"/>
      <c r="VQW28" s="78"/>
      <c r="VRA28" s="78"/>
      <c r="VRE28" s="78"/>
      <c r="VRI28" s="78"/>
      <c r="VRM28" s="78"/>
      <c r="VRQ28" s="78"/>
      <c r="VRU28" s="78"/>
      <c r="VRY28" s="78"/>
      <c r="VSC28" s="78"/>
      <c r="VSG28" s="78"/>
      <c r="VSK28" s="78"/>
      <c r="VSO28" s="78"/>
      <c r="VSS28" s="78"/>
      <c r="VSW28" s="78"/>
      <c r="VTA28" s="78"/>
      <c r="VTE28" s="78"/>
      <c r="VTI28" s="78"/>
      <c r="VTM28" s="78"/>
      <c r="VTQ28" s="78"/>
      <c r="VTU28" s="78"/>
      <c r="VTY28" s="78"/>
      <c r="VUC28" s="78"/>
      <c r="VUG28" s="78"/>
      <c r="VUK28" s="78"/>
      <c r="VUO28" s="78"/>
      <c r="VUS28" s="78"/>
      <c r="VUW28" s="78"/>
      <c r="VVA28" s="78"/>
      <c r="VVE28" s="78"/>
      <c r="VVI28" s="78"/>
      <c r="VVM28" s="78"/>
      <c r="VVQ28" s="78"/>
      <c r="VVU28" s="78"/>
      <c r="VVY28" s="78"/>
      <c r="VWC28" s="78"/>
      <c r="VWG28" s="78"/>
      <c r="VWK28" s="78"/>
      <c r="VWO28" s="78"/>
      <c r="VWS28" s="78"/>
      <c r="VWW28" s="78"/>
      <c r="VXA28" s="78"/>
      <c r="VXE28" s="78"/>
      <c r="VXI28" s="78"/>
      <c r="VXM28" s="78"/>
      <c r="VXQ28" s="78"/>
      <c r="VXU28" s="78"/>
      <c r="VXY28" s="78"/>
      <c r="VYC28" s="78"/>
      <c r="VYG28" s="78"/>
      <c r="VYK28" s="78"/>
      <c r="VYO28" s="78"/>
      <c r="VYS28" s="78"/>
      <c r="VYW28" s="78"/>
      <c r="VZA28" s="78"/>
      <c r="VZE28" s="78"/>
      <c r="VZI28" s="78"/>
      <c r="VZM28" s="78"/>
      <c r="VZQ28" s="78"/>
      <c r="VZU28" s="78"/>
      <c r="VZY28" s="78"/>
      <c r="WAC28" s="78"/>
      <c r="WAG28" s="78"/>
      <c r="WAK28" s="78"/>
      <c r="WAO28" s="78"/>
      <c r="WAS28" s="78"/>
      <c r="WAW28" s="78"/>
      <c r="WBA28" s="78"/>
      <c r="WBE28" s="78"/>
      <c r="WBI28" s="78"/>
      <c r="WBM28" s="78"/>
      <c r="WBQ28" s="78"/>
      <c r="WBU28" s="78"/>
      <c r="WBY28" s="78"/>
      <c r="WCC28" s="78"/>
      <c r="WCG28" s="78"/>
      <c r="WCK28" s="78"/>
      <c r="WCO28" s="78"/>
      <c r="WCS28" s="78"/>
      <c r="WCW28" s="78"/>
      <c r="WDA28" s="78"/>
      <c r="WDE28" s="78"/>
      <c r="WDI28" s="78"/>
      <c r="WDM28" s="78"/>
      <c r="WDQ28" s="78"/>
      <c r="WDU28" s="78"/>
      <c r="WDY28" s="78"/>
      <c r="WEC28" s="78"/>
      <c r="WEG28" s="78"/>
      <c r="WEK28" s="78"/>
      <c r="WEO28" s="78"/>
      <c r="WES28" s="78"/>
      <c r="WEW28" s="78"/>
      <c r="WFA28" s="78"/>
      <c r="WFE28" s="78"/>
      <c r="WFI28" s="78"/>
      <c r="WFM28" s="78"/>
      <c r="WFQ28" s="78"/>
      <c r="WFU28" s="78"/>
      <c r="WFY28" s="78"/>
      <c r="WGC28" s="78"/>
      <c r="WGG28" s="78"/>
      <c r="WGK28" s="78"/>
      <c r="WGO28" s="78"/>
      <c r="WGS28" s="78"/>
      <c r="WGW28" s="78"/>
      <c r="WHA28" s="78"/>
      <c r="WHE28" s="78"/>
      <c r="WHI28" s="78"/>
      <c r="WHM28" s="78"/>
      <c r="WHQ28" s="78"/>
      <c r="WHU28" s="78"/>
      <c r="WHY28" s="78"/>
      <c r="WIC28" s="78"/>
      <c r="WIG28" s="78"/>
      <c r="WIK28" s="78"/>
      <c r="WIO28" s="78"/>
      <c r="WIS28" s="78"/>
      <c r="WIW28" s="78"/>
      <c r="WJA28" s="78"/>
      <c r="WJE28" s="78"/>
      <c r="WJI28" s="78"/>
      <c r="WJM28" s="78"/>
      <c r="WJQ28" s="78"/>
      <c r="WJU28" s="78"/>
      <c r="WJY28" s="78"/>
      <c r="WKC28" s="78"/>
      <c r="WKG28" s="78"/>
      <c r="WKK28" s="78"/>
      <c r="WKO28" s="78"/>
      <c r="WKS28" s="78"/>
      <c r="WKW28" s="78"/>
      <c r="WLA28" s="78"/>
      <c r="WLE28" s="78"/>
      <c r="WLI28" s="78"/>
      <c r="WLM28" s="78"/>
      <c r="WLQ28" s="78"/>
      <c r="WLU28" s="78"/>
      <c r="WLY28" s="78"/>
      <c r="WMC28" s="78"/>
      <c r="WMG28" s="78"/>
      <c r="WMK28" s="78"/>
      <c r="WMO28" s="78"/>
      <c r="WMS28" s="78"/>
      <c r="WMW28" s="78"/>
      <c r="WNA28" s="78"/>
      <c r="WNE28" s="78"/>
      <c r="WNI28" s="78"/>
      <c r="WNM28" s="78"/>
      <c r="WNQ28" s="78"/>
      <c r="WNU28" s="78"/>
      <c r="WNY28" s="78"/>
      <c r="WOC28" s="78"/>
      <c r="WOG28" s="78"/>
      <c r="WOK28" s="78"/>
      <c r="WOO28" s="78"/>
      <c r="WOS28" s="78"/>
      <c r="WOW28" s="78"/>
      <c r="WPA28" s="78"/>
      <c r="WPE28" s="78"/>
      <c r="WPI28" s="78"/>
      <c r="WPM28" s="78"/>
      <c r="WPQ28" s="78"/>
      <c r="WPU28" s="78"/>
      <c r="WPY28" s="78"/>
      <c r="WQC28" s="78"/>
      <c r="WQG28" s="78"/>
      <c r="WQK28" s="78"/>
      <c r="WQO28" s="78"/>
      <c r="WQS28" s="78"/>
      <c r="WQW28" s="78"/>
      <c r="WRA28" s="78"/>
      <c r="WRE28" s="78"/>
      <c r="WRI28" s="78"/>
      <c r="WRM28" s="78"/>
      <c r="WRQ28" s="78"/>
      <c r="WRU28" s="78"/>
      <c r="WRY28" s="78"/>
      <c r="WSC28" s="78"/>
      <c r="WSG28" s="78"/>
      <c r="WSK28" s="78"/>
      <c r="WSO28" s="78"/>
      <c r="WSS28" s="78"/>
      <c r="WSW28" s="78"/>
      <c r="WTA28" s="78"/>
      <c r="WTE28" s="78"/>
      <c r="WTI28" s="78"/>
      <c r="WTM28" s="78"/>
      <c r="WTQ28" s="78"/>
      <c r="WTU28" s="78"/>
      <c r="WTY28" s="78"/>
      <c r="WUC28" s="78"/>
      <c r="WUG28" s="78"/>
      <c r="WUK28" s="78"/>
      <c r="WUO28" s="78"/>
      <c r="WUS28" s="78"/>
      <c r="WUW28" s="78"/>
      <c r="WVA28" s="78"/>
      <c r="WVE28" s="78"/>
      <c r="WVI28" s="78"/>
      <c r="WVM28" s="78"/>
      <c r="WVQ28" s="78"/>
      <c r="WVU28" s="78"/>
      <c r="WVY28" s="78"/>
      <c r="WWC28" s="78"/>
      <c r="WWG28" s="78"/>
      <c r="WWK28" s="78"/>
      <c r="WWO28" s="78"/>
      <c r="WWS28" s="78"/>
      <c r="WWW28" s="78"/>
      <c r="WXA28" s="78"/>
      <c r="WXE28" s="78"/>
      <c r="WXI28" s="78"/>
      <c r="WXM28" s="78"/>
      <c r="WXQ28" s="78"/>
      <c r="WXU28" s="78"/>
      <c r="WXY28" s="78"/>
      <c r="WYC28" s="78"/>
      <c r="WYG28" s="78"/>
      <c r="WYK28" s="78"/>
      <c r="WYO28" s="78"/>
      <c r="WYS28" s="78"/>
      <c r="WYW28" s="78"/>
      <c r="WZA28" s="78"/>
      <c r="WZE28" s="78"/>
      <c r="WZI28" s="78"/>
      <c r="WZM28" s="78"/>
      <c r="WZQ28" s="78"/>
      <c r="WZU28" s="78"/>
      <c r="WZY28" s="78"/>
      <c r="XAC28" s="78"/>
      <c r="XAG28" s="78"/>
      <c r="XAK28" s="78"/>
      <c r="XAO28" s="78"/>
      <c r="XAS28" s="78"/>
      <c r="XAW28" s="78"/>
      <c r="XBA28" s="78"/>
      <c r="XBE28" s="78"/>
      <c r="XBI28" s="78"/>
      <c r="XBM28" s="78"/>
      <c r="XBQ28" s="78"/>
      <c r="XBU28" s="78"/>
      <c r="XBY28" s="78"/>
      <c r="XCC28" s="78"/>
      <c r="XCG28" s="78"/>
      <c r="XCK28" s="78"/>
      <c r="XCO28" s="78"/>
      <c r="XCS28" s="78"/>
      <c r="XCW28" s="78"/>
      <c r="XDA28" s="78"/>
      <c r="XDE28" s="78"/>
      <c r="XDI28" s="78"/>
      <c r="XDM28" s="78"/>
      <c r="XDQ28" s="78"/>
      <c r="XDU28" s="78"/>
      <c r="XDY28" s="78"/>
      <c r="XEC28" s="78"/>
      <c r="XEG28" s="78"/>
      <c r="XEK28" s="78"/>
      <c r="XEO28" s="78"/>
      <c r="XES28" s="78"/>
      <c r="XEW28" s="78"/>
      <c r="XFA28" s="78"/>
    </row>
    <row r="29" spans="1:1021 1025:2045 2049:3069 3073:4093 4097:5117 5121:6141 6145:7165 7169:8189 8193:9213 9217:10237 10241:11261 11265:12285 12289:13309 13313:14333 14337:15357 15361:16381" s="77" customFormat="1" outlineLevel="1">
      <c r="A29" s="78"/>
      <c r="C29" s="63" t="s">
        <v>125</v>
      </c>
      <c r="D29" s="4" t="s">
        <v>0</v>
      </c>
      <c r="E29" s="48">
        <v>858.85599999999999</v>
      </c>
      <c r="F29" s="48">
        <v>1137.8219999999999</v>
      </c>
      <c r="G29" s="48">
        <v>2284.0680000000002</v>
      </c>
      <c r="H29" s="48">
        <v>2777.944</v>
      </c>
      <c r="I29" s="48">
        <v>3699.7910000000002</v>
      </c>
      <c r="J29" s="18">
        <f t="shared" ref="J29:S29" si="9">J19*J30</f>
        <v>4512.1087278131054</v>
      </c>
      <c r="K29" s="18">
        <f t="shared" si="9"/>
        <v>5542.9878051277137</v>
      </c>
      <c r="L29" s="18">
        <f t="shared" si="9"/>
        <v>6756.4899749584156</v>
      </c>
      <c r="M29" s="18">
        <f t="shared" si="9"/>
        <v>8135.4359993494509</v>
      </c>
      <c r="N29" s="18">
        <f t="shared" si="9"/>
        <v>9608.1604523651004</v>
      </c>
      <c r="O29" s="18">
        <f t="shared" si="9"/>
        <v>11091.424299785614</v>
      </c>
      <c r="P29" s="18">
        <f t="shared" si="9"/>
        <v>12632.157512546939</v>
      </c>
      <c r="Q29" s="18">
        <f t="shared" si="9"/>
        <v>14222.997794185771</v>
      </c>
      <c r="R29" s="18">
        <f t="shared" si="9"/>
        <v>15864.295414953436</v>
      </c>
      <c r="S29" s="18">
        <f t="shared" si="9"/>
        <v>17537.925752945088</v>
      </c>
      <c r="U29" s="78"/>
      <c r="Y29" s="78"/>
      <c r="AC29" s="78"/>
      <c r="AG29" s="78"/>
      <c r="AK29" s="78"/>
      <c r="AO29" s="78"/>
      <c r="AS29" s="78"/>
      <c r="AW29" s="78"/>
      <c r="BA29" s="78"/>
      <c r="BE29" s="78"/>
      <c r="BI29" s="78"/>
      <c r="BM29" s="78"/>
      <c r="BQ29" s="78"/>
      <c r="BU29" s="78"/>
      <c r="BY29" s="78"/>
      <c r="CC29" s="78"/>
      <c r="CG29" s="78"/>
      <c r="CK29" s="78"/>
      <c r="CO29" s="78"/>
      <c r="CS29" s="78"/>
      <c r="CW29" s="78"/>
      <c r="DA29" s="78"/>
      <c r="DE29" s="78"/>
      <c r="DI29" s="78"/>
      <c r="DM29" s="78"/>
      <c r="DQ29" s="78"/>
      <c r="DU29" s="78"/>
      <c r="DY29" s="78"/>
      <c r="EC29" s="78"/>
      <c r="EG29" s="78"/>
      <c r="EK29" s="78"/>
      <c r="EO29" s="78"/>
      <c r="ES29" s="78"/>
      <c r="EW29" s="78"/>
      <c r="FA29" s="78"/>
      <c r="FE29" s="78"/>
      <c r="FI29" s="78"/>
      <c r="FM29" s="78"/>
      <c r="FQ29" s="78"/>
      <c r="FU29" s="78"/>
      <c r="FY29" s="78"/>
      <c r="GC29" s="78"/>
      <c r="GG29" s="78"/>
      <c r="GK29" s="78"/>
      <c r="GO29" s="78"/>
      <c r="GS29" s="78"/>
      <c r="GW29" s="78"/>
      <c r="HA29" s="78"/>
      <c r="HE29" s="78"/>
      <c r="HI29" s="78"/>
      <c r="HM29" s="78"/>
      <c r="HQ29" s="78"/>
      <c r="HU29" s="78"/>
      <c r="HY29" s="78"/>
      <c r="IC29" s="78"/>
      <c r="IG29" s="78"/>
      <c r="IK29" s="78"/>
      <c r="IO29" s="78"/>
      <c r="IS29" s="78"/>
      <c r="IW29" s="78"/>
      <c r="JA29" s="78"/>
      <c r="JE29" s="78"/>
      <c r="JI29" s="78"/>
      <c r="JM29" s="78"/>
      <c r="JQ29" s="78"/>
      <c r="JU29" s="78"/>
      <c r="JY29" s="78"/>
      <c r="KC29" s="78"/>
      <c r="KG29" s="78"/>
      <c r="KK29" s="78"/>
      <c r="KO29" s="78"/>
      <c r="KS29" s="78"/>
      <c r="KW29" s="78"/>
      <c r="LA29" s="78"/>
      <c r="LE29" s="78"/>
      <c r="LI29" s="78"/>
      <c r="LM29" s="78"/>
      <c r="LQ29" s="78"/>
      <c r="LU29" s="78"/>
      <c r="LY29" s="78"/>
      <c r="MC29" s="78"/>
      <c r="MG29" s="78"/>
      <c r="MK29" s="78"/>
      <c r="MO29" s="78"/>
      <c r="MS29" s="78"/>
      <c r="MW29" s="78"/>
      <c r="NA29" s="78"/>
      <c r="NE29" s="78"/>
      <c r="NI29" s="78"/>
      <c r="NM29" s="78"/>
      <c r="NQ29" s="78"/>
      <c r="NU29" s="78"/>
      <c r="NY29" s="78"/>
      <c r="OC29" s="78"/>
      <c r="OG29" s="78"/>
      <c r="OK29" s="78"/>
      <c r="OO29" s="78"/>
      <c r="OS29" s="78"/>
      <c r="OW29" s="78"/>
      <c r="PA29" s="78"/>
      <c r="PE29" s="78"/>
      <c r="PI29" s="78"/>
      <c r="PM29" s="78"/>
      <c r="PQ29" s="78"/>
      <c r="PU29" s="78"/>
      <c r="PY29" s="78"/>
      <c r="QC29" s="78"/>
      <c r="QG29" s="78"/>
      <c r="QK29" s="78"/>
      <c r="QO29" s="78"/>
      <c r="QS29" s="78"/>
      <c r="QW29" s="78"/>
      <c r="RA29" s="78"/>
      <c r="RE29" s="78"/>
      <c r="RI29" s="78"/>
      <c r="RM29" s="78"/>
      <c r="RQ29" s="78"/>
      <c r="RU29" s="78"/>
      <c r="RY29" s="78"/>
      <c r="SC29" s="78"/>
      <c r="SG29" s="78"/>
      <c r="SK29" s="78"/>
      <c r="SO29" s="78"/>
      <c r="SS29" s="78"/>
      <c r="SW29" s="78"/>
      <c r="TA29" s="78"/>
      <c r="TE29" s="78"/>
      <c r="TI29" s="78"/>
      <c r="TM29" s="78"/>
      <c r="TQ29" s="78"/>
      <c r="TU29" s="78"/>
      <c r="TY29" s="78"/>
      <c r="UC29" s="78"/>
      <c r="UG29" s="78"/>
      <c r="UK29" s="78"/>
      <c r="UO29" s="78"/>
      <c r="US29" s="78"/>
      <c r="UW29" s="78"/>
      <c r="VA29" s="78"/>
      <c r="VE29" s="78"/>
      <c r="VI29" s="78"/>
      <c r="VM29" s="78"/>
      <c r="VQ29" s="78"/>
      <c r="VU29" s="78"/>
      <c r="VY29" s="78"/>
      <c r="WC29" s="78"/>
      <c r="WG29" s="78"/>
      <c r="WK29" s="78"/>
      <c r="WO29" s="78"/>
      <c r="WS29" s="78"/>
      <c r="WW29" s="78"/>
      <c r="XA29" s="78"/>
      <c r="XE29" s="78"/>
      <c r="XI29" s="78"/>
      <c r="XM29" s="78"/>
      <c r="XQ29" s="78"/>
      <c r="XU29" s="78"/>
      <c r="XY29" s="78"/>
      <c r="YC29" s="78"/>
      <c r="YG29" s="78"/>
      <c r="YK29" s="78"/>
      <c r="YO29" s="78"/>
      <c r="YS29" s="78"/>
      <c r="YW29" s="78"/>
      <c r="ZA29" s="78"/>
      <c r="ZE29" s="78"/>
      <c r="ZI29" s="78"/>
      <c r="ZM29" s="78"/>
      <c r="ZQ29" s="78"/>
      <c r="ZU29" s="78"/>
      <c r="ZY29" s="78"/>
      <c r="AAC29" s="78"/>
      <c r="AAG29" s="78"/>
      <c r="AAK29" s="78"/>
      <c r="AAO29" s="78"/>
      <c r="AAS29" s="78"/>
      <c r="AAW29" s="78"/>
      <c r="ABA29" s="78"/>
      <c r="ABE29" s="78"/>
      <c r="ABI29" s="78"/>
      <c r="ABM29" s="78"/>
      <c r="ABQ29" s="78"/>
      <c r="ABU29" s="78"/>
      <c r="ABY29" s="78"/>
      <c r="ACC29" s="78"/>
      <c r="ACG29" s="78"/>
      <c r="ACK29" s="78"/>
      <c r="ACO29" s="78"/>
      <c r="ACS29" s="78"/>
      <c r="ACW29" s="78"/>
      <c r="ADA29" s="78"/>
      <c r="ADE29" s="78"/>
      <c r="ADI29" s="78"/>
      <c r="ADM29" s="78"/>
      <c r="ADQ29" s="78"/>
      <c r="ADU29" s="78"/>
      <c r="ADY29" s="78"/>
      <c r="AEC29" s="78"/>
      <c r="AEG29" s="78"/>
      <c r="AEK29" s="78"/>
      <c r="AEO29" s="78"/>
      <c r="AES29" s="78"/>
      <c r="AEW29" s="78"/>
      <c r="AFA29" s="78"/>
      <c r="AFE29" s="78"/>
      <c r="AFI29" s="78"/>
      <c r="AFM29" s="78"/>
      <c r="AFQ29" s="78"/>
      <c r="AFU29" s="78"/>
      <c r="AFY29" s="78"/>
      <c r="AGC29" s="78"/>
      <c r="AGG29" s="78"/>
      <c r="AGK29" s="78"/>
      <c r="AGO29" s="78"/>
      <c r="AGS29" s="78"/>
      <c r="AGW29" s="78"/>
      <c r="AHA29" s="78"/>
      <c r="AHE29" s="78"/>
      <c r="AHI29" s="78"/>
      <c r="AHM29" s="78"/>
      <c r="AHQ29" s="78"/>
      <c r="AHU29" s="78"/>
      <c r="AHY29" s="78"/>
      <c r="AIC29" s="78"/>
      <c r="AIG29" s="78"/>
      <c r="AIK29" s="78"/>
      <c r="AIO29" s="78"/>
      <c r="AIS29" s="78"/>
      <c r="AIW29" s="78"/>
      <c r="AJA29" s="78"/>
      <c r="AJE29" s="78"/>
      <c r="AJI29" s="78"/>
      <c r="AJM29" s="78"/>
      <c r="AJQ29" s="78"/>
      <c r="AJU29" s="78"/>
      <c r="AJY29" s="78"/>
      <c r="AKC29" s="78"/>
      <c r="AKG29" s="78"/>
      <c r="AKK29" s="78"/>
      <c r="AKO29" s="78"/>
      <c r="AKS29" s="78"/>
      <c r="AKW29" s="78"/>
      <c r="ALA29" s="78"/>
      <c r="ALE29" s="78"/>
      <c r="ALI29" s="78"/>
      <c r="ALM29" s="78"/>
      <c r="ALQ29" s="78"/>
      <c r="ALU29" s="78"/>
      <c r="ALY29" s="78"/>
      <c r="AMC29" s="78"/>
      <c r="AMG29" s="78"/>
      <c r="AMK29" s="78"/>
      <c r="AMO29" s="78"/>
      <c r="AMS29" s="78"/>
      <c r="AMW29" s="78"/>
      <c r="ANA29" s="78"/>
      <c r="ANE29" s="78"/>
      <c r="ANI29" s="78"/>
      <c r="ANM29" s="78"/>
      <c r="ANQ29" s="78"/>
      <c r="ANU29" s="78"/>
      <c r="ANY29" s="78"/>
      <c r="AOC29" s="78"/>
      <c r="AOG29" s="78"/>
      <c r="AOK29" s="78"/>
      <c r="AOO29" s="78"/>
      <c r="AOS29" s="78"/>
      <c r="AOW29" s="78"/>
      <c r="APA29" s="78"/>
      <c r="APE29" s="78"/>
      <c r="API29" s="78"/>
      <c r="APM29" s="78"/>
      <c r="APQ29" s="78"/>
      <c r="APU29" s="78"/>
      <c r="APY29" s="78"/>
      <c r="AQC29" s="78"/>
      <c r="AQG29" s="78"/>
      <c r="AQK29" s="78"/>
      <c r="AQO29" s="78"/>
      <c r="AQS29" s="78"/>
      <c r="AQW29" s="78"/>
      <c r="ARA29" s="78"/>
      <c r="ARE29" s="78"/>
      <c r="ARI29" s="78"/>
      <c r="ARM29" s="78"/>
      <c r="ARQ29" s="78"/>
      <c r="ARU29" s="78"/>
      <c r="ARY29" s="78"/>
      <c r="ASC29" s="78"/>
      <c r="ASG29" s="78"/>
      <c r="ASK29" s="78"/>
      <c r="ASO29" s="78"/>
      <c r="ASS29" s="78"/>
      <c r="ASW29" s="78"/>
      <c r="ATA29" s="78"/>
      <c r="ATE29" s="78"/>
      <c r="ATI29" s="78"/>
      <c r="ATM29" s="78"/>
      <c r="ATQ29" s="78"/>
      <c r="ATU29" s="78"/>
      <c r="ATY29" s="78"/>
      <c r="AUC29" s="78"/>
      <c r="AUG29" s="78"/>
      <c r="AUK29" s="78"/>
      <c r="AUO29" s="78"/>
      <c r="AUS29" s="78"/>
      <c r="AUW29" s="78"/>
      <c r="AVA29" s="78"/>
      <c r="AVE29" s="78"/>
      <c r="AVI29" s="78"/>
      <c r="AVM29" s="78"/>
      <c r="AVQ29" s="78"/>
      <c r="AVU29" s="78"/>
      <c r="AVY29" s="78"/>
      <c r="AWC29" s="78"/>
      <c r="AWG29" s="78"/>
      <c r="AWK29" s="78"/>
      <c r="AWO29" s="78"/>
      <c r="AWS29" s="78"/>
      <c r="AWW29" s="78"/>
      <c r="AXA29" s="78"/>
      <c r="AXE29" s="78"/>
      <c r="AXI29" s="78"/>
      <c r="AXM29" s="78"/>
      <c r="AXQ29" s="78"/>
      <c r="AXU29" s="78"/>
      <c r="AXY29" s="78"/>
      <c r="AYC29" s="78"/>
      <c r="AYG29" s="78"/>
      <c r="AYK29" s="78"/>
      <c r="AYO29" s="78"/>
      <c r="AYS29" s="78"/>
      <c r="AYW29" s="78"/>
      <c r="AZA29" s="78"/>
      <c r="AZE29" s="78"/>
      <c r="AZI29" s="78"/>
      <c r="AZM29" s="78"/>
      <c r="AZQ29" s="78"/>
      <c r="AZU29" s="78"/>
      <c r="AZY29" s="78"/>
      <c r="BAC29" s="78"/>
      <c r="BAG29" s="78"/>
      <c r="BAK29" s="78"/>
      <c r="BAO29" s="78"/>
      <c r="BAS29" s="78"/>
      <c r="BAW29" s="78"/>
      <c r="BBA29" s="78"/>
      <c r="BBE29" s="78"/>
      <c r="BBI29" s="78"/>
      <c r="BBM29" s="78"/>
      <c r="BBQ29" s="78"/>
      <c r="BBU29" s="78"/>
      <c r="BBY29" s="78"/>
      <c r="BCC29" s="78"/>
      <c r="BCG29" s="78"/>
      <c r="BCK29" s="78"/>
      <c r="BCO29" s="78"/>
      <c r="BCS29" s="78"/>
      <c r="BCW29" s="78"/>
      <c r="BDA29" s="78"/>
      <c r="BDE29" s="78"/>
      <c r="BDI29" s="78"/>
      <c r="BDM29" s="78"/>
      <c r="BDQ29" s="78"/>
      <c r="BDU29" s="78"/>
      <c r="BDY29" s="78"/>
      <c r="BEC29" s="78"/>
      <c r="BEG29" s="78"/>
      <c r="BEK29" s="78"/>
      <c r="BEO29" s="78"/>
      <c r="BES29" s="78"/>
      <c r="BEW29" s="78"/>
      <c r="BFA29" s="78"/>
      <c r="BFE29" s="78"/>
      <c r="BFI29" s="78"/>
      <c r="BFM29" s="78"/>
      <c r="BFQ29" s="78"/>
      <c r="BFU29" s="78"/>
      <c r="BFY29" s="78"/>
      <c r="BGC29" s="78"/>
      <c r="BGG29" s="78"/>
      <c r="BGK29" s="78"/>
      <c r="BGO29" s="78"/>
      <c r="BGS29" s="78"/>
      <c r="BGW29" s="78"/>
      <c r="BHA29" s="78"/>
      <c r="BHE29" s="78"/>
      <c r="BHI29" s="78"/>
      <c r="BHM29" s="78"/>
      <c r="BHQ29" s="78"/>
      <c r="BHU29" s="78"/>
      <c r="BHY29" s="78"/>
      <c r="BIC29" s="78"/>
      <c r="BIG29" s="78"/>
      <c r="BIK29" s="78"/>
      <c r="BIO29" s="78"/>
      <c r="BIS29" s="78"/>
      <c r="BIW29" s="78"/>
      <c r="BJA29" s="78"/>
      <c r="BJE29" s="78"/>
      <c r="BJI29" s="78"/>
      <c r="BJM29" s="78"/>
      <c r="BJQ29" s="78"/>
      <c r="BJU29" s="78"/>
      <c r="BJY29" s="78"/>
      <c r="BKC29" s="78"/>
      <c r="BKG29" s="78"/>
      <c r="BKK29" s="78"/>
      <c r="BKO29" s="78"/>
      <c r="BKS29" s="78"/>
      <c r="BKW29" s="78"/>
      <c r="BLA29" s="78"/>
      <c r="BLE29" s="78"/>
      <c r="BLI29" s="78"/>
      <c r="BLM29" s="78"/>
      <c r="BLQ29" s="78"/>
      <c r="BLU29" s="78"/>
      <c r="BLY29" s="78"/>
      <c r="BMC29" s="78"/>
      <c r="BMG29" s="78"/>
      <c r="BMK29" s="78"/>
      <c r="BMO29" s="78"/>
      <c r="BMS29" s="78"/>
      <c r="BMW29" s="78"/>
      <c r="BNA29" s="78"/>
      <c r="BNE29" s="78"/>
      <c r="BNI29" s="78"/>
      <c r="BNM29" s="78"/>
      <c r="BNQ29" s="78"/>
      <c r="BNU29" s="78"/>
      <c r="BNY29" s="78"/>
      <c r="BOC29" s="78"/>
      <c r="BOG29" s="78"/>
      <c r="BOK29" s="78"/>
      <c r="BOO29" s="78"/>
      <c r="BOS29" s="78"/>
      <c r="BOW29" s="78"/>
      <c r="BPA29" s="78"/>
      <c r="BPE29" s="78"/>
      <c r="BPI29" s="78"/>
      <c r="BPM29" s="78"/>
      <c r="BPQ29" s="78"/>
      <c r="BPU29" s="78"/>
      <c r="BPY29" s="78"/>
      <c r="BQC29" s="78"/>
      <c r="BQG29" s="78"/>
      <c r="BQK29" s="78"/>
      <c r="BQO29" s="78"/>
      <c r="BQS29" s="78"/>
      <c r="BQW29" s="78"/>
      <c r="BRA29" s="78"/>
      <c r="BRE29" s="78"/>
      <c r="BRI29" s="78"/>
      <c r="BRM29" s="78"/>
      <c r="BRQ29" s="78"/>
      <c r="BRU29" s="78"/>
      <c r="BRY29" s="78"/>
      <c r="BSC29" s="78"/>
      <c r="BSG29" s="78"/>
      <c r="BSK29" s="78"/>
      <c r="BSO29" s="78"/>
      <c r="BSS29" s="78"/>
      <c r="BSW29" s="78"/>
      <c r="BTA29" s="78"/>
      <c r="BTE29" s="78"/>
      <c r="BTI29" s="78"/>
      <c r="BTM29" s="78"/>
      <c r="BTQ29" s="78"/>
      <c r="BTU29" s="78"/>
      <c r="BTY29" s="78"/>
      <c r="BUC29" s="78"/>
      <c r="BUG29" s="78"/>
      <c r="BUK29" s="78"/>
      <c r="BUO29" s="78"/>
      <c r="BUS29" s="78"/>
      <c r="BUW29" s="78"/>
      <c r="BVA29" s="78"/>
      <c r="BVE29" s="78"/>
      <c r="BVI29" s="78"/>
      <c r="BVM29" s="78"/>
      <c r="BVQ29" s="78"/>
      <c r="BVU29" s="78"/>
      <c r="BVY29" s="78"/>
      <c r="BWC29" s="78"/>
      <c r="BWG29" s="78"/>
      <c r="BWK29" s="78"/>
      <c r="BWO29" s="78"/>
      <c r="BWS29" s="78"/>
      <c r="BWW29" s="78"/>
      <c r="BXA29" s="78"/>
      <c r="BXE29" s="78"/>
      <c r="BXI29" s="78"/>
      <c r="BXM29" s="78"/>
      <c r="BXQ29" s="78"/>
      <c r="BXU29" s="78"/>
      <c r="BXY29" s="78"/>
      <c r="BYC29" s="78"/>
      <c r="BYG29" s="78"/>
      <c r="BYK29" s="78"/>
      <c r="BYO29" s="78"/>
      <c r="BYS29" s="78"/>
      <c r="BYW29" s="78"/>
      <c r="BZA29" s="78"/>
      <c r="BZE29" s="78"/>
      <c r="BZI29" s="78"/>
      <c r="BZM29" s="78"/>
      <c r="BZQ29" s="78"/>
      <c r="BZU29" s="78"/>
      <c r="BZY29" s="78"/>
      <c r="CAC29" s="78"/>
      <c r="CAG29" s="78"/>
      <c r="CAK29" s="78"/>
      <c r="CAO29" s="78"/>
      <c r="CAS29" s="78"/>
      <c r="CAW29" s="78"/>
      <c r="CBA29" s="78"/>
      <c r="CBE29" s="78"/>
      <c r="CBI29" s="78"/>
      <c r="CBM29" s="78"/>
      <c r="CBQ29" s="78"/>
      <c r="CBU29" s="78"/>
      <c r="CBY29" s="78"/>
      <c r="CCC29" s="78"/>
      <c r="CCG29" s="78"/>
      <c r="CCK29" s="78"/>
      <c r="CCO29" s="78"/>
      <c r="CCS29" s="78"/>
      <c r="CCW29" s="78"/>
      <c r="CDA29" s="78"/>
      <c r="CDE29" s="78"/>
      <c r="CDI29" s="78"/>
      <c r="CDM29" s="78"/>
      <c r="CDQ29" s="78"/>
      <c r="CDU29" s="78"/>
      <c r="CDY29" s="78"/>
      <c r="CEC29" s="78"/>
      <c r="CEG29" s="78"/>
      <c r="CEK29" s="78"/>
      <c r="CEO29" s="78"/>
      <c r="CES29" s="78"/>
      <c r="CEW29" s="78"/>
      <c r="CFA29" s="78"/>
      <c r="CFE29" s="78"/>
      <c r="CFI29" s="78"/>
      <c r="CFM29" s="78"/>
      <c r="CFQ29" s="78"/>
      <c r="CFU29" s="78"/>
      <c r="CFY29" s="78"/>
      <c r="CGC29" s="78"/>
      <c r="CGG29" s="78"/>
      <c r="CGK29" s="78"/>
      <c r="CGO29" s="78"/>
      <c r="CGS29" s="78"/>
      <c r="CGW29" s="78"/>
      <c r="CHA29" s="78"/>
      <c r="CHE29" s="78"/>
      <c r="CHI29" s="78"/>
      <c r="CHM29" s="78"/>
      <c r="CHQ29" s="78"/>
      <c r="CHU29" s="78"/>
      <c r="CHY29" s="78"/>
      <c r="CIC29" s="78"/>
      <c r="CIG29" s="78"/>
      <c r="CIK29" s="78"/>
      <c r="CIO29" s="78"/>
      <c r="CIS29" s="78"/>
      <c r="CIW29" s="78"/>
      <c r="CJA29" s="78"/>
      <c r="CJE29" s="78"/>
      <c r="CJI29" s="78"/>
      <c r="CJM29" s="78"/>
      <c r="CJQ29" s="78"/>
      <c r="CJU29" s="78"/>
      <c r="CJY29" s="78"/>
      <c r="CKC29" s="78"/>
      <c r="CKG29" s="78"/>
      <c r="CKK29" s="78"/>
      <c r="CKO29" s="78"/>
      <c r="CKS29" s="78"/>
      <c r="CKW29" s="78"/>
      <c r="CLA29" s="78"/>
      <c r="CLE29" s="78"/>
      <c r="CLI29" s="78"/>
      <c r="CLM29" s="78"/>
      <c r="CLQ29" s="78"/>
      <c r="CLU29" s="78"/>
      <c r="CLY29" s="78"/>
      <c r="CMC29" s="78"/>
      <c r="CMG29" s="78"/>
      <c r="CMK29" s="78"/>
      <c r="CMO29" s="78"/>
      <c r="CMS29" s="78"/>
      <c r="CMW29" s="78"/>
      <c r="CNA29" s="78"/>
      <c r="CNE29" s="78"/>
      <c r="CNI29" s="78"/>
      <c r="CNM29" s="78"/>
      <c r="CNQ29" s="78"/>
      <c r="CNU29" s="78"/>
      <c r="CNY29" s="78"/>
      <c r="COC29" s="78"/>
      <c r="COG29" s="78"/>
      <c r="COK29" s="78"/>
      <c r="COO29" s="78"/>
      <c r="COS29" s="78"/>
      <c r="COW29" s="78"/>
      <c r="CPA29" s="78"/>
      <c r="CPE29" s="78"/>
      <c r="CPI29" s="78"/>
      <c r="CPM29" s="78"/>
      <c r="CPQ29" s="78"/>
      <c r="CPU29" s="78"/>
      <c r="CPY29" s="78"/>
      <c r="CQC29" s="78"/>
      <c r="CQG29" s="78"/>
      <c r="CQK29" s="78"/>
      <c r="CQO29" s="78"/>
      <c r="CQS29" s="78"/>
      <c r="CQW29" s="78"/>
      <c r="CRA29" s="78"/>
      <c r="CRE29" s="78"/>
      <c r="CRI29" s="78"/>
      <c r="CRM29" s="78"/>
      <c r="CRQ29" s="78"/>
      <c r="CRU29" s="78"/>
      <c r="CRY29" s="78"/>
      <c r="CSC29" s="78"/>
      <c r="CSG29" s="78"/>
      <c r="CSK29" s="78"/>
      <c r="CSO29" s="78"/>
      <c r="CSS29" s="78"/>
      <c r="CSW29" s="78"/>
      <c r="CTA29" s="78"/>
      <c r="CTE29" s="78"/>
      <c r="CTI29" s="78"/>
      <c r="CTM29" s="78"/>
      <c r="CTQ29" s="78"/>
      <c r="CTU29" s="78"/>
      <c r="CTY29" s="78"/>
      <c r="CUC29" s="78"/>
      <c r="CUG29" s="78"/>
      <c r="CUK29" s="78"/>
      <c r="CUO29" s="78"/>
      <c r="CUS29" s="78"/>
      <c r="CUW29" s="78"/>
      <c r="CVA29" s="78"/>
      <c r="CVE29" s="78"/>
      <c r="CVI29" s="78"/>
      <c r="CVM29" s="78"/>
      <c r="CVQ29" s="78"/>
      <c r="CVU29" s="78"/>
      <c r="CVY29" s="78"/>
      <c r="CWC29" s="78"/>
      <c r="CWG29" s="78"/>
      <c r="CWK29" s="78"/>
      <c r="CWO29" s="78"/>
      <c r="CWS29" s="78"/>
      <c r="CWW29" s="78"/>
      <c r="CXA29" s="78"/>
      <c r="CXE29" s="78"/>
      <c r="CXI29" s="78"/>
      <c r="CXM29" s="78"/>
      <c r="CXQ29" s="78"/>
      <c r="CXU29" s="78"/>
      <c r="CXY29" s="78"/>
      <c r="CYC29" s="78"/>
      <c r="CYG29" s="78"/>
      <c r="CYK29" s="78"/>
      <c r="CYO29" s="78"/>
      <c r="CYS29" s="78"/>
      <c r="CYW29" s="78"/>
      <c r="CZA29" s="78"/>
      <c r="CZE29" s="78"/>
      <c r="CZI29" s="78"/>
      <c r="CZM29" s="78"/>
      <c r="CZQ29" s="78"/>
      <c r="CZU29" s="78"/>
      <c r="CZY29" s="78"/>
      <c r="DAC29" s="78"/>
      <c r="DAG29" s="78"/>
      <c r="DAK29" s="78"/>
      <c r="DAO29" s="78"/>
      <c r="DAS29" s="78"/>
      <c r="DAW29" s="78"/>
      <c r="DBA29" s="78"/>
      <c r="DBE29" s="78"/>
      <c r="DBI29" s="78"/>
      <c r="DBM29" s="78"/>
      <c r="DBQ29" s="78"/>
      <c r="DBU29" s="78"/>
      <c r="DBY29" s="78"/>
      <c r="DCC29" s="78"/>
      <c r="DCG29" s="78"/>
      <c r="DCK29" s="78"/>
      <c r="DCO29" s="78"/>
      <c r="DCS29" s="78"/>
      <c r="DCW29" s="78"/>
      <c r="DDA29" s="78"/>
      <c r="DDE29" s="78"/>
      <c r="DDI29" s="78"/>
      <c r="DDM29" s="78"/>
      <c r="DDQ29" s="78"/>
      <c r="DDU29" s="78"/>
      <c r="DDY29" s="78"/>
      <c r="DEC29" s="78"/>
      <c r="DEG29" s="78"/>
      <c r="DEK29" s="78"/>
      <c r="DEO29" s="78"/>
      <c r="DES29" s="78"/>
      <c r="DEW29" s="78"/>
      <c r="DFA29" s="78"/>
      <c r="DFE29" s="78"/>
      <c r="DFI29" s="78"/>
      <c r="DFM29" s="78"/>
      <c r="DFQ29" s="78"/>
      <c r="DFU29" s="78"/>
      <c r="DFY29" s="78"/>
      <c r="DGC29" s="78"/>
      <c r="DGG29" s="78"/>
      <c r="DGK29" s="78"/>
      <c r="DGO29" s="78"/>
      <c r="DGS29" s="78"/>
      <c r="DGW29" s="78"/>
      <c r="DHA29" s="78"/>
      <c r="DHE29" s="78"/>
      <c r="DHI29" s="78"/>
      <c r="DHM29" s="78"/>
      <c r="DHQ29" s="78"/>
      <c r="DHU29" s="78"/>
      <c r="DHY29" s="78"/>
      <c r="DIC29" s="78"/>
      <c r="DIG29" s="78"/>
      <c r="DIK29" s="78"/>
      <c r="DIO29" s="78"/>
      <c r="DIS29" s="78"/>
      <c r="DIW29" s="78"/>
      <c r="DJA29" s="78"/>
      <c r="DJE29" s="78"/>
      <c r="DJI29" s="78"/>
      <c r="DJM29" s="78"/>
      <c r="DJQ29" s="78"/>
      <c r="DJU29" s="78"/>
      <c r="DJY29" s="78"/>
      <c r="DKC29" s="78"/>
      <c r="DKG29" s="78"/>
      <c r="DKK29" s="78"/>
      <c r="DKO29" s="78"/>
      <c r="DKS29" s="78"/>
      <c r="DKW29" s="78"/>
      <c r="DLA29" s="78"/>
      <c r="DLE29" s="78"/>
      <c r="DLI29" s="78"/>
      <c r="DLM29" s="78"/>
      <c r="DLQ29" s="78"/>
      <c r="DLU29" s="78"/>
      <c r="DLY29" s="78"/>
      <c r="DMC29" s="78"/>
      <c r="DMG29" s="78"/>
      <c r="DMK29" s="78"/>
      <c r="DMO29" s="78"/>
      <c r="DMS29" s="78"/>
      <c r="DMW29" s="78"/>
      <c r="DNA29" s="78"/>
      <c r="DNE29" s="78"/>
      <c r="DNI29" s="78"/>
      <c r="DNM29" s="78"/>
      <c r="DNQ29" s="78"/>
      <c r="DNU29" s="78"/>
      <c r="DNY29" s="78"/>
      <c r="DOC29" s="78"/>
      <c r="DOG29" s="78"/>
      <c r="DOK29" s="78"/>
      <c r="DOO29" s="78"/>
      <c r="DOS29" s="78"/>
      <c r="DOW29" s="78"/>
      <c r="DPA29" s="78"/>
      <c r="DPE29" s="78"/>
      <c r="DPI29" s="78"/>
      <c r="DPM29" s="78"/>
      <c r="DPQ29" s="78"/>
      <c r="DPU29" s="78"/>
      <c r="DPY29" s="78"/>
      <c r="DQC29" s="78"/>
      <c r="DQG29" s="78"/>
      <c r="DQK29" s="78"/>
      <c r="DQO29" s="78"/>
      <c r="DQS29" s="78"/>
      <c r="DQW29" s="78"/>
      <c r="DRA29" s="78"/>
      <c r="DRE29" s="78"/>
      <c r="DRI29" s="78"/>
      <c r="DRM29" s="78"/>
      <c r="DRQ29" s="78"/>
      <c r="DRU29" s="78"/>
      <c r="DRY29" s="78"/>
      <c r="DSC29" s="78"/>
      <c r="DSG29" s="78"/>
      <c r="DSK29" s="78"/>
      <c r="DSO29" s="78"/>
      <c r="DSS29" s="78"/>
      <c r="DSW29" s="78"/>
      <c r="DTA29" s="78"/>
      <c r="DTE29" s="78"/>
      <c r="DTI29" s="78"/>
      <c r="DTM29" s="78"/>
      <c r="DTQ29" s="78"/>
      <c r="DTU29" s="78"/>
      <c r="DTY29" s="78"/>
      <c r="DUC29" s="78"/>
      <c r="DUG29" s="78"/>
      <c r="DUK29" s="78"/>
      <c r="DUO29" s="78"/>
      <c r="DUS29" s="78"/>
      <c r="DUW29" s="78"/>
      <c r="DVA29" s="78"/>
      <c r="DVE29" s="78"/>
      <c r="DVI29" s="78"/>
      <c r="DVM29" s="78"/>
      <c r="DVQ29" s="78"/>
      <c r="DVU29" s="78"/>
      <c r="DVY29" s="78"/>
      <c r="DWC29" s="78"/>
      <c r="DWG29" s="78"/>
      <c r="DWK29" s="78"/>
      <c r="DWO29" s="78"/>
      <c r="DWS29" s="78"/>
      <c r="DWW29" s="78"/>
      <c r="DXA29" s="78"/>
      <c r="DXE29" s="78"/>
      <c r="DXI29" s="78"/>
      <c r="DXM29" s="78"/>
      <c r="DXQ29" s="78"/>
      <c r="DXU29" s="78"/>
      <c r="DXY29" s="78"/>
      <c r="DYC29" s="78"/>
      <c r="DYG29" s="78"/>
      <c r="DYK29" s="78"/>
      <c r="DYO29" s="78"/>
      <c r="DYS29" s="78"/>
      <c r="DYW29" s="78"/>
      <c r="DZA29" s="78"/>
      <c r="DZE29" s="78"/>
      <c r="DZI29" s="78"/>
      <c r="DZM29" s="78"/>
      <c r="DZQ29" s="78"/>
      <c r="DZU29" s="78"/>
      <c r="DZY29" s="78"/>
      <c r="EAC29" s="78"/>
      <c r="EAG29" s="78"/>
      <c r="EAK29" s="78"/>
      <c r="EAO29" s="78"/>
      <c r="EAS29" s="78"/>
      <c r="EAW29" s="78"/>
      <c r="EBA29" s="78"/>
      <c r="EBE29" s="78"/>
      <c r="EBI29" s="78"/>
      <c r="EBM29" s="78"/>
      <c r="EBQ29" s="78"/>
      <c r="EBU29" s="78"/>
      <c r="EBY29" s="78"/>
      <c r="ECC29" s="78"/>
      <c r="ECG29" s="78"/>
      <c r="ECK29" s="78"/>
      <c r="ECO29" s="78"/>
      <c r="ECS29" s="78"/>
      <c r="ECW29" s="78"/>
      <c r="EDA29" s="78"/>
      <c r="EDE29" s="78"/>
      <c r="EDI29" s="78"/>
      <c r="EDM29" s="78"/>
      <c r="EDQ29" s="78"/>
      <c r="EDU29" s="78"/>
      <c r="EDY29" s="78"/>
      <c r="EEC29" s="78"/>
      <c r="EEG29" s="78"/>
      <c r="EEK29" s="78"/>
      <c r="EEO29" s="78"/>
      <c r="EES29" s="78"/>
      <c r="EEW29" s="78"/>
      <c r="EFA29" s="78"/>
      <c r="EFE29" s="78"/>
      <c r="EFI29" s="78"/>
      <c r="EFM29" s="78"/>
      <c r="EFQ29" s="78"/>
      <c r="EFU29" s="78"/>
      <c r="EFY29" s="78"/>
      <c r="EGC29" s="78"/>
      <c r="EGG29" s="78"/>
      <c r="EGK29" s="78"/>
      <c r="EGO29" s="78"/>
      <c r="EGS29" s="78"/>
      <c r="EGW29" s="78"/>
      <c r="EHA29" s="78"/>
      <c r="EHE29" s="78"/>
      <c r="EHI29" s="78"/>
      <c r="EHM29" s="78"/>
      <c r="EHQ29" s="78"/>
      <c r="EHU29" s="78"/>
      <c r="EHY29" s="78"/>
      <c r="EIC29" s="78"/>
      <c r="EIG29" s="78"/>
      <c r="EIK29" s="78"/>
      <c r="EIO29" s="78"/>
      <c r="EIS29" s="78"/>
      <c r="EIW29" s="78"/>
      <c r="EJA29" s="78"/>
      <c r="EJE29" s="78"/>
      <c r="EJI29" s="78"/>
      <c r="EJM29" s="78"/>
      <c r="EJQ29" s="78"/>
      <c r="EJU29" s="78"/>
      <c r="EJY29" s="78"/>
      <c r="EKC29" s="78"/>
      <c r="EKG29" s="78"/>
      <c r="EKK29" s="78"/>
      <c r="EKO29" s="78"/>
      <c r="EKS29" s="78"/>
      <c r="EKW29" s="78"/>
      <c r="ELA29" s="78"/>
      <c r="ELE29" s="78"/>
      <c r="ELI29" s="78"/>
      <c r="ELM29" s="78"/>
      <c r="ELQ29" s="78"/>
      <c r="ELU29" s="78"/>
      <c r="ELY29" s="78"/>
      <c r="EMC29" s="78"/>
      <c r="EMG29" s="78"/>
      <c r="EMK29" s="78"/>
      <c r="EMO29" s="78"/>
      <c r="EMS29" s="78"/>
      <c r="EMW29" s="78"/>
      <c r="ENA29" s="78"/>
      <c r="ENE29" s="78"/>
      <c r="ENI29" s="78"/>
      <c r="ENM29" s="78"/>
      <c r="ENQ29" s="78"/>
      <c r="ENU29" s="78"/>
      <c r="ENY29" s="78"/>
      <c r="EOC29" s="78"/>
      <c r="EOG29" s="78"/>
      <c r="EOK29" s="78"/>
      <c r="EOO29" s="78"/>
      <c r="EOS29" s="78"/>
      <c r="EOW29" s="78"/>
      <c r="EPA29" s="78"/>
      <c r="EPE29" s="78"/>
      <c r="EPI29" s="78"/>
      <c r="EPM29" s="78"/>
      <c r="EPQ29" s="78"/>
      <c r="EPU29" s="78"/>
      <c r="EPY29" s="78"/>
      <c r="EQC29" s="78"/>
      <c r="EQG29" s="78"/>
      <c r="EQK29" s="78"/>
      <c r="EQO29" s="78"/>
      <c r="EQS29" s="78"/>
      <c r="EQW29" s="78"/>
      <c r="ERA29" s="78"/>
      <c r="ERE29" s="78"/>
      <c r="ERI29" s="78"/>
      <c r="ERM29" s="78"/>
      <c r="ERQ29" s="78"/>
      <c r="ERU29" s="78"/>
      <c r="ERY29" s="78"/>
      <c r="ESC29" s="78"/>
      <c r="ESG29" s="78"/>
      <c r="ESK29" s="78"/>
      <c r="ESO29" s="78"/>
      <c r="ESS29" s="78"/>
      <c r="ESW29" s="78"/>
      <c r="ETA29" s="78"/>
      <c r="ETE29" s="78"/>
      <c r="ETI29" s="78"/>
      <c r="ETM29" s="78"/>
      <c r="ETQ29" s="78"/>
      <c r="ETU29" s="78"/>
      <c r="ETY29" s="78"/>
      <c r="EUC29" s="78"/>
      <c r="EUG29" s="78"/>
      <c r="EUK29" s="78"/>
      <c r="EUO29" s="78"/>
      <c r="EUS29" s="78"/>
      <c r="EUW29" s="78"/>
      <c r="EVA29" s="78"/>
      <c r="EVE29" s="78"/>
      <c r="EVI29" s="78"/>
      <c r="EVM29" s="78"/>
      <c r="EVQ29" s="78"/>
      <c r="EVU29" s="78"/>
      <c r="EVY29" s="78"/>
      <c r="EWC29" s="78"/>
      <c r="EWG29" s="78"/>
      <c r="EWK29" s="78"/>
      <c r="EWO29" s="78"/>
      <c r="EWS29" s="78"/>
      <c r="EWW29" s="78"/>
      <c r="EXA29" s="78"/>
      <c r="EXE29" s="78"/>
      <c r="EXI29" s="78"/>
      <c r="EXM29" s="78"/>
      <c r="EXQ29" s="78"/>
      <c r="EXU29" s="78"/>
      <c r="EXY29" s="78"/>
      <c r="EYC29" s="78"/>
      <c r="EYG29" s="78"/>
      <c r="EYK29" s="78"/>
      <c r="EYO29" s="78"/>
      <c r="EYS29" s="78"/>
      <c r="EYW29" s="78"/>
      <c r="EZA29" s="78"/>
      <c r="EZE29" s="78"/>
      <c r="EZI29" s="78"/>
      <c r="EZM29" s="78"/>
      <c r="EZQ29" s="78"/>
      <c r="EZU29" s="78"/>
      <c r="EZY29" s="78"/>
      <c r="FAC29" s="78"/>
      <c r="FAG29" s="78"/>
      <c r="FAK29" s="78"/>
      <c r="FAO29" s="78"/>
      <c r="FAS29" s="78"/>
      <c r="FAW29" s="78"/>
      <c r="FBA29" s="78"/>
      <c r="FBE29" s="78"/>
      <c r="FBI29" s="78"/>
      <c r="FBM29" s="78"/>
      <c r="FBQ29" s="78"/>
      <c r="FBU29" s="78"/>
      <c r="FBY29" s="78"/>
      <c r="FCC29" s="78"/>
      <c r="FCG29" s="78"/>
      <c r="FCK29" s="78"/>
      <c r="FCO29" s="78"/>
      <c r="FCS29" s="78"/>
      <c r="FCW29" s="78"/>
      <c r="FDA29" s="78"/>
      <c r="FDE29" s="78"/>
      <c r="FDI29" s="78"/>
      <c r="FDM29" s="78"/>
      <c r="FDQ29" s="78"/>
      <c r="FDU29" s="78"/>
      <c r="FDY29" s="78"/>
      <c r="FEC29" s="78"/>
      <c r="FEG29" s="78"/>
      <c r="FEK29" s="78"/>
      <c r="FEO29" s="78"/>
      <c r="FES29" s="78"/>
      <c r="FEW29" s="78"/>
      <c r="FFA29" s="78"/>
      <c r="FFE29" s="78"/>
      <c r="FFI29" s="78"/>
      <c r="FFM29" s="78"/>
      <c r="FFQ29" s="78"/>
      <c r="FFU29" s="78"/>
      <c r="FFY29" s="78"/>
      <c r="FGC29" s="78"/>
      <c r="FGG29" s="78"/>
      <c r="FGK29" s="78"/>
      <c r="FGO29" s="78"/>
      <c r="FGS29" s="78"/>
      <c r="FGW29" s="78"/>
      <c r="FHA29" s="78"/>
      <c r="FHE29" s="78"/>
      <c r="FHI29" s="78"/>
      <c r="FHM29" s="78"/>
      <c r="FHQ29" s="78"/>
      <c r="FHU29" s="78"/>
      <c r="FHY29" s="78"/>
      <c r="FIC29" s="78"/>
      <c r="FIG29" s="78"/>
      <c r="FIK29" s="78"/>
      <c r="FIO29" s="78"/>
      <c r="FIS29" s="78"/>
      <c r="FIW29" s="78"/>
      <c r="FJA29" s="78"/>
      <c r="FJE29" s="78"/>
      <c r="FJI29" s="78"/>
      <c r="FJM29" s="78"/>
      <c r="FJQ29" s="78"/>
      <c r="FJU29" s="78"/>
      <c r="FJY29" s="78"/>
      <c r="FKC29" s="78"/>
      <c r="FKG29" s="78"/>
      <c r="FKK29" s="78"/>
      <c r="FKO29" s="78"/>
      <c r="FKS29" s="78"/>
      <c r="FKW29" s="78"/>
      <c r="FLA29" s="78"/>
      <c r="FLE29" s="78"/>
      <c r="FLI29" s="78"/>
      <c r="FLM29" s="78"/>
      <c r="FLQ29" s="78"/>
      <c r="FLU29" s="78"/>
      <c r="FLY29" s="78"/>
      <c r="FMC29" s="78"/>
      <c r="FMG29" s="78"/>
      <c r="FMK29" s="78"/>
      <c r="FMO29" s="78"/>
      <c r="FMS29" s="78"/>
      <c r="FMW29" s="78"/>
      <c r="FNA29" s="78"/>
      <c r="FNE29" s="78"/>
      <c r="FNI29" s="78"/>
      <c r="FNM29" s="78"/>
      <c r="FNQ29" s="78"/>
      <c r="FNU29" s="78"/>
      <c r="FNY29" s="78"/>
      <c r="FOC29" s="78"/>
      <c r="FOG29" s="78"/>
      <c r="FOK29" s="78"/>
      <c r="FOO29" s="78"/>
      <c r="FOS29" s="78"/>
      <c r="FOW29" s="78"/>
      <c r="FPA29" s="78"/>
      <c r="FPE29" s="78"/>
      <c r="FPI29" s="78"/>
      <c r="FPM29" s="78"/>
      <c r="FPQ29" s="78"/>
      <c r="FPU29" s="78"/>
      <c r="FPY29" s="78"/>
      <c r="FQC29" s="78"/>
      <c r="FQG29" s="78"/>
      <c r="FQK29" s="78"/>
      <c r="FQO29" s="78"/>
      <c r="FQS29" s="78"/>
      <c r="FQW29" s="78"/>
      <c r="FRA29" s="78"/>
      <c r="FRE29" s="78"/>
      <c r="FRI29" s="78"/>
      <c r="FRM29" s="78"/>
      <c r="FRQ29" s="78"/>
      <c r="FRU29" s="78"/>
      <c r="FRY29" s="78"/>
      <c r="FSC29" s="78"/>
      <c r="FSG29" s="78"/>
      <c r="FSK29" s="78"/>
      <c r="FSO29" s="78"/>
      <c r="FSS29" s="78"/>
      <c r="FSW29" s="78"/>
      <c r="FTA29" s="78"/>
      <c r="FTE29" s="78"/>
      <c r="FTI29" s="78"/>
      <c r="FTM29" s="78"/>
      <c r="FTQ29" s="78"/>
      <c r="FTU29" s="78"/>
      <c r="FTY29" s="78"/>
      <c r="FUC29" s="78"/>
      <c r="FUG29" s="78"/>
      <c r="FUK29" s="78"/>
      <c r="FUO29" s="78"/>
      <c r="FUS29" s="78"/>
      <c r="FUW29" s="78"/>
      <c r="FVA29" s="78"/>
      <c r="FVE29" s="78"/>
      <c r="FVI29" s="78"/>
      <c r="FVM29" s="78"/>
      <c r="FVQ29" s="78"/>
      <c r="FVU29" s="78"/>
      <c r="FVY29" s="78"/>
      <c r="FWC29" s="78"/>
      <c r="FWG29" s="78"/>
      <c r="FWK29" s="78"/>
      <c r="FWO29" s="78"/>
      <c r="FWS29" s="78"/>
      <c r="FWW29" s="78"/>
      <c r="FXA29" s="78"/>
      <c r="FXE29" s="78"/>
      <c r="FXI29" s="78"/>
      <c r="FXM29" s="78"/>
      <c r="FXQ29" s="78"/>
      <c r="FXU29" s="78"/>
      <c r="FXY29" s="78"/>
      <c r="FYC29" s="78"/>
      <c r="FYG29" s="78"/>
      <c r="FYK29" s="78"/>
      <c r="FYO29" s="78"/>
      <c r="FYS29" s="78"/>
      <c r="FYW29" s="78"/>
      <c r="FZA29" s="78"/>
      <c r="FZE29" s="78"/>
      <c r="FZI29" s="78"/>
      <c r="FZM29" s="78"/>
      <c r="FZQ29" s="78"/>
      <c r="FZU29" s="78"/>
      <c r="FZY29" s="78"/>
      <c r="GAC29" s="78"/>
      <c r="GAG29" s="78"/>
      <c r="GAK29" s="78"/>
      <c r="GAO29" s="78"/>
      <c r="GAS29" s="78"/>
      <c r="GAW29" s="78"/>
      <c r="GBA29" s="78"/>
      <c r="GBE29" s="78"/>
      <c r="GBI29" s="78"/>
      <c r="GBM29" s="78"/>
      <c r="GBQ29" s="78"/>
      <c r="GBU29" s="78"/>
      <c r="GBY29" s="78"/>
      <c r="GCC29" s="78"/>
      <c r="GCG29" s="78"/>
      <c r="GCK29" s="78"/>
      <c r="GCO29" s="78"/>
      <c r="GCS29" s="78"/>
      <c r="GCW29" s="78"/>
      <c r="GDA29" s="78"/>
      <c r="GDE29" s="78"/>
      <c r="GDI29" s="78"/>
      <c r="GDM29" s="78"/>
      <c r="GDQ29" s="78"/>
      <c r="GDU29" s="78"/>
      <c r="GDY29" s="78"/>
      <c r="GEC29" s="78"/>
      <c r="GEG29" s="78"/>
      <c r="GEK29" s="78"/>
      <c r="GEO29" s="78"/>
      <c r="GES29" s="78"/>
      <c r="GEW29" s="78"/>
      <c r="GFA29" s="78"/>
      <c r="GFE29" s="78"/>
      <c r="GFI29" s="78"/>
      <c r="GFM29" s="78"/>
      <c r="GFQ29" s="78"/>
      <c r="GFU29" s="78"/>
      <c r="GFY29" s="78"/>
      <c r="GGC29" s="78"/>
      <c r="GGG29" s="78"/>
      <c r="GGK29" s="78"/>
      <c r="GGO29" s="78"/>
      <c r="GGS29" s="78"/>
      <c r="GGW29" s="78"/>
      <c r="GHA29" s="78"/>
      <c r="GHE29" s="78"/>
      <c r="GHI29" s="78"/>
      <c r="GHM29" s="78"/>
      <c r="GHQ29" s="78"/>
      <c r="GHU29" s="78"/>
      <c r="GHY29" s="78"/>
      <c r="GIC29" s="78"/>
      <c r="GIG29" s="78"/>
      <c r="GIK29" s="78"/>
      <c r="GIO29" s="78"/>
      <c r="GIS29" s="78"/>
      <c r="GIW29" s="78"/>
      <c r="GJA29" s="78"/>
      <c r="GJE29" s="78"/>
      <c r="GJI29" s="78"/>
      <c r="GJM29" s="78"/>
      <c r="GJQ29" s="78"/>
      <c r="GJU29" s="78"/>
      <c r="GJY29" s="78"/>
      <c r="GKC29" s="78"/>
      <c r="GKG29" s="78"/>
      <c r="GKK29" s="78"/>
      <c r="GKO29" s="78"/>
      <c r="GKS29" s="78"/>
      <c r="GKW29" s="78"/>
      <c r="GLA29" s="78"/>
      <c r="GLE29" s="78"/>
      <c r="GLI29" s="78"/>
      <c r="GLM29" s="78"/>
      <c r="GLQ29" s="78"/>
      <c r="GLU29" s="78"/>
      <c r="GLY29" s="78"/>
      <c r="GMC29" s="78"/>
      <c r="GMG29" s="78"/>
      <c r="GMK29" s="78"/>
      <c r="GMO29" s="78"/>
      <c r="GMS29" s="78"/>
      <c r="GMW29" s="78"/>
      <c r="GNA29" s="78"/>
      <c r="GNE29" s="78"/>
      <c r="GNI29" s="78"/>
      <c r="GNM29" s="78"/>
      <c r="GNQ29" s="78"/>
      <c r="GNU29" s="78"/>
      <c r="GNY29" s="78"/>
      <c r="GOC29" s="78"/>
      <c r="GOG29" s="78"/>
      <c r="GOK29" s="78"/>
      <c r="GOO29" s="78"/>
      <c r="GOS29" s="78"/>
      <c r="GOW29" s="78"/>
      <c r="GPA29" s="78"/>
      <c r="GPE29" s="78"/>
      <c r="GPI29" s="78"/>
      <c r="GPM29" s="78"/>
      <c r="GPQ29" s="78"/>
      <c r="GPU29" s="78"/>
      <c r="GPY29" s="78"/>
      <c r="GQC29" s="78"/>
      <c r="GQG29" s="78"/>
      <c r="GQK29" s="78"/>
      <c r="GQO29" s="78"/>
      <c r="GQS29" s="78"/>
      <c r="GQW29" s="78"/>
      <c r="GRA29" s="78"/>
      <c r="GRE29" s="78"/>
      <c r="GRI29" s="78"/>
      <c r="GRM29" s="78"/>
      <c r="GRQ29" s="78"/>
      <c r="GRU29" s="78"/>
      <c r="GRY29" s="78"/>
      <c r="GSC29" s="78"/>
      <c r="GSG29" s="78"/>
      <c r="GSK29" s="78"/>
      <c r="GSO29" s="78"/>
      <c r="GSS29" s="78"/>
      <c r="GSW29" s="78"/>
      <c r="GTA29" s="78"/>
      <c r="GTE29" s="78"/>
      <c r="GTI29" s="78"/>
      <c r="GTM29" s="78"/>
      <c r="GTQ29" s="78"/>
      <c r="GTU29" s="78"/>
      <c r="GTY29" s="78"/>
      <c r="GUC29" s="78"/>
      <c r="GUG29" s="78"/>
      <c r="GUK29" s="78"/>
      <c r="GUO29" s="78"/>
      <c r="GUS29" s="78"/>
      <c r="GUW29" s="78"/>
      <c r="GVA29" s="78"/>
      <c r="GVE29" s="78"/>
      <c r="GVI29" s="78"/>
      <c r="GVM29" s="78"/>
      <c r="GVQ29" s="78"/>
      <c r="GVU29" s="78"/>
      <c r="GVY29" s="78"/>
      <c r="GWC29" s="78"/>
      <c r="GWG29" s="78"/>
      <c r="GWK29" s="78"/>
      <c r="GWO29" s="78"/>
      <c r="GWS29" s="78"/>
      <c r="GWW29" s="78"/>
      <c r="GXA29" s="78"/>
      <c r="GXE29" s="78"/>
      <c r="GXI29" s="78"/>
      <c r="GXM29" s="78"/>
      <c r="GXQ29" s="78"/>
      <c r="GXU29" s="78"/>
      <c r="GXY29" s="78"/>
      <c r="GYC29" s="78"/>
      <c r="GYG29" s="78"/>
      <c r="GYK29" s="78"/>
      <c r="GYO29" s="78"/>
      <c r="GYS29" s="78"/>
      <c r="GYW29" s="78"/>
      <c r="GZA29" s="78"/>
      <c r="GZE29" s="78"/>
      <c r="GZI29" s="78"/>
      <c r="GZM29" s="78"/>
      <c r="GZQ29" s="78"/>
      <c r="GZU29" s="78"/>
      <c r="GZY29" s="78"/>
      <c r="HAC29" s="78"/>
      <c r="HAG29" s="78"/>
      <c r="HAK29" s="78"/>
      <c r="HAO29" s="78"/>
      <c r="HAS29" s="78"/>
      <c r="HAW29" s="78"/>
      <c r="HBA29" s="78"/>
      <c r="HBE29" s="78"/>
      <c r="HBI29" s="78"/>
      <c r="HBM29" s="78"/>
      <c r="HBQ29" s="78"/>
      <c r="HBU29" s="78"/>
      <c r="HBY29" s="78"/>
      <c r="HCC29" s="78"/>
      <c r="HCG29" s="78"/>
      <c r="HCK29" s="78"/>
      <c r="HCO29" s="78"/>
      <c r="HCS29" s="78"/>
      <c r="HCW29" s="78"/>
      <c r="HDA29" s="78"/>
      <c r="HDE29" s="78"/>
      <c r="HDI29" s="78"/>
      <c r="HDM29" s="78"/>
      <c r="HDQ29" s="78"/>
      <c r="HDU29" s="78"/>
      <c r="HDY29" s="78"/>
      <c r="HEC29" s="78"/>
      <c r="HEG29" s="78"/>
      <c r="HEK29" s="78"/>
      <c r="HEO29" s="78"/>
      <c r="HES29" s="78"/>
      <c r="HEW29" s="78"/>
      <c r="HFA29" s="78"/>
      <c r="HFE29" s="78"/>
      <c r="HFI29" s="78"/>
      <c r="HFM29" s="78"/>
      <c r="HFQ29" s="78"/>
      <c r="HFU29" s="78"/>
      <c r="HFY29" s="78"/>
      <c r="HGC29" s="78"/>
      <c r="HGG29" s="78"/>
      <c r="HGK29" s="78"/>
      <c r="HGO29" s="78"/>
      <c r="HGS29" s="78"/>
      <c r="HGW29" s="78"/>
      <c r="HHA29" s="78"/>
      <c r="HHE29" s="78"/>
      <c r="HHI29" s="78"/>
      <c r="HHM29" s="78"/>
      <c r="HHQ29" s="78"/>
      <c r="HHU29" s="78"/>
      <c r="HHY29" s="78"/>
      <c r="HIC29" s="78"/>
      <c r="HIG29" s="78"/>
      <c r="HIK29" s="78"/>
      <c r="HIO29" s="78"/>
      <c r="HIS29" s="78"/>
      <c r="HIW29" s="78"/>
      <c r="HJA29" s="78"/>
      <c r="HJE29" s="78"/>
      <c r="HJI29" s="78"/>
      <c r="HJM29" s="78"/>
      <c r="HJQ29" s="78"/>
      <c r="HJU29" s="78"/>
      <c r="HJY29" s="78"/>
      <c r="HKC29" s="78"/>
      <c r="HKG29" s="78"/>
      <c r="HKK29" s="78"/>
      <c r="HKO29" s="78"/>
      <c r="HKS29" s="78"/>
      <c r="HKW29" s="78"/>
      <c r="HLA29" s="78"/>
      <c r="HLE29" s="78"/>
      <c r="HLI29" s="78"/>
      <c r="HLM29" s="78"/>
      <c r="HLQ29" s="78"/>
      <c r="HLU29" s="78"/>
      <c r="HLY29" s="78"/>
      <c r="HMC29" s="78"/>
      <c r="HMG29" s="78"/>
      <c r="HMK29" s="78"/>
      <c r="HMO29" s="78"/>
      <c r="HMS29" s="78"/>
      <c r="HMW29" s="78"/>
      <c r="HNA29" s="78"/>
      <c r="HNE29" s="78"/>
      <c r="HNI29" s="78"/>
      <c r="HNM29" s="78"/>
      <c r="HNQ29" s="78"/>
      <c r="HNU29" s="78"/>
      <c r="HNY29" s="78"/>
      <c r="HOC29" s="78"/>
      <c r="HOG29" s="78"/>
      <c r="HOK29" s="78"/>
      <c r="HOO29" s="78"/>
      <c r="HOS29" s="78"/>
      <c r="HOW29" s="78"/>
      <c r="HPA29" s="78"/>
      <c r="HPE29" s="78"/>
      <c r="HPI29" s="78"/>
      <c r="HPM29" s="78"/>
      <c r="HPQ29" s="78"/>
      <c r="HPU29" s="78"/>
      <c r="HPY29" s="78"/>
      <c r="HQC29" s="78"/>
      <c r="HQG29" s="78"/>
      <c r="HQK29" s="78"/>
      <c r="HQO29" s="78"/>
      <c r="HQS29" s="78"/>
      <c r="HQW29" s="78"/>
      <c r="HRA29" s="78"/>
      <c r="HRE29" s="78"/>
      <c r="HRI29" s="78"/>
      <c r="HRM29" s="78"/>
      <c r="HRQ29" s="78"/>
      <c r="HRU29" s="78"/>
      <c r="HRY29" s="78"/>
      <c r="HSC29" s="78"/>
      <c r="HSG29" s="78"/>
      <c r="HSK29" s="78"/>
      <c r="HSO29" s="78"/>
      <c r="HSS29" s="78"/>
      <c r="HSW29" s="78"/>
      <c r="HTA29" s="78"/>
      <c r="HTE29" s="78"/>
      <c r="HTI29" s="78"/>
      <c r="HTM29" s="78"/>
      <c r="HTQ29" s="78"/>
      <c r="HTU29" s="78"/>
      <c r="HTY29" s="78"/>
      <c r="HUC29" s="78"/>
      <c r="HUG29" s="78"/>
      <c r="HUK29" s="78"/>
      <c r="HUO29" s="78"/>
      <c r="HUS29" s="78"/>
      <c r="HUW29" s="78"/>
      <c r="HVA29" s="78"/>
      <c r="HVE29" s="78"/>
      <c r="HVI29" s="78"/>
      <c r="HVM29" s="78"/>
      <c r="HVQ29" s="78"/>
      <c r="HVU29" s="78"/>
      <c r="HVY29" s="78"/>
      <c r="HWC29" s="78"/>
      <c r="HWG29" s="78"/>
      <c r="HWK29" s="78"/>
      <c r="HWO29" s="78"/>
      <c r="HWS29" s="78"/>
      <c r="HWW29" s="78"/>
      <c r="HXA29" s="78"/>
      <c r="HXE29" s="78"/>
      <c r="HXI29" s="78"/>
      <c r="HXM29" s="78"/>
      <c r="HXQ29" s="78"/>
      <c r="HXU29" s="78"/>
      <c r="HXY29" s="78"/>
      <c r="HYC29" s="78"/>
      <c r="HYG29" s="78"/>
      <c r="HYK29" s="78"/>
      <c r="HYO29" s="78"/>
      <c r="HYS29" s="78"/>
      <c r="HYW29" s="78"/>
      <c r="HZA29" s="78"/>
      <c r="HZE29" s="78"/>
      <c r="HZI29" s="78"/>
      <c r="HZM29" s="78"/>
      <c r="HZQ29" s="78"/>
      <c r="HZU29" s="78"/>
      <c r="HZY29" s="78"/>
      <c r="IAC29" s="78"/>
      <c r="IAG29" s="78"/>
      <c r="IAK29" s="78"/>
      <c r="IAO29" s="78"/>
      <c r="IAS29" s="78"/>
      <c r="IAW29" s="78"/>
      <c r="IBA29" s="78"/>
      <c r="IBE29" s="78"/>
      <c r="IBI29" s="78"/>
      <c r="IBM29" s="78"/>
      <c r="IBQ29" s="78"/>
      <c r="IBU29" s="78"/>
      <c r="IBY29" s="78"/>
      <c r="ICC29" s="78"/>
      <c r="ICG29" s="78"/>
      <c r="ICK29" s="78"/>
      <c r="ICO29" s="78"/>
      <c r="ICS29" s="78"/>
      <c r="ICW29" s="78"/>
      <c r="IDA29" s="78"/>
      <c r="IDE29" s="78"/>
      <c r="IDI29" s="78"/>
      <c r="IDM29" s="78"/>
      <c r="IDQ29" s="78"/>
      <c r="IDU29" s="78"/>
      <c r="IDY29" s="78"/>
      <c r="IEC29" s="78"/>
      <c r="IEG29" s="78"/>
      <c r="IEK29" s="78"/>
      <c r="IEO29" s="78"/>
      <c r="IES29" s="78"/>
      <c r="IEW29" s="78"/>
      <c r="IFA29" s="78"/>
      <c r="IFE29" s="78"/>
      <c r="IFI29" s="78"/>
      <c r="IFM29" s="78"/>
      <c r="IFQ29" s="78"/>
      <c r="IFU29" s="78"/>
      <c r="IFY29" s="78"/>
      <c r="IGC29" s="78"/>
      <c r="IGG29" s="78"/>
      <c r="IGK29" s="78"/>
      <c r="IGO29" s="78"/>
      <c r="IGS29" s="78"/>
      <c r="IGW29" s="78"/>
      <c r="IHA29" s="78"/>
      <c r="IHE29" s="78"/>
      <c r="IHI29" s="78"/>
      <c r="IHM29" s="78"/>
      <c r="IHQ29" s="78"/>
      <c r="IHU29" s="78"/>
      <c r="IHY29" s="78"/>
      <c r="IIC29" s="78"/>
      <c r="IIG29" s="78"/>
      <c r="IIK29" s="78"/>
      <c r="IIO29" s="78"/>
      <c r="IIS29" s="78"/>
      <c r="IIW29" s="78"/>
      <c r="IJA29" s="78"/>
      <c r="IJE29" s="78"/>
      <c r="IJI29" s="78"/>
      <c r="IJM29" s="78"/>
      <c r="IJQ29" s="78"/>
      <c r="IJU29" s="78"/>
      <c r="IJY29" s="78"/>
      <c r="IKC29" s="78"/>
      <c r="IKG29" s="78"/>
      <c r="IKK29" s="78"/>
      <c r="IKO29" s="78"/>
      <c r="IKS29" s="78"/>
      <c r="IKW29" s="78"/>
      <c r="ILA29" s="78"/>
      <c r="ILE29" s="78"/>
      <c r="ILI29" s="78"/>
      <c r="ILM29" s="78"/>
      <c r="ILQ29" s="78"/>
      <c r="ILU29" s="78"/>
      <c r="ILY29" s="78"/>
      <c r="IMC29" s="78"/>
      <c r="IMG29" s="78"/>
      <c r="IMK29" s="78"/>
      <c r="IMO29" s="78"/>
      <c r="IMS29" s="78"/>
      <c r="IMW29" s="78"/>
      <c r="INA29" s="78"/>
      <c r="INE29" s="78"/>
      <c r="INI29" s="78"/>
      <c r="INM29" s="78"/>
      <c r="INQ29" s="78"/>
      <c r="INU29" s="78"/>
      <c r="INY29" s="78"/>
      <c r="IOC29" s="78"/>
      <c r="IOG29" s="78"/>
      <c r="IOK29" s="78"/>
      <c r="IOO29" s="78"/>
      <c r="IOS29" s="78"/>
      <c r="IOW29" s="78"/>
      <c r="IPA29" s="78"/>
      <c r="IPE29" s="78"/>
      <c r="IPI29" s="78"/>
      <c r="IPM29" s="78"/>
      <c r="IPQ29" s="78"/>
      <c r="IPU29" s="78"/>
      <c r="IPY29" s="78"/>
      <c r="IQC29" s="78"/>
      <c r="IQG29" s="78"/>
      <c r="IQK29" s="78"/>
      <c r="IQO29" s="78"/>
      <c r="IQS29" s="78"/>
      <c r="IQW29" s="78"/>
      <c r="IRA29" s="78"/>
      <c r="IRE29" s="78"/>
      <c r="IRI29" s="78"/>
      <c r="IRM29" s="78"/>
      <c r="IRQ29" s="78"/>
      <c r="IRU29" s="78"/>
      <c r="IRY29" s="78"/>
      <c r="ISC29" s="78"/>
      <c r="ISG29" s="78"/>
      <c r="ISK29" s="78"/>
      <c r="ISO29" s="78"/>
      <c r="ISS29" s="78"/>
      <c r="ISW29" s="78"/>
      <c r="ITA29" s="78"/>
      <c r="ITE29" s="78"/>
      <c r="ITI29" s="78"/>
      <c r="ITM29" s="78"/>
      <c r="ITQ29" s="78"/>
      <c r="ITU29" s="78"/>
      <c r="ITY29" s="78"/>
      <c r="IUC29" s="78"/>
      <c r="IUG29" s="78"/>
      <c r="IUK29" s="78"/>
      <c r="IUO29" s="78"/>
      <c r="IUS29" s="78"/>
      <c r="IUW29" s="78"/>
      <c r="IVA29" s="78"/>
      <c r="IVE29" s="78"/>
      <c r="IVI29" s="78"/>
      <c r="IVM29" s="78"/>
      <c r="IVQ29" s="78"/>
      <c r="IVU29" s="78"/>
      <c r="IVY29" s="78"/>
      <c r="IWC29" s="78"/>
      <c r="IWG29" s="78"/>
      <c r="IWK29" s="78"/>
      <c r="IWO29" s="78"/>
      <c r="IWS29" s="78"/>
      <c r="IWW29" s="78"/>
      <c r="IXA29" s="78"/>
      <c r="IXE29" s="78"/>
      <c r="IXI29" s="78"/>
      <c r="IXM29" s="78"/>
      <c r="IXQ29" s="78"/>
      <c r="IXU29" s="78"/>
      <c r="IXY29" s="78"/>
      <c r="IYC29" s="78"/>
      <c r="IYG29" s="78"/>
      <c r="IYK29" s="78"/>
      <c r="IYO29" s="78"/>
      <c r="IYS29" s="78"/>
      <c r="IYW29" s="78"/>
      <c r="IZA29" s="78"/>
      <c r="IZE29" s="78"/>
      <c r="IZI29" s="78"/>
      <c r="IZM29" s="78"/>
      <c r="IZQ29" s="78"/>
      <c r="IZU29" s="78"/>
      <c r="IZY29" s="78"/>
      <c r="JAC29" s="78"/>
      <c r="JAG29" s="78"/>
      <c r="JAK29" s="78"/>
      <c r="JAO29" s="78"/>
      <c r="JAS29" s="78"/>
      <c r="JAW29" s="78"/>
      <c r="JBA29" s="78"/>
      <c r="JBE29" s="78"/>
      <c r="JBI29" s="78"/>
      <c r="JBM29" s="78"/>
      <c r="JBQ29" s="78"/>
      <c r="JBU29" s="78"/>
      <c r="JBY29" s="78"/>
      <c r="JCC29" s="78"/>
      <c r="JCG29" s="78"/>
      <c r="JCK29" s="78"/>
      <c r="JCO29" s="78"/>
      <c r="JCS29" s="78"/>
      <c r="JCW29" s="78"/>
      <c r="JDA29" s="78"/>
      <c r="JDE29" s="78"/>
      <c r="JDI29" s="78"/>
      <c r="JDM29" s="78"/>
      <c r="JDQ29" s="78"/>
      <c r="JDU29" s="78"/>
      <c r="JDY29" s="78"/>
      <c r="JEC29" s="78"/>
      <c r="JEG29" s="78"/>
      <c r="JEK29" s="78"/>
      <c r="JEO29" s="78"/>
      <c r="JES29" s="78"/>
      <c r="JEW29" s="78"/>
      <c r="JFA29" s="78"/>
      <c r="JFE29" s="78"/>
      <c r="JFI29" s="78"/>
      <c r="JFM29" s="78"/>
      <c r="JFQ29" s="78"/>
      <c r="JFU29" s="78"/>
      <c r="JFY29" s="78"/>
      <c r="JGC29" s="78"/>
      <c r="JGG29" s="78"/>
      <c r="JGK29" s="78"/>
      <c r="JGO29" s="78"/>
      <c r="JGS29" s="78"/>
      <c r="JGW29" s="78"/>
      <c r="JHA29" s="78"/>
      <c r="JHE29" s="78"/>
      <c r="JHI29" s="78"/>
      <c r="JHM29" s="78"/>
      <c r="JHQ29" s="78"/>
      <c r="JHU29" s="78"/>
      <c r="JHY29" s="78"/>
      <c r="JIC29" s="78"/>
      <c r="JIG29" s="78"/>
      <c r="JIK29" s="78"/>
      <c r="JIO29" s="78"/>
      <c r="JIS29" s="78"/>
      <c r="JIW29" s="78"/>
      <c r="JJA29" s="78"/>
      <c r="JJE29" s="78"/>
      <c r="JJI29" s="78"/>
      <c r="JJM29" s="78"/>
      <c r="JJQ29" s="78"/>
      <c r="JJU29" s="78"/>
      <c r="JJY29" s="78"/>
      <c r="JKC29" s="78"/>
      <c r="JKG29" s="78"/>
      <c r="JKK29" s="78"/>
      <c r="JKO29" s="78"/>
      <c r="JKS29" s="78"/>
      <c r="JKW29" s="78"/>
      <c r="JLA29" s="78"/>
      <c r="JLE29" s="78"/>
      <c r="JLI29" s="78"/>
      <c r="JLM29" s="78"/>
      <c r="JLQ29" s="78"/>
      <c r="JLU29" s="78"/>
      <c r="JLY29" s="78"/>
      <c r="JMC29" s="78"/>
      <c r="JMG29" s="78"/>
      <c r="JMK29" s="78"/>
      <c r="JMO29" s="78"/>
      <c r="JMS29" s="78"/>
      <c r="JMW29" s="78"/>
      <c r="JNA29" s="78"/>
      <c r="JNE29" s="78"/>
      <c r="JNI29" s="78"/>
      <c r="JNM29" s="78"/>
      <c r="JNQ29" s="78"/>
      <c r="JNU29" s="78"/>
      <c r="JNY29" s="78"/>
      <c r="JOC29" s="78"/>
      <c r="JOG29" s="78"/>
      <c r="JOK29" s="78"/>
      <c r="JOO29" s="78"/>
      <c r="JOS29" s="78"/>
      <c r="JOW29" s="78"/>
      <c r="JPA29" s="78"/>
      <c r="JPE29" s="78"/>
      <c r="JPI29" s="78"/>
      <c r="JPM29" s="78"/>
      <c r="JPQ29" s="78"/>
      <c r="JPU29" s="78"/>
      <c r="JPY29" s="78"/>
      <c r="JQC29" s="78"/>
      <c r="JQG29" s="78"/>
      <c r="JQK29" s="78"/>
      <c r="JQO29" s="78"/>
      <c r="JQS29" s="78"/>
      <c r="JQW29" s="78"/>
      <c r="JRA29" s="78"/>
      <c r="JRE29" s="78"/>
      <c r="JRI29" s="78"/>
      <c r="JRM29" s="78"/>
      <c r="JRQ29" s="78"/>
      <c r="JRU29" s="78"/>
      <c r="JRY29" s="78"/>
      <c r="JSC29" s="78"/>
      <c r="JSG29" s="78"/>
      <c r="JSK29" s="78"/>
      <c r="JSO29" s="78"/>
      <c r="JSS29" s="78"/>
      <c r="JSW29" s="78"/>
      <c r="JTA29" s="78"/>
      <c r="JTE29" s="78"/>
      <c r="JTI29" s="78"/>
      <c r="JTM29" s="78"/>
      <c r="JTQ29" s="78"/>
      <c r="JTU29" s="78"/>
      <c r="JTY29" s="78"/>
      <c r="JUC29" s="78"/>
      <c r="JUG29" s="78"/>
      <c r="JUK29" s="78"/>
      <c r="JUO29" s="78"/>
      <c r="JUS29" s="78"/>
      <c r="JUW29" s="78"/>
      <c r="JVA29" s="78"/>
      <c r="JVE29" s="78"/>
      <c r="JVI29" s="78"/>
      <c r="JVM29" s="78"/>
      <c r="JVQ29" s="78"/>
      <c r="JVU29" s="78"/>
      <c r="JVY29" s="78"/>
      <c r="JWC29" s="78"/>
      <c r="JWG29" s="78"/>
      <c r="JWK29" s="78"/>
      <c r="JWO29" s="78"/>
      <c r="JWS29" s="78"/>
      <c r="JWW29" s="78"/>
      <c r="JXA29" s="78"/>
      <c r="JXE29" s="78"/>
      <c r="JXI29" s="78"/>
      <c r="JXM29" s="78"/>
      <c r="JXQ29" s="78"/>
      <c r="JXU29" s="78"/>
      <c r="JXY29" s="78"/>
      <c r="JYC29" s="78"/>
      <c r="JYG29" s="78"/>
      <c r="JYK29" s="78"/>
      <c r="JYO29" s="78"/>
      <c r="JYS29" s="78"/>
      <c r="JYW29" s="78"/>
      <c r="JZA29" s="78"/>
      <c r="JZE29" s="78"/>
      <c r="JZI29" s="78"/>
      <c r="JZM29" s="78"/>
      <c r="JZQ29" s="78"/>
      <c r="JZU29" s="78"/>
      <c r="JZY29" s="78"/>
      <c r="KAC29" s="78"/>
      <c r="KAG29" s="78"/>
      <c r="KAK29" s="78"/>
      <c r="KAO29" s="78"/>
      <c r="KAS29" s="78"/>
      <c r="KAW29" s="78"/>
      <c r="KBA29" s="78"/>
      <c r="KBE29" s="78"/>
      <c r="KBI29" s="78"/>
      <c r="KBM29" s="78"/>
      <c r="KBQ29" s="78"/>
      <c r="KBU29" s="78"/>
      <c r="KBY29" s="78"/>
      <c r="KCC29" s="78"/>
      <c r="KCG29" s="78"/>
      <c r="KCK29" s="78"/>
      <c r="KCO29" s="78"/>
      <c r="KCS29" s="78"/>
      <c r="KCW29" s="78"/>
      <c r="KDA29" s="78"/>
      <c r="KDE29" s="78"/>
      <c r="KDI29" s="78"/>
      <c r="KDM29" s="78"/>
      <c r="KDQ29" s="78"/>
      <c r="KDU29" s="78"/>
      <c r="KDY29" s="78"/>
      <c r="KEC29" s="78"/>
      <c r="KEG29" s="78"/>
      <c r="KEK29" s="78"/>
      <c r="KEO29" s="78"/>
      <c r="KES29" s="78"/>
      <c r="KEW29" s="78"/>
      <c r="KFA29" s="78"/>
      <c r="KFE29" s="78"/>
      <c r="KFI29" s="78"/>
      <c r="KFM29" s="78"/>
      <c r="KFQ29" s="78"/>
      <c r="KFU29" s="78"/>
      <c r="KFY29" s="78"/>
      <c r="KGC29" s="78"/>
      <c r="KGG29" s="78"/>
      <c r="KGK29" s="78"/>
      <c r="KGO29" s="78"/>
      <c r="KGS29" s="78"/>
      <c r="KGW29" s="78"/>
      <c r="KHA29" s="78"/>
      <c r="KHE29" s="78"/>
      <c r="KHI29" s="78"/>
      <c r="KHM29" s="78"/>
      <c r="KHQ29" s="78"/>
      <c r="KHU29" s="78"/>
      <c r="KHY29" s="78"/>
      <c r="KIC29" s="78"/>
      <c r="KIG29" s="78"/>
      <c r="KIK29" s="78"/>
      <c r="KIO29" s="78"/>
      <c r="KIS29" s="78"/>
      <c r="KIW29" s="78"/>
      <c r="KJA29" s="78"/>
      <c r="KJE29" s="78"/>
      <c r="KJI29" s="78"/>
      <c r="KJM29" s="78"/>
      <c r="KJQ29" s="78"/>
      <c r="KJU29" s="78"/>
      <c r="KJY29" s="78"/>
      <c r="KKC29" s="78"/>
      <c r="KKG29" s="78"/>
      <c r="KKK29" s="78"/>
      <c r="KKO29" s="78"/>
      <c r="KKS29" s="78"/>
      <c r="KKW29" s="78"/>
      <c r="KLA29" s="78"/>
      <c r="KLE29" s="78"/>
      <c r="KLI29" s="78"/>
      <c r="KLM29" s="78"/>
      <c r="KLQ29" s="78"/>
      <c r="KLU29" s="78"/>
      <c r="KLY29" s="78"/>
      <c r="KMC29" s="78"/>
      <c r="KMG29" s="78"/>
      <c r="KMK29" s="78"/>
      <c r="KMO29" s="78"/>
      <c r="KMS29" s="78"/>
      <c r="KMW29" s="78"/>
      <c r="KNA29" s="78"/>
      <c r="KNE29" s="78"/>
      <c r="KNI29" s="78"/>
      <c r="KNM29" s="78"/>
      <c r="KNQ29" s="78"/>
      <c r="KNU29" s="78"/>
      <c r="KNY29" s="78"/>
      <c r="KOC29" s="78"/>
      <c r="KOG29" s="78"/>
      <c r="KOK29" s="78"/>
      <c r="KOO29" s="78"/>
      <c r="KOS29" s="78"/>
      <c r="KOW29" s="78"/>
      <c r="KPA29" s="78"/>
      <c r="KPE29" s="78"/>
      <c r="KPI29" s="78"/>
      <c r="KPM29" s="78"/>
      <c r="KPQ29" s="78"/>
      <c r="KPU29" s="78"/>
      <c r="KPY29" s="78"/>
      <c r="KQC29" s="78"/>
      <c r="KQG29" s="78"/>
      <c r="KQK29" s="78"/>
      <c r="KQO29" s="78"/>
      <c r="KQS29" s="78"/>
      <c r="KQW29" s="78"/>
      <c r="KRA29" s="78"/>
      <c r="KRE29" s="78"/>
      <c r="KRI29" s="78"/>
      <c r="KRM29" s="78"/>
      <c r="KRQ29" s="78"/>
      <c r="KRU29" s="78"/>
      <c r="KRY29" s="78"/>
      <c r="KSC29" s="78"/>
      <c r="KSG29" s="78"/>
      <c r="KSK29" s="78"/>
      <c r="KSO29" s="78"/>
      <c r="KSS29" s="78"/>
      <c r="KSW29" s="78"/>
      <c r="KTA29" s="78"/>
      <c r="KTE29" s="78"/>
      <c r="KTI29" s="78"/>
      <c r="KTM29" s="78"/>
      <c r="KTQ29" s="78"/>
      <c r="KTU29" s="78"/>
      <c r="KTY29" s="78"/>
      <c r="KUC29" s="78"/>
      <c r="KUG29" s="78"/>
      <c r="KUK29" s="78"/>
      <c r="KUO29" s="78"/>
      <c r="KUS29" s="78"/>
      <c r="KUW29" s="78"/>
      <c r="KVA29" s="78"/>
      <c r="KVE29" s="78"/>
      <c r="KVI29" s="78"/>
      <c r="KVM29" s="78"/>
      <c r="KVQ29" s="78"/>
      <c r="KVU29" s="78"/>
      <c r="KVY29" s="78"/>
      <c r="KWC29" s="78"/>
      <c r="KWG29" s="78"/>
      <c r="KWK29" s="78"/>
      <c r="KWO29" s="78"/>
      <c r="KWS29" s="78"/>
      <c r="KWW29" s="78"/>
      <c r="KXA29" s="78"/>
      <c r="KXE29" s="78"/>
      <c r="KXI29" s="78"/>
      <c r="KXM29" s="78"/>
      <c r="KXQ29" s="78"/>
      <c r="KXU29" s="78"/>
      <c r="KXY29" s="78"/>
      <c r="KYC29" s="78"/>
      <c r="KYG29" s="78"/>
      <c r="KYK29" s="78"/>
      <c r="KYO29" s="78"/>
      <c r="KYS29" s="78"/>
      <c r="KYW29" s="78"/>
      <c r="KZA29" s="78"/>
      <c r="KZE29" s="78"/>
      <c r="KZI29" s="78"/>
      <c r="KZM29" s="78"/>
      <c r="KZQ29" s="78"/>
      <c r="KZU29" s="78"/>
      <c r="KZY29" s="78"/>
      <c r="LAC29" s="78"/>
      <c r="LAG29" s="78"/>
      <c r="LAK29" s="78"/>
      <c r="LAO29" s="78"/>
      <c r="LAS29" s="78"/>
      <c r="LAW29" s="78"/>
      <c r="LBA29" s="78"/>
      <c r="LBE29" s="78"/>
      <c r="LBI29" s="78"/>
      <c r="LBM29" s="78"/>
      <c r="LBQ29" s="78"/>
      <c r="LBU29" s="78"/>
      <c r="LBY29" s="78"/>
      <c r="LCC29" s="78"/>
      <c r="LCG29" s="78"/>
      <c r="LCK29" s="78"/>
      <c r="LCO29" s="78"/>
      <c r="LCS29" s="78"/>
      <c r="LCW29" s="78"/>
      <c r="LDA29" s="78"/>
      <c r="LDE29" s="78"/>
      <c r="LDI29" s="78"/>
      <c r="LDM29" s="78"/>
      <c r="LDQ29" s="78"/>
      <c r="LDU29" s="78"/>
      <c r="LDY29" s="78"/>
      <c r="LEC29" s="78"/>
      <c r="LEG29" s="78"/>
      <c r="LEK29" s="78"/>
      <c r="LEO29" s="78"/>
      <c r="LES29" s="78"/>
      <c r="LEW29" s="78"/>
      <c r="LFA29" s="78"/>
      <c r="LFE29" s="78"/>
      <c r="LFI29" s="78"/>
      <c r="LFM29" s="78"/>
      <c r="LFQ29" s="78"/>
      <c r="LFU29" s="78"/>
      <c r="LFY29" s="78"/>
      <c r="LGC29" s="78"/>
      <c r="LGG29" s="78"/>
      <c r="LGK29" s="78"/>
      <c r="LGO29" s="78"/>
      <c r="LGS29" s="78"/>
      <c r="LGW29" s="78"/>
      <c r="LHA29" s="78"/>
      <c r="LHE29" s="78"/>
      <c r="LHI29" s="78"/>
      <c r="LHM29" s="78"/>
      <c r="LHQ29" s="78"/>
      <c r="LHU29" s="78"/>
      <c r="LHY29" s="78"/>
      <c r="LIC29" s="78"/>
      <c r="LIG29" s="78"/>
      <c r="LIK29" s="78"/>
      <c r="LIO29" s="78"/>
      <c r="LIS29" s="78"/>
      <c r="LIW29" s="78"/>
      <c r="LJA29" s="78"/>
      <c r="LJE29" s="78"/>
      <c r="LJI29" s="78"/>
      <c r="LJM29" s="78"/>
      <c r="LJQ29" s="78"/>
      <c r="LJU29" s="78"/>
      <c r="LJY29" s="78"/>
      <c r="LKC29" s="78"/>
      <c r="LKG29" s="78"/>
      <c r="LKK29" s="78"/>
      <c r="LKO29" s="78"/>
      <c r="LKS29" s="78"/>
      <c r="LKW29" s="78"/>
      <c r="LLA29" s="78"/>
      <c r="LLE29" s="78"/>
      <c r="LLI29" s="78"/>
      <c r="LLM29" s="78"/>
      <c r="LLQ29" s="78"/>
      <c r="LLU29" s="78"/>
      <c r="LLY29" s="78"/>
      <c r="LMC29" s="78"/>
      <c r="LMG29" s="78"/>
      <c r="LMK29" s="78"/>
      <c r="LMO29" s="78"/>
      <c r="LMS29" s="78"/>
      <c r="LMW29" s="78"/>
      <c r="LNA29" s="78"/>
      <c r="LNE29" s="78"/>
      <c r="LNI29" s="78"/>
      <c r="LNM29" s="78"/>
      <c r="LNQ29" s="78"/>
      <c r="LNU29" s="78"/>
      <c r="LNY29" s="78"/>
      <c r="LOC29" s="78"/>
      <c r="LOG29" s="78"/>
      <c r="LOK29" s="78"/>
      <c r="LOO29" s="78"/>
      <c r="LOS29" s="78"/>
      <c r="LOW29" s="78"/>
      <c r="LPA29" s="78"/>
      <c r="LPE29" s="78"/>
      <c r="LPI29" s="78"/>
      <c r="LPM29" s="78"/>
      <c r="LPQ29" s="78"/>
      <c r="LPU29" s="78"/>
      <c r="LPY29" s="78"/>
      <c r="LQC29" s="78"/>
      <c r="LQG29" s="78"/>
      <c r="LQK29" s="78"/>
      <c r="LQO29" s="78"/>
      <c r="LQS29" s="78"/>
      <c r="LQW29" s="78"/>
      <c r="LRA29" s="78"/>
      <c r="LRE29" s="78"/>
      <c r="LRI29" s="78"/>
      <c r="LRM29" s="78"/>
      <c r="LRQ29" s="78"/>
      <c r="LRU29" s="78"/>
      <c r="LRY29" s="78"/>
      <c r="LSC29" s="78"/>
      <c r="LSG29" s="78"/>
      <c r="LSK29" s="78"/>
      <c r="LSO29" s="78"/>
      <c r="LSS29" s="78"/>
      <c r="LSW29" s="78"/>
      <c r="LTA29" s="78"/>
      <c r="LTE29" s="78"/>
      <c r="LTI29" s="78"/>
      <c r="LTM29" s="78"/>
      <c r="LTQ29" s="78"/>
      <c r="LTU29" s="78"/>
      <c r="LTY29" s="78"/>
      <c r="LUC29" s="78"/>
      <c r="LUG29" s="78"/>
      <c r="LUK29" s="78"/>
      <c r="LUO29" s="78"/>
      <c r="LUS29" s="78"/>
      <c r="LUW29" s="78"/>
      <c r="LVA29" s="78"/>
      <c r="LVE29" s="78"/>
      <c r="LVI29" s="78"/>
      <c r="LVM29" s="78"/>
      <c r="LVQ29" s="78"/>
      <c r="LVU29" s="78"/>
      <c r="LVY29" s="78"/>
      <c r="LWC29" s="78"/>
      <c r="LWG29" s="78"/>
      <c r="LWK29" s="78"/>
      <c r="LWO29" s="78"/>
      <c r="LWS29" s="78"/>
      <c r="LWW29" s="78"/>
      <c r="LXA29" s="78"/>
      <c r="LXE29" s="78"/>
      <c r="LXI29" s="78"/>
      <c r="LXM29" s="78"/>
      <c r="LXQ29" s="78"/>
      <c r="LXU29" s="78"/>
      <c r="LXY29" s="78"/>
      <c r="LYC29" s="78"/>
      <c r="LYG29" s="78"/>
      <c r="LYK29" s="78"/>
      <c r="LYO29" s="78"/>
      <c r="LYS29" s="78"/>
      <c r="LYW29" s="78"/>
      <c r="LZA29" s="78"/>
      <c r="LZE29" s="78"/>
      <c r="LZI29" s="78"/>
      <c r="LZM29" s="78"/>
      <c r="LZQ29" s="78"/>
      <c r="LZU29" s="78"/>
      <c r="LZY29" s="78"/>
      <c r="MAC29" s="78"/>
      <c r="MAG29" s="78"/>
      <c r="MAK29" s="78"/>
      <c r="MAO29" s="78"/>
      <c r="MAS29" s="78"/>
      <c r="MAW29" s="78"/>
      <c r="MBA29" s="78"/>
      <c r="MBE29" s="78"/>
      <c r="MBI29" s="78"/>
      <c r="MBM29" s="78"/>
      <c r="MBQ29" s="78"/>
      <c r="MBU29" s="78"/>
      <c r="MBY29" s="78"/>
      <c r="MCC29" s="78"/>
      <c r="MCG29" s="78"/>
      <c r="MCK29" s="78"/>
      <c r="MCO29" s="78"/>
      <c r="MCS29" s="78"/>
      <c r="MCW29" s="78"/>
      <c r="MDA29" s="78"/>
      <c r="MDE29" s="78"/>
      <c r="MDI29" s="78"/>
      <c r="MDM29" s="78"/>
      <c r="MDQ29" s="78"/>
      <c r="MDU29" s="78"/>
      <c r="MDY29" s="78"/>
      <c r="MEC29" s="78"/>
      <c r="MEG29" s="78"/>
      <c r="MEK29" s="78"/>
      <c r="MEO29" s="78"/>
      <c r="MES29" s="78"/>
      <c r="MEW29" s="78"/>
      <c r="MFA29" s="78"/>
      <c r="MFE29" s="78"/>
      <c r="MFI29" s="78"/>
      <c r="MFM29" s="78"/>
      <c r="MFQ29" s="78"/>
      <c r="MFU29" s="78"/>
      <c r="MFY29" s="78"/>
      <c r="MGC29" s="78"/>
      <c r="MGG29" s="78"/>
      <c r="MGK29" s="78"/>
      <c r="MGO29" s="78"/>
      <c r="MGS29" s="78"/>
      <c r="MGW29" s="78"/>
      <c r="MHA29" s="78"/>
      <c r="MHE29" s="78"/>
      <c r="MHI29" s="78"/>
      <c r="MHM29" s="78"/>
      <c r="MHQ29" s="78"/>
      <c r="MHU29" s="78"/>
      <c r="MHY29" s="78"/>
      <c r="MIC29" s="78"/>
      <c r="MIG29" s="78"/>
      <c r="MIK29" s="78"/>
      <c r="MIO29" s="78"/>
      <c r="MIS29" s="78"/>
      <c r="MIW29" s="78"/>
      <c r="MJA29" s="78"/>
      <c r="MJE29" s="78"/>
      <c r="MJI29" s="78"/>
      <c r="MJM29" s="78"/>
      <c r="MJQ29" s="78"/>
      <c r="MJU29" s="78"/>
      <c r="MJY29" s="78"/>
      <c r="MKC29" s="78"/>
      <c r="MKG29" s="78"/>
      <c r="MKK29" s="78"/>
      <c r="MKO29" s="78"/>
      <c r="MKS29" s="78"/>
      <c r="MKW29" s="78"/>
      <c r="MLA29" s="78"/>
      <c r="MLE29" s="78"/>
      <c r="MLI29" s="78"/>
      <c r="MLM29" s="78"/>
      <c r="MLQ29" s="78"/>
      <c r="MLU29" s="78"/>
      <c r="MLY29" s="78"/>
      <c r="MMC29" s="78"/>
      <c r="MMG29" s="78"/>
      <c r="MMK29" s="78"/>
      <c r="MMO29" s="78"/>
      <c r="MMS29" s="78"/>
      <c r="MMW29" s="78"/>
      <c r="MNA29" s="78"/>
      <c r="MNE29" s="78"/>
      <c r="MNI29" s="78"/>
      <c r="MNM29" s="78"/>
      <c r="MNQ29" s="78"/>
      <c r="MNU29" s="78"/>
      <c r="MNY29" s="78"/>
      <c r="MOC29" s="78"/>
      <c r="MOG29" s="78"/>
      <c r="MOK29" s="78"/>
      <c r="MOO29" s="78"/>
      <c r="MOS29" s="78"/>
      <c r="MOW29" s="78"/>
      <c r="MPA29" s="78"/>
      <c r="MPE29" s="78"/>
      <c r="MPI29" s="78"/>
      <c r="MPM29" s="78"/>
      <c r="MPQ29" s="78"/>
      <c r="MPU29" s="78"/>
      <c r="MPY29" s="78"/>
      <c r="MQC29" s="78"/>
      <c r="MQG29" s="78"/>
      <c r="MQK29" s="78"/>
      <c r="MQO29" s="78"/>
      <c r="MQS29" s="78"/>
      <c r="MQW29" s="78"/>
      <c r="MRA29" s="78"/>
      <c r="MRE29" s="78"/>
      <c r="MRI29" s="78"/>
      <c r="MRM29" s="78"/>
      <c r="MRQ29" s="78"/>
      <c r="MRU29" s="78"/>
      <c r="MRY29" s="78"/>
      <c r="MSC29" s="78"/>
      <c r="MSG29" s="78"/>
      <c r="MSK29" s="78"/>
      <c r="MSO29" s="78"/>
      <c r="MSS29" s="78"/>
      <c r="MSW29" s="78"/>
      <c r="MTA29" s="78"/>
      <c r="MTE29" s="78"/>
      <c r="MTI29" s="78"/>
      <c r="MTM29" s="78"/>
      <c r="MTQ29" s="78"/>
      <c r="MTU29" s="78"/>
      <c r="MTY29" s="78"/>
      <c r="MUC29" s="78"/>
      <c r="MUG29" s="78"/>
      <c r="MUK29" s="78"/>
      <c r="MUO29" s="78"/>
      <c r="MUS29" s="78"/>
      <c r="MUW29" s="78"/>
      <c r="MVA29" s="78"/>
      <c r="MVE29" s="78"/>
      <c r="MVI29" s="78"/>
      <c r="MVM29" s="78"/>
      <c r="MVQ29" s="78"/>
      <c r="MVU29" s="78"/>
      <c r="MVY29" s="78"/>
      <c r="MWC29" s="78"/>
      <c r="MWG29" s="78"/>
      <c r="MWK29" s="78"/>
      <c r="MWO29" s="78"/>
      <c r="MWS29" s="78"/>
      <c r="MWW29" s="78"/>
      <c r="MXA29" s="78"/>
      <c r="MXE29" s="78"/>
      <c r="MXI29" s="78"/>
      <c r="MXM29" s="78"/>
      <c r="MXQ29" s="78"/>
      <c r="MXU29" s="78"/>
      <c r="MXY29" s="78"/>
      <c r="MYC29" s="78"/>
      <c r="MYG29" s="78"/>
      <c r="MYK29" s="78"/>
      <c r="MYO29" s="78"/>
      <c r="MYS29" s="78"/>
      <c r="MYW29" s="78"/>
      <c r="MZA29" s="78"/>
      <c r="MZE29" s="78"/>
      <c r="MZI29" s="78"/>
      <c r="MZM29" s="78"/>
      <c r="MZQ29" s="78"/>
      <c r="MZU29" s="78"/>
      <c r="MZY29" s="78"/>
      <c r="NAC29" s="78"/>
      <c r="NAG29" s="78"/>
      <c r="NAK29" s="78"/>
      <c r="NAO29" s="78"/>
      <c r="NAS29" s="78"/>
      <c r="NAW29" s="78"/>
      <c r="NBA29" s="78"/>
      <c r="NBE29" s="78"/>
      <c r="NBI29" s="78"/>
      <c r="NBM29" s="78"/>
      <c r="NBQ29" s="78"/>
      <c r="NBU29" s="78"/>
      <c r="NBY29" s="78"/>
      <c r="NCC29" s="78"/>
      <c r="NCG29" s="78"/>
      <c r="NCK29" s="78"/>
      <c r="NCO29" s="78"/>
      <c r="NCS29" s="78"/>
      <c r="NCW29" s="78"/>
      <c r="NDA29" s="78"/>
      <c r="NDE29" s="78"/>
      <c r="NDI29" s="78"/>
      <c r="NDM29" s="78"/>
      <c r="NDQ29" s="78"/>
      <c r="NDU29" s="78"/>
      <c r="NDY29" s="78"/>
      <c r="NEC29" s="78"/>
      <c r="NEG29" s="78"/>
      <c r="NEK29" s="78"/>
      <c r="NEO29" s="78"/>
      <c r="NES29" s="78"/>
      <c r="NEW29" s="78"/>
      <c r="NFA29" s="78"/>
      <c r="NFE29" s="78"/>
      <c r="NFI29" s="78"/>
      <c r="NFM29" s="78"/>
      <c r="NFQ29" s="78"/>
      <c r="NFU29" s="78"/>
      <c r="NFY29" s="78"/>
      <c r="NGC29" s="78"/>
      <c r="NGG29" s="78"/>
      <c r="NGK29" s="78"/>
      <c r="NGO29" s="78"/>
      <c r="NGS29" s="78"/>
      <c r="NGW29" s="78"/>
      <c r="NHA29" s="78"/>
      <c r="NHE29" s="78"/>
      <c r="NHI29" s="78"/>
      <c r="NHM29" s="78"/>
      <c r="NHQ29" s="78"/>
      <c r="NHU29" s="78"/>
      <c r="NHY29" s="78"/>
      <c r="NIC29" s="78"/>
      <c r="NIG29" s="78"/>
      <c r="NIK29" s="78"/>
      <c r="NIO29" s="78"/>
      <c r="NIS29" s="78"/>
      <c r="NIW29" s="78"/>
      <c r="NJA29" s="78"/>
      <c r="NJE29" s="78"/>
      <c r="NJI29" s="78"/>
      <c r="NJM29" s="78"/>
      <c r="NJQ29" s="78"/>
      <c r="NJU29" s="78"/>
      <c r="NJY29" s="78"/>
      <c r="NKC29" s="78"/>
      <c r="NKG29" s="78"/>
      <c r="NKK29" s="78"/>
      <c r="NKO29" s="78"/>
      <c r="NKS29" s="78"/>
      <c r="NKW29" s="78"/>
      <c r="NLA29" s="78"/>
      <c r="NLE29" s="78"/>
      <c r="NLI29" s="78"/>
      <c r="NLM29" s="78"/>
      <c r="NLQ29" s="78"/>
      <c r="NLU29" s="78"/>
      <c r="NLY29" s="78"/>
      <c r="NMC29" s="78"/>
      <c r="NMG29" s="78"/>
      <c r="NMK29" s="78"/>
      <c r="NMO29" s="78"/>
      <c r="NMS29" s="78"/>
      <c r="NMW29" s="78"/>
      <c r="NNA29" s="78"/>
      <c r="NNE29" s="78"/>
      <c r="NNI29" s="78"/>
      <c r="NNM29" s="78"/>
      <c r="NNQ29" s="78"/>
      <c r="NNU29" s="78"/>
      <c r="NNY29" s="78"/>
      <c r="NOC29" s="78"/>
      <c r="NOG29" s="78"/>
      <c r="NOK29" s="78"/>
      <c r="NOO29" s="78"/>
      <c r="NOS29" s="78"/>
      <c r="NOW29" s="78"/>
      <c r="NPA29" s="78"/>
      <c r="NPE29" s="78"/>
      <c r="NPI29" s="78"/>
      <c r="NPM29" s="78"/>
      <c r="NPQ29" s="78"/>
      <c r="NPU29" s="78"/>
      <c r="NPY29" s="78"/>
      <c r="NQC29" s="78"/>
      <c r="NQG29" s="78"/>
      <c r="NQK29" s="78"/>
      <c r="NQO29" s="78"/>
      <c r="NQS29" s="78"/>
      <c r="NQW29" s="78"/>
      <c r="NRA29" s="78"/>
      <c r="NRE29" s="78"/>
      <c r="NRI29" s="78"/>
      <c r="NRM29" s="78"/>
      <c r="NRQ29" s="78"/>
      <c r="NRU29" s="78"/>
      <c r="NRY29" s="78"/>
      <c r="NSC29" s="78"/>
      <c r="NSG29" s="78"/>
      <c r="NSK29" s="78"/>
      <c r="NSO29" s="78"/>
      <c r="NSS29" s="78"/>
      <c r="NSW29" s="78"/>
      <c r="NTA29" s="78"/>
      <c r="NTE29" s="78"/>
      <c r="NTI29" s="78"/>
      <c r="NTM29" s="78"/>
      <c r="NTQ29" s="78"/>
      <c r="NTU29" s="78"/>
      <c r="NTY29" s="78"/>
      <c r="NUC29" s="78"/>
      <c r="NUG29" s="78"/>
      <c r="NUK29" s="78"/>
      <c r="NUO29" s="78"/>
      <c r="NUS29" s="78"/>
      <c r="NUW29" s="78"/>
      <c r="NVA29" s="78"/>
      <c r="NVE29" s="78"/>
      <c r="NVI29" s="78"/>
      <c r="NVM29" s="78"/>
      <c r="NVQ29" s="78"/>
      <c r="NVU29" s="78"/>
      <c r="NVY29" s="78"/>
      <c r="NWC29" s="78"/>
      <c r="NWG29" s="78"/>
      <c r="NWK29" s="78"/>
      <c r="NWO29" s="78"/>
      <c r="NWS29" s="78"/>
      <c r="NWW29" s="78"/>
      <c r="NXA29" s="78"/>
      <c r="NXE29" s="78"/>
      <c r="NXI29" s="78"/>
      <c r="NXM29" s="78"/>
      <c r="NXQ29" s="78"/>
      <c r="NXU29" s="78"/>
      <c r="NXY29" s="78"/>
      <c r="NYC29" s="78"/>
      <c r="NYG29" s="78"/>
      <c r="NYK29" s="78"/>
      <c r="NYO29" s="78"/>
      <c r="NYS29" s="78"/>
      <c r="NYW29" s="78"/>
      <c r="NZA29" s="78"/>
      <c r="NZE29" s="78"/>
      <c r="NZI29" s="78"/>
      <c r="NZM29" s="78"/>
      <c r="NZQ29" s="78"/>
      <c r="NZU29" s="78"/>
      <c r="NZY29" s="78"/>
      <c r="OAC29" s="78"/>
      <c r="OAG29" s="78"/>
      <c r="OAK29" s="78"/>
      <c r="OAO29" s="78"/>
      <c r="OAS29" s="78"/>
      <c r="OAW29" s="78"/>
      <c r="OBA29" s="78"/>
      <c r="OBE29" s="78"/>
      <c r="OBI29" s="78"/>
      <c r="OBM29" s="78"/>
      <c r="OBQ29" s="78"/>
      <c r="OBU29" s="78"/>
      <c r="OBY29" s="78"/>
      <c r="OCC29" s="78"/>
      <c r="OCG29" s="78"/>
      <c r="OCK29" s="78"/>
      <c r="OCO29" s="78"/>
      <c r="OCS29" s="78"/>
      <c r="OCW29" s="78"/>
      <c r="ODA29" s="78"/>
      <c r="ODE29" s="78"/>
      <c r="ODI29" s="78"/>
      <c r="ODM29" s="78"/>
      <c r="ODQ29" s="78"/>
      <c r="ODU29" s="78"/>
      <c r="ODY29" s="78"/>
      <c r="OEC29" s="78"/>
      <c r="OEG29" s="78"/>
      <c r="OEK29" s="78"/>
      <c r="OEO29" s="78"/>
      <c r="OES29" s="78"/>
      <c r="OEW29" s="78"/>
      <c r="OFA29" s="78"/>
      <c r="OFE29" s="78"/>
      <c r="OFI29" s="78"/>
      <c r="OFM29" s="78"/>
      <c r="OFQ29" s="78"/>
      <c r="OFU29" s="78"/>
      <c r="OFY29" s="78"/>
      <c r="OGC29" s="78"/>
      <c r="OGG29" s="78"/>
      <c r="OGK29" s="78"/>
      <c r="OGO29" s="78"/>
      <c r="OGS29" s="78"/>
      <c r="OGW29" s="78"/>
      <c r="OHA29" s="78"/>
      <c r="OHE29" s="78"/>
      <c r="OHI29" s="78"/>
      <c r="OHM29" s="78"/>
      <c r="OHQ29" s="78"/>
      <c r="OHU29" s="78"/>
      <c r="OHY29" s="78"/>
      <c r="OIC29" s="78"/>
      <c r="OIG29" s="78"/>
      <c r="OIK29" s="78"/>
      <c r="OIO29" s="78"/>
      <c r="OIS29" s="78"/>
      <c r="OIW29" s="78"/>
      <c r="OJA29" s="78"/>
      <c r="OJE29" s="78"/>
      <c r="OJI29" s="78"/>
      <c r="OJM29" s="78"/>
      <c r="OJQ29" s="78"/>
      <c r="OJU29" s="78"/>
      <c r="OJY29" s="78"/>
      <c r="OKC29" s="78"/>
      <c r="OKG29" s="78"/>
      <c r="OKK29" s="78"/>
      <c r="OKO29" s="78"/>
      <c r="OKS29" s="78"/>
      <c r="OKW29" s="78"/>
      <c r="OLA29" s="78"/>
      <c r="OLE29" s="78"/>
      <c r="OLI29" s="78"/>
      <c r="OLM29" s="78"/>
      <c r="OLQ29" s="78"/>
      <c r="OLU29" s="78"/>
      <c r="OLY29" s="78"/>
      <c r="OMC29" s="78"/>
      <c r="OMG29" s="78"/>
      <c r="OMK29" s="78"/>
      <c r="OMO29" s="78"/>
      <c r="OMS29" s="78"/>
      <c r="OMW29" s="78"/>
      <c r="ONA29" s="78"/>
      <c r="ONE29" s="78"/>
      <c r="ONI29" s="78"/>
      <c r="ONM29" s="78"/>
      <c r="ONQ29" s="78"/>
      <c r="ONU29" s="78"/>
      <c r="ONY29" s="78"/>
      <c r="OOC29" s="78"/>
      <c r="OOG29" s="78"/>
      <c r="OOK29" s="78"/>
      <c r="OOO29" s="78"/>
      <c r="OOS29" s="78"/>
      <c r="OOW29" s="78"/>
      <c r="OPA29" s="78"/>
      <c r="OPE29" s="78"/>
      <c r="OPI29" s="78"/>
      <c r="OPM29" s="78"/>
      <c r="OPQ29" s="78"/>
      <c r="OPU29" s="78"/>
      <c r="OPY29" s="78"/>
      <c r="OQC29" s="78"/>
      <c r="OQG29" s="78"/>
      <c r="OQK29" s="78"/>
      <c r="OQO29" s="78"/>
      <c r="OQS29" s="78"/>
      <c r="OQW29" s="78"/>
      <c r="ORA29" s="78"/>
      <c r="ORE29" s="78"/>
      <c r="ORI29" s="78"/>
      <c r="ORM29" s="78"/>
      <c r="ORQ29" s="78"/>
      <c r="ORU29" s="78"/>
      <c r="ORY29" s="78"/>
      <c r="OSC29" s="78"/>
      <c r="OSG29" s="78"/>
      <c r="OSK29" s="78"/>
      <c r="OSO29" s="78"/>
      <c r="OSS29" s="78"/>
      <c r="OSW29" s="78"/>
      <c r="OTA29" s="78"/>
      <c r="OTE29" s="78"/>
      <c r="OTI29" s="78"/>
      <c r="OTM29" s="78"/>
      <c r="OTQ29" s="78"/>
      <c r="OTU29" s="78"/>
      <c r="OTY29" s="78"/>
      <c r="OUC29" s="78"/>
      <c r="OUG29" s="78"/>
      <c r="OUK29" s="78"/>
      <c r="OUO29" s="78"/>
      <c r="OUS29" s="78"/>
      <c r="OUW29" s="78"/>
      <c r="OVA29" s="78"/>
      <c r="OVE29" s="78"/>
      <c r="OVI29" s="78"/>
      <c r="OVM29" s="78"/>
      <c r="OVQ29" s="78"/>
      <c r="OVU29" s="78"/>
      <c r="OVY29" s="78"/>
      <c r="OWC29" s="78"/>
      <c r="OWG29" s="78"/>
      <c r="OWK29" s="78"/>
      <c r="OWO29" s="78"/>
      <c r="OWS29" s="78"/>
      <c r="OWW29" s="78"/>
      <c r="OXA29" s="78"/>
      <c r="OXE29" s="78"/>
      <c r="OXI29" s="78"/>
      <c r="OXM29" s="78"/>
      <c r="OXQ29" s="78"/>
      <c r="OXU29" s="78"/>
      <c r="OXY29" s="78"/>
      <c r="OYC29" s="78"/>
      <c r="OYG29" s="78"/>
      <c r="OYK29" s="78"/>
      <c r="OYO29" s="78"/>
      <c r="OYS29" s="78"/>
      <c r="OYW29" s="78"/>
      <c r="OZA29" s="78"/>
      <c r="OZE29" s="78"/>
      <c r="OZI29" s="78"/>
      <c r="OZM29" s="78"/>
      <c r="OZQ29" s="78"/>
      <c r="OZU29" s="78"/>
      <c r="OZY29" s="78"/>
      <c r="PAC29" s="78"/>
      <c r="PAG29" s="78"/>
      <c r="PAK29" s="78"/>
      <c r="PAO29" s="78"/>
      <c r="PAS29" s="78"/>
      <c r="PAW29" s="78"/>
      <c r="PBA29" s="78"/>
      <c r="PBE29" s="78"/>
      <c r="PBI29" s="78"/>
      <c r="PBM29" s="78"/>
      <c r="PBQ29" s="78"/>
      <c r="PBU29" s="78"/>
      <c r="PBY29" s="78"/>
      <c r="PCC29" s="78"/>
      <c r="PCG29" s="78"/>
      <c r="PCK29" s="78"/>
      <c r="PCO29" s="78"/>
      <c r="PCS29" s="78"/>
      <c r="PCW29" s="78"/>
      <c r="PDA29" s="78"/>
      <c r="PDE29" s="78"/>
      <c r="PDI29" s="78"/>
      <c r="PDM29" s="78"/>
      <c r="PDQ29" s="78"/>
      <c r="PDU29" s="78"/>
      <c r="PDY29" s="78"/>
      <c r="PEC29" s="78"/>
      <c r="PEG29" s="78"/>
      <c r="PEK29" s="78"/>
      <c r="PEO29" s="78"/>
      <c r="PES29" s="78"/>
      <c r="PEW29" s="78"/>
      <c r="PFA29" s="78"/>
      <c r="PFE29" s="78"/>
      <c r="PFI29" s="78"/>
      <c r="PFM29" s="78"/>
      <c r="PFQ29" s="78"/>
      <c r="PFU29" s="78"/>
      <c r="PFY29" s="78"/>
      <c r="PGC29" s="78"/>
      <c r="PGG29" s="78"/>
      <c r="PGK29" s="78"/>
      <c r="PGO29" s="78"/>
      <c r="PGS29" s="78"/>
      <c r="PGW29" s="78"/>
      <c r="PHA29" s="78"/>
      <c r="PHE29" s="78"/>
      <c r="PHI29" s="78"/>
      <c r="PHM29" s="78"/>
      <c r="PHQ29" s="78"/>
      <c r="PHU29" s="78"/>
      <c r="PHY29" s="78"/>
      <c r="PIC29" s="78"/>
      <c r="PIG29" s="78"/>
      <c r="PIK29" s="78"/>
      <c r="PIO29" s="78"/>
      <c r="PIS29" s="78"/>
      <c r="PIW29" s="78"/>
      <c r="PJA29" s="78"/>
      <c r="PJE29" s="78"/>
      <c r="PJI29" s="78"/>
      <c r="PJM29" s="78"/>
      <c r="PJQ29" s="78"/>
      <c r="PJU29" s="78"/>
      <c r="PJY29" s="78"/>
      <c r="PKC29" s="78"/>
      <c r="PKG29" s="78"/>
      <c r="PKK29" s="78"/>
      <c r="PKO29" s="78"/>
      <c r="PKS29" s="78"/>
      <c r="PKW29" s="78"/>
      <c r="PLA29" s="78"/>
      <c r="PLE29" s="78"/>
      <c r="PLI29" s="78"/>
      <c r="PLM29" s="78"/>
      <c r="PLQ29" s="78"/>
      <c r="PLU29" s="78"/>
      <c r="PLY29" s="78"/>
      <c r="PMC29" s="78"/>
      <c r="PMG29" s="78"/>
      <c r="PMK29" s="78"/>
      <c r="PMO29" s="78"/>
      <c r="PMS29" s="78"/>
      <c r="PMW29" s="78"/>
      <c r="PNA29" s="78"/>
      <c r="PNE29" s="78"/>
      <c r="PNI29" s="78"/>
      <c r="PNM29" s="78"/>
      <c r="PNQ29" s="78"/>
      <c r="PNU29" s="78"/>
      <c r="PNY29" s="78"/>
      <c r="POC29" s="78"/>
      <c r="POG29" s="78"/>
      <c r="POK29" s="78"/>
      <c r="POO29" s="78"/>
      <c r="POS29" s="78"/>
      <c r="POW29" s="78"/>
      <c r="PPA29" s="78"/>
      <c r="PPE29" s="78"/>
      <c r="PPI29" s="78"/>
      <c r="PPM29" s="78"/>
      <c r="PPQ29" s="78"/>
      <c r="PPU29" s="78"/>
      <c r="PPY29" s="78"/>
      <c r="PQC29" s="78"/>
      <c r="PQG29" s="78"/>
      <c r="PQK29" s="78"/>
      <c r="PQO29" s="78"/>
      <c r="PQS29" s="78"/>
      <c r="PQW29" s="78"/>
      <c r="PRA29" s="78"/>
      <c r="PRE29" s="78"/>
      <c r="PRI29" s="78"/>
      <c r="PRM29" s="78"/>
      <c r="PRQ29" s="78"/>
      <c r="PRU29" s="78"/>
      <c r="PRY29" s="78"/>
      <c r="PSC29" s="78"/>
      <c r="PSG29" s="78"/>
      <c r="PSK29" s="78"/>
      <c r="PSO29" s="78"/>
      <c r="PSS29" s="78"/>
      <c r="PSW29" s="78"/>
      <c r="PTA29" s="78"/>
      <c r="PTE29" s="78"/>
      <c r="PTI29" s="78"/>
      <c r="PTM29" s="78"/>
      <c r="PTQ29" s="78"/>
      <c r="PTU29" s="78"/>
      <c r="PTY29" s="78"/>
      <c r="PUC29" s="78"/>
      <c r="PUG29" s="78"/>
      <c r="PUK29" s="78"/>
      <c r="PUO29" s="78"/>
      <c r="PUS29" s="78"/>
      <c r="PUW29" s="78"/>
      <c r="PVA29" s="78"/>
      <c r="PVE29" s="78"/>
      <c r="PVI29" s="78"/>
      <c r="PVM29" s="78"/>
      <c r="PVQ29" s="78"/>
      <c r="PVU29" s="78"/>
      <c r="PVY29" s="78"/>
      <c r="PWC29" s="78"/>
      <c r="PWG29" s="78"/>
      <c r="PWK29" s="78"/>
      <c r="PWO29" s="78"/>
      <c r="PWS29" s="78"/>
      <c r="PWW29" s="78"/>
      <c r="PXA29" s="78"/>
      <c r="PXE29" s="78"/>
      <c r="PXI29" s="78"/>
      <c r="PXM29" s="78"/>
      <c r="PXQ29" s="78"/>
      <c r="PXU29" s="78"/>
      <c r="PXY29" s="78"/>
      <c r="PYC29" s="78"/>
      <c r="PYG29" s="78"/>
      <c r="PYK29" s="78"/>
      <c r="PYO29" s="78"/>
      <c r="PYS29" s="78"/>
      <c r="PYW29" s="78"/>
      <c r="PZA29" s="78"/>
      <c r="PZE29" s="78"/>
      <c r="PZI29" s="78"/>
      <c r="PZM29" s="78"/>
      <c r="PZQ29" s="78"/>
      <c r="PZU29" s="78"/>
      <c r="PZY29" s="78"/>
      <c r="QAC29" s="78"/>
      <c r="QAG29" s="78"/>
      <c r="QAK29" s="78"/>
      <c r="QAO29" s="78"/>
      <c r="QAS29" s="78"/>
      <c r="QAW29" s="78"/>
      <c r="QBA29" s="78"/>
      <c r="QBE29" s="78"/>
      <c r="QBI29" s="78"/>
      <c r="QBM29" s="78"/>
      <c r="QBQ29" s="78"/>
      <c r="QBU29" s="78"/>
      <c r="QBY29" s="78"/>
      <c r="QCC29" s="78"/>
      <c r="QCG29" s="78"/>
      <c r="QCK29" s="78"/>
      <c r="QCO29" s="78"/>
      <c r="QCS29" s="78"/>
      <c r="QCW29" s="78"/>
      <c r="QDA29" s="78"/>
      <c r="QDE29" s="78"/>
      <c r="QDI29" s="78"/>
      <c r="QDM29" s="78"/>
      <c r="QDQ29" s="78"/>
      <c r="QDU29" s="78"/>
      <c r="QDY29" s="78"/>
      <c r="QEC29" s="78"/>
      <c r="QEG29" s="78"/>
      <c r="QEK29" s="78"/>
      <c r="QEO29" s="78"/>
      <c r="QES29" s="78"/>
      <c r="QEW29" s="78"/>
      <c r="QFA29" s="78"/>
      <c r="QFE29" s="78"/>
      <c r="QFI29" s="78"/>
      <c r="QFM29" s="78"/>
      <c r="QFQ29" s="78"/>
      <c r="QFU29" s="78"/>
      <c r="QFY29" s="78"/>
      <c r="QGC29" s="78"/>
      <c r="QGG29" s="78"/>
      <c r="QGK29" s="78"/>
      <c r="QGO29" s="78"/>
      <c r="QGS29" s="78"/>
      <c r="QGW29" s="78"/>
      <c r="QHA29" s="78"/>
      <c r="QHE29" s="78"/>
      <c r="QHI29" s="78"/>
      <c r="QHM29" s="78"/>
      <c r="QHQ29" s="78"/>
      <c r="QHU29" s="78"/>
      <c r="QHY29" s="78"/>
      <c r="QIC29" s="78"/>
      <c r="QIG29" s="78"/>
      <c r="QIK29" s="78"/>
      <c r="QIO29" s="78"/>
      <c r="QIS29" s="78"/>
      <c r="QIW29" s="78"/>
      <c r="QJA29" s="78"/>
      <c r="QJE29" s="78"/>
      <c r="QJI29" s="78"/>
      <c r="QJM29" s="78"/>
      <c r="QJQ29" s="78"/>
      <c r="QJU29" s="78"/>
      <c r="QJY29" s="78"/>
      <c r="QKC29" s="78"/>
      <c r="QKG29" s="78"/>
      <c r="QKK29" s="78"/>
      <c r="QKO29" s="78"/>
      <c r="QKS29" s="78"/>
      <c r="QKW29" s="78"/>
      <c r="QLA29" s="78"/>
      <c r="QLE29" s="78"/>
      <c r="QLI29" s="78"/>
      <c r="QLM29" s="78"/>
      <c r="QLQ29" s="78"/>
      <c r="QLU29" s="78"/>
      <c r="QLY29" s="78"/>
      <c r="QMC29" s="78"/>
      <c r="QMG29" s="78"/>
      <c r="QMK29" s="78"/>
      <c r="QMO29" s="78"/>
      <c r="QMS29" s="78"/>
      <c r="QMW29" s="78"/>
      <c r="QNA29" s="78"/>
      <c r="QNE29" s="78"/>
      <c r="QNI29" s="78"/>
      <c r="QNM29" s="78"/>
      <c r="QNQ29" s="78"/>
      <c r="QNU29" s="78"/>
      <c r="QNY29" s="78"/>
      <c r="QOC29" s="78"/>
      <c r="QOG29" s="78"/>
      <c r="QOK29" s="78"/>
      <c r="QOO29" s="78"/>
      <c r="QOS29" s="78"/>
      <c r="QOW29" s="78"/>
      <c r="QPA29" s="78"/>
      <c r="QPE29" s="78"/>
      <c r="QPI29" s="78"/>
      <c r="QPM29" s="78"/>
      <c r="QPQ29" s="78"/>
      <c r="QPU29" s="78"/>
      <c r="QPY29" s="78"/>
      <c r="QQC29" s="78"/>
      <c r="QQG29" s="78"/>
      <c r="QQK29" s="78"/>
      <c r="QQO29" s="78"/>
      <c r="QQS29" s="78"/>
      <c r="QQW29" s="78"/>
      <c r="QRA29" s="78"/>
      <c r="QRE29" s="78"/>
      <c r="QRI29" s="78"/>
      <c r="QRM29" s="78"/>
      <c r="QRQ29" s="78"/>
      <c r="QRU29" s="78"/>
      <c r="QRY29" s="78"/>
      <c r="QSC29" s="78"/>
      <c r="QSG29" s="78"/>
      <c r="QSK29" s="78"/>
      <c r="QSO29" s="78"/>
      <c r="QSS29" s="78"/>
      <c r="QSW29" s="78"/>
      <c r="QTA29" s="78"/>
      <c r="QTE29" s="78"/>
      <c r="QTI29" s="78"/>
      <c r="QTM29" s="78"/>
      <c r="QTQ29" s="78"/>
      <c r="QTU29" s="78"/>
      <c r="QTY29" s="78"/>
      <c r="QUC29" s="78"/>
      <c r="QUG29" s="78"/>
      <c r="QUK29" s="78"/>
      <c r="QUO29" s="78"/>
      <c r="QUS29" s="78"/>
      <c r="QUW29" s="78"/>
      <c r="QVA29" s="78"/>
      <c r="QVE29" s="78"/>
      <c r="QVI29" s="78"/>
      <c r="QVM29" s="78"/>
      <c r="QVQ29" s="78"/>
      <c r="QVU29" s="78"/>
      <c r="QVY29" s="78"/>
      <c r="QWC29" s="78"/>
      <c r="QWG29" s="78"/>
      <c r="QWK29" s="78"/>
      <c r="QWO29" s="78"/>
      <c r="QWS29" s="78"/>
      <c r="QWW29" s="78"/>
      <c r="QXA29" s="78"/>
      <c r="QXE29" s="78"/>
      <c r="QXI29" s="78"/>
      <c r="QXM29" s="78"/>
      <c r="QXQ29" s="78"/>
      <c r="QXU29" s="78"/>
      <c r="QXY29" s="78"/>
      <c r="QYC29" s="78"/>
      <c r="QYG29" s="78"/>
      <c r="QYK29" s="78"/>
      <c r="QYO29" s="78"/>
      <c r="QYS29" s="78"/>
      <c r="QYW29" s="78"/>
      <c r="QZA29" s="78"/>
      <c r="QZE29" s="78"/>
      <c r="QZI29" s="78"/>
      <c r="QZM29" s="78"/>
      <c r="QZQ29" s="78"/>
      <c r="QZU29" s="78"/>
      <c r="QZY29" s="78"/>
      <c r="RAC29" s="78"/>
      <c r="RAG29" s="78"/>
      <c r="RAK29" s="78"/>
      <c r="RAO29" s="78"/>
      <c r="RAS29" s="78"/>
      <c r="RAW29" s="78"/>
      <c r="RBA29" s="78"/>
      <c r="RBE29" s="78"/>
      <c r="RBI29" s="78"/>
      <c r="RBM29" s="78"/>
      <c r="RBQ29" s="78"/>
      <c r="RBU29" s="78"/>
      <c r="RBY29" s="78"/>
      <c r="RCC29" s="78"/>
      <c r="RCG29" s="78"/>
      <c r="RCK29" s="78"/>
      <c r="RCO29" s="78"/>
      <c r="RCS29" s="78"/>
      <c r="RCW29" s="78"/>
      <c r="RDA29" s="78"/>
      <c r="RDE29" s="78"/>
      <c r="RDI29" s="78"/>
      <c r="RDM29" s="78"/>
      <c r="RDQ29" s="78"/>
      <c r="RDU29" s="78"/>
      <c r="RDY29" s="78"/>
      <c r="REC29" s="78"/>
      <c r="REG29" s="78"/>
      <c r="REK29" s="78"/>
      <c r="REO29" s="78"/>
      <c r="RES29" s="78"/>
      <c r="REW29" s="78"/>
      <c r="RFA29" s="78"/>
      <c r="RFE29" s="78"/>
      <c r="RFI29" s="78"/>
      <c r="RFM29" s="78"/>
      <c r="RFQ29" s="78"/>
      <c r="RFU29" s="78"/>
      <c r="RFY29" s="78"/>
      <c r="RGC29" s="78"/>
      <c r="RGG29" s="78"/>
      <c r="RGK29" s="78"/>
      <c r="RGO29" s="78"/>
      <c r="RGS29" s="78"/>
      <c r="RGW29" s="78"/>
      <c r="RHA29" s="78"/>
      <c r="RHE29" s="78"/>
      <c r="RHI29" s="78"/>
      <c r="RHM29" s="78"/>
      <c r="RHQ29" s="78"/>
      <c r="RHU29" s="78"/>
      <c r="RHY29" s="78"/>
      <c r="RIC29" s="78"/>
      <c r="RIG29" s="78"/>
      <c r="RIK29" s="78"/>
      <c r="RIO29" s="78"/>
      <c r="RIS29" s="78"/>
      <c r="RIW29" s="78"/>
      <c r="RJA29" s="78"/>
      <c r="RJE29" s="78"/>
      <c r="RJI29" s="78"/>
      <c r="RJM29" s="78"/>
      <c r="RJQ29" s="78"/>
      <c r="RJU29" s="78"/>
      <c r="RJY29" s="78"/>
      <c r="RKC29" s="78"/>
      <c r="RKG29" s="78"/>
      <c r="RKK29" s="78"/>
      <c r="RKO29" s="78"/>
      <c r="RKS29" s="78"/>
      <c r="RKW29" s="78"/>
      <c r="RLA29" s="78"/>
      <c r="RLE29" s="78"/>
      <c r="RLI29" s="78"/>
      <c r="RLM29" s="78"/>
      <c r="RLQ29" s="78"/>
      <c r="RLU29" s="78"/>
      <c r="RLY29" s="78"/>
      <c r="RMC29" s="78"/>
      <c r="RMG29" s="78"/>
      <c r="RMK29" s="78"/>
      <c r="RMO29" s="78"/>
      <c r="RMS29" s="78"/>
      <c r="RMW29" s="78"/>
      <c r="RNA29" s="78"/>
      <c r="RNE29" s="78"/>
      <c r="RNI29" s="78"/>
      <c r="RNM29" s="78"/>
      <c r="RNQ29" s="78"/>
      <c r="RNU29" s="78"/>
      <c r="RNY29" s="78"/>
      <c r="ROC29" s="78"/>
      <c r="ROG29" s="78"/>
      <c r="ROK29" s="78"/>
      <c r="ROO29" s="78"/>
      <c r="ROS29" s="78"/>
      <c r="ROW29" s="78"/>
      <c r="RPA29" s="78"/>
      <c r="RPE29" s="78"/>
      <c r="RPI29" s="78"/>
      <c r="RPM29" s="78"/>
      <c r="RPQ29" s="78"/>
      <c r="RPU29" s="78"/>
      <c r="RPY29" s="78"/>
      <c r="RQC29" s="78"/>
      <c r="RQG29" s="78"/>
      <c r="RQK29" s="78"/>
      <c r="RQO29" s="78"/>
      <c r="RQS29" s="78"/>
      <c r="RQW29" s="78"/>
      <c r="RRA29" s="78"/>
      <c r="RRE29" s="78"/>
      <c r="RRI29" s="78"/>
      <c r="RRM29" s="78"/>
      <c r="RRQ29" s="78"/>
      <c r="RRU29" s="78"/>
      <c r="RRY29" s="78"/>
      <c r="RSC29" s="78"/>
      <c r="RSG29" s="78"/>
      <c r="RSK29" s="78"/>
      <c r="RSO29" s="78"/>
      <c r="RSS29" s="78"/>
      <c r="RSW29" s="78"/>
      <c r="RTA29" s="78"/>
      <c r="RTE29" s="78"/>
      <c r="RTI29" s="78"/>
      <c r="RTM29" s="78"/>
      <c r="RTQ29" s="78"/>
      <c r="RTU29" s="78"/>
      <c r="RTY29" s="78"/>
      <c r="RUC29" s="78"/>
      <c r="RUG29" s="78"/>
      <c r="RUK29" s="78"/>
      <c r="RUO29" s="78"/>
      <c r="RUS29" s="78"/>
      <c r="RUW29" s="78"/>
      <c r="RVA29" s="78"/>
      <c r="RVE29" s="78"/>
      <c r="RVI29" s="78"/>
      <c r="RVM29" s="78"/>
      <c r="RVQ29" s="78"/>
      <c r="RVU29" s="78"/>
      <c r="RVY29" s="78"/>
      <c r="RWC29" s="78"/>
      <c r="RWG29" s="78"/>
      <c r="RWK29" s="78"/>
      <c r="RWO29" s="78"/>
      <c r="RWS29" s="78"/>
      <c r="RWW29" s="78"/>
      <c r="RXA29" s="78"/>
      <c r="RXE29" s="78"/>
      <c r="RXI29" s="78"/>
      <c r="RXM29" s="78"/>
      <c r="RXQ29" s="78"/>
      <c r="RXU29" s="78"/>
      <c r="RXY29" s="78"/>
      <c r="RYC29" s="78"/>
      <c r="RYG29" s="78"/>
      <c r="RYK29" s="78"/>
      <c r="RYO29" s="78"/>
      <c r="RYS29" s="78"/>
      <c r="RYW29" s="78"/>
      <c r="RZA29" s="78"/>
      <c r="RZE29" s="78"/>
      <c r="RZI29" s="78"/>
      <c r="RZM29" s="78"/>
      <c r="RZQ29" s="78"/>
      <c r="RZU29" s="78"/>
      <c r="RZY29" s="78"/>
      <c r="SAC29" s="78"/>
      <c r="SAG29" s="78"/>
      <c r="SAK29" s="78"/>
      <c r="SAO29" s="78"/>
      <c r="SAS29" s="78"/>
      <c r="SAW29" s="78"/>
      <c r="SBA29" s="78"/>
      <c r="SBE29" s="78"/>
      <c r="SBI29" s="78"/>
      <c r="SBM29" s="78"/>
      <c r="SBQ29" s="78"/>
      <c r="SBU29" s="78"/>
      <c r="SBY29" s="78"/>
      <c r="SCC29" s="78"/>
      <c r="SCG29" s="78"/>
      <c r="SCK29" s="78"/>
      <c r="SCO29" s="78"/>
      <c r="SCS29" s="78"/>
      <c r="SCW29" s="78"/>
      <c r="SDA29" s="78"/>
      <c r="SDE29" s="78"/>
      <c r="SDI29" s="78"/>
      <c r="SDM29" s="78"/>
      <c r="SDQ29" s="78"/>
      <c r="SDU29" s="78"/>
      <c r="SDY29" s="78"/>
      <c r="SEC29" s="78"/>
      <c r="SEG29" s="78"/>
      <c r="SEK29" s="78"/>
      <c r="SEO29" s="78"/>
      <c r="SES29" s="78"/>
      <c r="SEW29" s="78"/>
      <c r="SFA29" s="78"/>
      <c r="SFE29" s="78"/>
      <c r="SFI29" s="78"/>
      <c r="SFM29" s="78"/>
      <c r="SFQ29" s="78"/>
      <c r="SFU29" s="78"/>
      <c r="SFY29" s="78"/>
      <c r="SGC29" s="78"/>
      <c r="SGG29" s="78"/>
      <c r="SGK29" s="78"/>
      <c r="SGO29" s="78"/>
      <c r="SGS29" s="78"/>
      <c r="SGW29" s="78"/>
      <c r="SHA29" s="78"/>
      <c r="SHE29" s="78"/>
      <c r="SHI29" s="78"/>
      <c r="SHM29" s="78"/>
      <c r="SHQ29" s="78"/>
      <c r="SHU29" s="78"/>
      <c r="SHY29" s="78"/>
      <c r="SIC29" s="78"/>
      <c r="SIG29" s="78"/>
      <c r="SIK29" s="78"/>
      <c r="SIO29" s="78"/>
      <c r="SIS29" s="78"/>
      <c r="SIW29" s="78"/>
      <c r="SJA29" s="78"/>
      <c r="SJE29" s="78"/>
      <c r="SJI29" s="78"/>
      <c r="SJM29" s="78"/>
      <c r="SJQ29" s="78"/>
      <c r="SJU29" s="78"/>
      <c r="SJY29" s="78"/>
      <c r="SKC29" s="78"/>
      <c r="SKG29" s="78"/>
      <c r="SKK29" s="78"/>
      <c r="SKO29" s="78"/>
      <c r="SKS29" s="78"/>
      <c r="SKW29" s="78"/>
      <c r="SLA29" s="78"/>
      <c r="SLE29" s="78"/>
      <c r="SLI29" s="78"/>
      <c r="SLM29" s="78"/>
      <c r="SLQ29" s="78"/>
      <c r="SLU29" s="78"/>
      <c r="SLY29" s="78"/>
      <c r="SMC29" s="78"/>
      <c r="SMG29" s="78"/>
      <c r="SMK29" s="78"/>
      <c r="SMO29" s="78"/>
      <c r="SMS29" s="78"/>
      <c r="SMW29" s="78"/>
      <c r="SNA29" s="78"/>
      <c r="SNE29" s="78"/>
      <c r="SNI29" s="78"/>
      <c r="SNM29" s="78"/>
      <c r="SNQ29" s="78"/>
      <c r="SNU29" s="78"/>
      <c r="SNY29" s="78"/>
      <c r="SOC29" s="78"/>
      <c r="SOG29" s="78"/>
      <c r="SOK29" s="78"/>
      <c r="SOO29" s="78"/>
      <c r="SOS29" s="78"/>
      <c r="SOW29" s="78"/>
      <c r="SPA29" s="78"/>
      <c r="SPE29" s="78"/>
      <c r="SPI29" s="78"/>
      <c r="SPM29" s="78"/>
      <c r="SPQ29" s="78"/>
      <c r="SPU29" s="78"/>
      <c r="SPY29" s="78"/>
      <c r="SQC29" s="78"/>
      <c r="SQG29" s="78"/>
      <c r="SQK29" s="78"/>
      <c r="SQO29" s="78"/>
      <c r="SQS29" s="78"/>
      <c r="SQW29" s="78"/>
      <c r="SRA29" s="78"/>
      <c r="SRE29" s="78"/>
      <c r="SRI29" s="78"/>
      <c r="SRM29" s="78"/>
      <c r="SRQ29" s="78"/>
      <c r="SRU29" s="78"/>
      <c r="SRY29" s="78"/>
      <c r="SSC29" s="78"/>
      <c r="SSG29" s="78"/>
      <c r="SSK29" s="78"/>
      <c r="SSO29" s="78"/>
      <c r="SSS29" s="78"/>
      <c r="SSW29" s="78"/>
      <c r="STA29" s="78"/>
      <c r="STE29" s="78"/>
      <c r="STI29" s="78"/>
      <c r="STM29" s="78"/>
      <c r="STQ29" s="78"/>
      <c r="STU29" s="78"/>
      <c r="STY29" s="78"/>
      <c r="SUC29" s="78"/>
      <c r="SUG29" s="78"/>
      <c r="SUK29" s="78"/>
      <c r="SUO29" s="78"/>
      <c r="SUS29" s="78"/>
      <c r="SUW29" s="78"/>
      <c r="SVA29" s="78"/>
      <c r="SVE29" s="78"/>
      <c r="SVI29" s="78"/>
      <c r="SVM29" s="78"/>
      <c r="SVQ29" s="78"/>
      <c r="SVU29" s="78"/>
      <c r="SVY29" s="78"/>
      <c r="SWC29" s="78"/>
      <c r="SWG29" s="78"/>
      <c r="SWK29" s="78"/>
      <c r="SWO29" s="78"/>
      <c r="SWS29" s="78"/>
      <c r="SWW29" s="78"/>
      <c r="SXA29" s="78"/>
      <c r="SXE29" s="78"/>
      <c r="SXI29" s="78"/>
      <c r="SXM29" s="78"/>
      <c r="SXQ29" s="78"/>
      <c r="SXU29" s="78"/>
      <c r="SXY29" s="78"/>
      <c r="SYC29" s="78"/>
      <c r="SYG29" s="78"/>
      <c r="SYK29" s="78"/>
      <c r="SYO29" s="78"/>
      <c r="SYS29" s="78"/>
      <c r="SYW29" s="78"/>
      <c r="SZA29" s="78"/>
      <c r="SZE29" s="78"/>
      <c r="SZI29" s="78"/>
      <c r="SZM29" s="78"/>
      <c r="SZQ29" s="78"/>
      <c r="SZU29" s="78"/>
      <c r="SZY29" s="78"/>
      <c r="TAC29" s="78"/>
      <c r="TAG29" s="78"/>
      <c r="TAK29" s="78"/>
      <c r="TAO29" s="78"/>
      <c r="TAS29" s="78"/>
      <c r="TAW29" s="78"/>
      <c r="TBA29" s="78"/>
      <c r="TBE29" s="78"/>
      <c r="TBI29" s="78"/>
      <c r="TBM29" s="78"/>
      <c r="TBQ29" s="78"/>
      <c r="TBU29" s="78"/>
      <c r="TBY29" s="78"/>
      <c r="TCC29" s="78"/>
      <c r="TCG29" s="78"/>
      <c r="TCK29" s="78"/>
      <c r="TCO29" s="78"/>
      <c r="TCS29" s="78"/>
      <c r="TCW29" s="78"/>
      <c r="TDA29" s="78"/>
      <c r="TDE29" s="78"/>
      <c r="TDI29" s="78"/>
      <c r="TDM29" s="78"/>
      <c r="TDQ29" s="78"/>
      <c r="TDU29" s="78"/>
      <c r="TDY29" s="78"/>
      <c r="TEC29" s="78"/>
      <c r="TEG29" s="78"/>
      <c r="TEK29" s="78"/>
      <c r="TEO29" s="78"/>
      <c r="TES29" s="78"/>
      <c r="TEW29" s="78"/>
      <c r="TFA29" s="78"/>
      <c r="TFE29" s="78"/>
      <c r="TFI29" s="78"/>
      <c r="TFM29" s="78"/>
      <c r="TFQ29" s="78"/>
      <c r="TFU29" s="78"/>
      <c r="TFY29" s="78"/>
      <c r="TGC29" s="78"/>
      <c r="TGG29" s="78"/>
      <c r="TGK29" s="78"/>
      <c r="TGO29" s="78"/>
      <c r="TGS29" s="78"/>
      <c r="TGW29" s="78"/>
      <c r="THA29" s="78"/>
      <c r="THE29" s="78"/>
      <c r="THI29" s="78"/>
      <c r="THM29" s="78"/>
      <c r="THQ29" s="78"/>
      <c r="THU29" s="78"/>
      <c r="THY29" s="78"/>
      <c r="TIC29" s="78"/>
      <c r="TIG29" s="78"/>
      <c r="TIK29" s="78"/>
      <c r="TIO29" s="78"/>
      <c r="TIS29" s="78"/>
      <c r="TIW29" s="78"/>
      <c r="TJA29" s="78"/>
      <c r="TJE29" s="78"/>
      <c r="TJI29" s="78"/>
      <c r="TJM29" s="78"/>
      <c r="TJQ29" s="78"/>
      <c r="TJU29" s="78"/>
      <c r="TJY29" s="78"/>
      <c r="TKC29" s="78"/>
      <c r="TKG29" s="78"/>
      <c r="TKK29" s="78"/>
      <c r="TKO29" s="78"/>
      <c r="TKS29" s="78"/>
      <c r="TKW29" s="78"/>
      <c r="TLA29" s="78"/>
      <c r="TLE29" s="78"/>
      <c r="TLI29" s="78"/>
      <c r="TLM29" s="78"/>
      <c r="TLQ29" s="78"/>
      <c r="TLU29" s="78"/>
      <c r="TLY29" s="78"/>
      <c r="TMC29" s="78"/>
      <c r="TMG29" s="78"/>
      <c r="TMK29" s="78"/>
      <c r="TMO29" s="78"/>
      <c r="TMS29" s="78"/>
      <c r="TMW29" s="78"/>
      <c r="TNA29" s="78"/>
      <c r="TNE29" s="78"/>
      <c r="TNI29" s="78"/>
      <c r="TNM29" s="78"/>
      <c r="TNQ29" s="78"/>
      <c r="TNU29" s="78"/>
      <c r="TNY29" s="78"/>
      <c r="TOC29" s="78"/>
      <c r="TOG29" s="78"/>
      <c r="TOK29" s="78"/>
      <c r="TOO29" s="78"/>
      <c r="TOS29" s="78"/>
      <c r="TOW29" s="78"/>
      <c r="TPA29" s="78"/>
      <c r="TPE29" s="78"/>
      <c r="TPI29" s="78"/>
      <c r="TPM29" s="78"/>
      <c r="TPQ29" s="78"/>
      <c r="TPU29" s="78"/>
      <c r="TPY29" s="78"/>
      <c r="TQC29" s="78"/>
      <c r="TQG29" s="78"/>
      <c r="TQK29" s="78"/>
      <c r="TQO29" s="78"/>
      <c r="TQS29" s="78"/>
      <c r="TQW29" s="78"/>
      <c r="TRA29" s="78"/>
      <c r="TRE29" s="78"/>
      <c r="TRI29" s="78"/>
      <c r="TRM29" s="78"/>
      <c r="TRQ29" s="78"/>
      <c r="TRU29" s="78"/>
      <c r="TRY29" s="78"/>
      <c r="TSC29" s="78"/>
      <c r="TSG29" s="78"/>
      <c r="TSK29" s="78"/>
      <c r="TSO29" s="78"/>
      <c r="TSS29" s="78"/>
      <c r="TSW29" s="78"/>
      <c r="TTA29" s="78"/>
      <c r="TTE29" s="78"/>
      <c r="TTI29" s="78"/>
      <c r="TTM29" s="78"/>
      <c r="TTQ29" s="78"/>
      <c r="TTU29" s="78"/>
      <c r="TTY29" s="78"/>
      <c r="TUC29" s="78"/>
      <c r="TUG29" s="78"/>
      <c r="TUK29" s="78"/>
      <c r="TUO29" s="78"/>
      <c r="TUS29" s="78"/>
      <c r="TUW29" s="78"/>
      <c r="TVA29" s="78"/>
      <c r="TVE29" s="78"/>
      <c r="TVI29" s="78"/>
      <c r="TVM29" s="78"/>
      <c r="TVQ29" s="78"/>
      <c r="TVU29" s="78"/>
      <c r="TVY29" s="78"/>
      <c r="TWC29" s="78"/>
      <c r="TWG29" s="78"/>
      <c r="TWK29" s="78"/>
      <c r="TWO29" s="78"/>
      <c r="TWS29" s="78"/>
      <c r="TWW29" s="78"/>
      <c r="TXA29" s="78"/>
      <c r="TXE29" s="78"/>
      <c r="TXI29" s="78"/>
      <c r="TXM29" s="78"/>
      <c r="TXQ29" s="78"/>
      <c r="TXU29" s="78"/>
      <c r="TXY29" s="78"/>
      <c r="TYC29" s="78"/>
      <c r="TYG29" s="78"/>
      <c r="TYK29" s="78"/>
      <c r="TYO29" s="78"/>
      <c r="TYS29" s="78"/>
      <c r="TYW29" s="78"/>
      <c r="TZA29" s="78"/>
      <c r="TZE29" s="78"/>
      <c r="TZI29" s="78"/>
      <c r="TZM29" s="78"/>
      <c r="TZQ29" s="78"/>
      <c r="TZU29" s="78"/>
      <c r="TZY29" s="78"/>
      <c r="UAC29" s="78"/>
      <c r="UAG29" s="78"/>
      <c r="UAK29" s="78"/>
      <c r="UAO29" s="78"/>
      <c r="UAS29" s="78"/>
      <c r="UAW29" s="78"/>
      <c r="UBA29" s="78"/>
      <c r="UBE29" s="78"/>
      <c r="UBI29" s="78"/>
      <c r="UBM29" s="78"/>
      <c r="UBQ29" s="78"/>
      <c r="UBU29" s="78"/>
      <c r="UBY29" s="78"/>
      <c r="UCC29" s="78"/>
      <c r="UCG29" s="78"/>
      <c r="UCK29" s="78"/>
      <c r="UCO29" s="78"/>
      <c r="UCS29" s="78"/>
      <c r="UCW29" s="78"/>
      <c r="UDA29" s="78"/>
      <c r="UDE29" s="78"/>
      <c r="UDI29" s="78"/>
      <c r="UDM29" s="78"/>
      <c r="UDQ29" s="78"/>
      <c r="UDU29" s="78"/>
      <c r="UDY29" s="78"/>
      <c r="UEC29" s="78"/>
      <c r="UEG29" s="78"/>
      <c r="UEK29" s="78"/>
      <c r="UEO29" s="78"/>
      <c r="UES29" s="78"/>
      <c r="UEW29" s="78"/>
      <c r="UFA29" s="78"/>
      <c r="UFE29" s="78"/>
      <c r="UFI29" s="78"/>
      <c r="UFM29" s="78"/>
      <c r="UFQ29" s="78"/>
      <c r="UFU29" s="78"/>
      <c r="UFY29" s="78"/>
      <c r="UGC29" s="78"/>
      <c r="UGG29" s="78"/>
      <c r="UGK29" s="78"/>
      <c r="UGO29" s="78"/>
      <c r="UGS29" s="78"/>
      <c r="UGW29" s="78"/>
      <c r="UHA29" s="78"/>
      <c r="UHE29" s="78"/>
      <c r="UHI29" s="78"/>
      <c r="UHM29" s="78"/>
      <c r="UHQ29" s="78"/>
      <c r="UHU29" s="78"/>
      <c r="UHY29" s="78"/>
      <c r="UIC29" s="78"/>
      <c r="UIG29" s="78"/>
      <c r="UIK29" s="78"/>
      <c r="UIO29" s="78"/>
      <c r="UIS29" s="78"/>
      <c r="UIW29" s="78"/>
      <c r="UJA29" s="78"/>
      <c r="UJE29" s="78"/>
      <c r="UJI29" s="78"/>
      <c r="UJM29" s="78"/>
      <c r="UJQ29" s="78"/>
      <c r="UJU29" s="78"/>
      <c r="UJY29" s="78"/>
      <c r="UKC29" s="78"/>
      <c r="UKG29" s="78"/>
      <c r="UKK29" s="78"/>
      <c r="UKO29" s="78"/>
      <c r="UKS29" s="78"/>
      <c r="UKW29" s="78"/>
      <c r="ULA29" s="78"/>
      <c r="ULE29" s="78"/>
      <c r="ULI29" s="78"/>
      <c r="ULM29" s="78"/>
      <c r="ULQ29" s="78"/>
      <c r="ULU29" s="78"/>
      <c r="ULY29" s="78"/>
      <c r="UMC29" s="78"/>
      <c r="UMG29" s="78"/>
      <c r="UMK29" s="78"/>
      <c r="UMO29" s="78"/>
      <c r="UMS29" s="78"/>
      <c r="UMW29" s="78"/>
      <c r="UNA29" s="78"/>
      <c r="UNE29" s="78"/>
      <c r="UNI29" s="78"/>
      <c r="UNM29" s="78"/>
      <c r="UNQ29" s="78"/>
      <c r="UNU29" s="78"/>
      <c r="UNY29" s="78"/>
      <c r="UOC29" s="78"/>
      <c r="UOG29" s="78"/>
      <c r="UOK29" s="78"/>
      <c r="UOO29" s="78"/>
      <c r="UOS29" s="78"/>
      <c r="UOW29" s="78"/>
      <c r="UPA29" s="78"/>
      <c r="UPE29" s="78"/>
      <c r="UPI29" s="78"/>
      <c r="UPM29" s="78"/>
      <c r="UPQ29" s="78"/>
      <c r="UPU29" s="78"/>
      <c r="UPY29" s="78"/>
      <c r="UQC29" s="78"/>
      <c r="UQG29" s="78"/>
      <c r="UQK29" s="78"/>
      <c r="UQO29" s="78"/>
      <c r="UQS29" s="78"/>
      <c r="UQW29" s="78"/>
      <c r="URA29" s="78"/>
      <c r="URE29" s="78"/>
      <c r="URI29" s="78"/>
      <c r="URM29" s="78"/>
      <c r="URQ29" s="78"/>
      <c r="URU29" s="78"/>
      <c r="URY29" s="78"/>
      <c r="USC29" s="78"/>
      <c r="USG29" s="78"/>
      <c r="USK29" s="78"/>
      <c r="USO29" s="78"/>
      <c r="USS29" s="78"/>
      <c r="USW29" s="78"/>
      <c r="UTA29" s="78"/>
      <c r="UTE29" s="78"/>
      <c r="UTI29" s="78"/>
      <c r="UTM29" s="78"/>
      <c r="UTQ29" s="78"/>
      <c r="UTU29" s="78"/>
      <c r="UTY29" s="78"/>
      <c r="UUC29" s="78"/>
      <c r="UUG29" s="78"/>
      <c r="UUK29" s="78"/>
      <c r="UUO29" s="78"/>
      <c r="UUS29" s="78"/>
      <c r="UUW29" s="78"/>
      <c r="UVA29" s="78"/>
      <c r="UVE29" s="78"/>
      <c r="UVI29" s="78"/>
      <c r="UVM29" s="78"/>
      <c r="UVQ29" s="78"/>
      <c r="UVU29" s="78"/>
      <c r="UVY29" s="78"/>
      <c r="UWC29" s="78"/>
      <c r="UWG29" s="78"/>
      <c r="UWK29" s="78"/>
      <c r="UWO29" s="78"/>
      <c r="UWS29" s="78"/>
      <c r="UWW29" s="78"/>
      <c r="UXA29" s="78"/>
      <c r="UXE29" s="78"/>
      <c r="UXI29" s="78"/>
      <c r="UXM29" s="78"/>
      <c r="UXQ29" s="78"/>
      <c r="UXU29" s="78"/>
      <c r="UXY29" s="78"/>
      <c r="UYC29" s="78"/>
      <c r="UYG29" s="78"/>
      <c r="UYK29" s="78"/>
      <c r="UYO29" s="78"/>
      <c r="UYS29" s="78"/>
      <c r="UYW29" s="78"/>
      <c r="UZA29" s="78"/>
      <c r="UZE29" s="78"/>
      <c r="UZI29" s="78"/>
      <c r="UZM29" s="78"/>
      <c r="UZQ29" s="78"/>
      <c r="UZU29" s="78"/>
      <c r="UZY29" s="78"/>
      <c r="VAC29" s="78"/>
      <c r="VAG29" s="78"/>
      <c r="VAK29" s="78"/>
      <c r="VAO29" s="78"/>
      <c r="VAS29" s="78"/>
      <c r="VAW29" s="78"/>
      <c r="VBA29" s="78"/>
      <c r="VBE29" s="78"/>
      <c r="VBI29" s="78"/>
      <c r="VBM29" s="78"/>
      <c r="VBQ29" s="78"/>
      <c r="VBU29" s="78"/>
      <c r="VBY29" s="78"/>
      <c r="VCC29" s="78"/>
      <c r="VCG29" s="78"/>
      <c r="VCK29" s="78"/>
      <c r="VCO29" s="78"/>
      <c r="VCS29" s="78"/>
      <c r="VCW29" s="78"/>
      <c r="VDA29" s="78"/>
      <c r="VDE29" s="78"/>
      <c r="VDI29" s="78"/>
      <c r="VDM29" s="78"/>
      <c r="VDQ29" s="78"/>
      <c r="VDU29" s="78"/>
      <c r="VDY29" s="78"/>
      <c r="VEC29" s="78"/>
      <c r="VEG29" s="78"/>
      <c r="VEK29" s="78"/>
      <c r="VEO29" s="78"/>
      <c r="VES29" s="78"/>
      <c r="VEW29" s="78"/>
      <c r="VFA29" s="78"/>
      <c r="VFE29" s="78"/>
      <c r="VFI29" s="78"/>
      <c r="VFM29" s="78"/>
      <c r="VFQ29" s="78"/>
      <c r="VFU29" s="78"/>
      <c r="VFY29" s="78"/>
      <c r="VGC29" s="78"/>
      <c r="VGG29" s="78"/>
      <c r="VGK29" s="78"/>
      <c r="VGO29" s="78"/>
      <c r="VGS29" s="78"/>
      <c r="VGW29" s="78"/>
      <c r="VHA29" s="78"/>
      <c r="VHE29" s="78"/>
      <c r="VHI29" s="78"/>
      <c r="VHM29" s="78"/>
      <c r="VHQ29" s="78"/>
      <c r="VHU29" s="78"/>
      <c r="VHY29" s="78"/>
      <c r="VIC29" s="78"/>
      <c r="VIG29" s="78"/>
      <c r="VIK29" s="78"/>
      <c r="VIO29" s="78"/>
      <c r="VIS29" s="78"/>
      <c r="VIW29" s="78"/>
      <c r="VJA29" s="78"/>
      <c r="VJE29" s="78"/>
      <c r="VJI29" s="78"/>
      <c r="VJM29" s="78"/>
      <c r="VJQ29" s="78"/>
      <c r="VJU29" s="78"/>
      <c r="VJY29" s="78"/>
      <c r="VKC29" s="78"/>
      <c r="VKG29" s="78"/>
      <c r="VKK29" s="78"/>
      <c r="VKO29" s="78"/>
      <c r="VKS29" s="78"/>
      <c r="VKW29" s="78"/>
      <c r="VLA29" s="78"/>
      <c r="VLE29" s="78"/>
      <c r="VLI29" s="78"/>
      <c r="VLM29" s="78"/>
      <c r="VLQ29" s="78"/>
      <c r="VLU29" s="78"/>
      <c r="VLY29" s="78"/>
      <c r="VMC29" s="78"/>
      <c r="VMG29" s="78"/>
      <c r="VMK29" s="78"/>
      <c r="VMO29" s="78"/>
      <c r="VMS29" s="78"/>
      <c r="VMW29" s="78"/>
      <c r="VNA29" s="78"/>
      <c r="VNE29" s="78"/>
      <c r="VNI29" s="78"/>
      <c r="VNM29" s="78"/>
      <c r="VNQ29" s="78"/>
      <c r="VNU29" s="78"/>
      <c r="VNY29" s="78"/>
      <c r="VOC29" s="78"/>
      <c r="VOG29" s="78"/>
      <c r="VOK29" s="78"/>
      <c r="VOO29" s="78"/>
      <c r="VOS29" s="78"/>
      <c r="VOW29" s="78"/>
      <c r="VPA29" s="78"/>
      <c r="VPE29" s="78"/>
      <c r="VPI29" s="78"/>
      <c r="VPM29" s="78"/>
      <c r="VPQ29" s="78"/>
      <c r="VPU29" s="78"/>
      <c r="VPY29" s="78"/>
      <c r="VQC29" s="78"/>
      <c r="VQG29" s="78"/>
      <c r="VQK29" s="78"/>
      <c r="VQO29" s="78"/>
      <c r="VQS29" s="78"/>
      <c r="VQW29" s="78"/>
      <c r="VRA29" s="78"/>
      <c r="VRE29" s="78"/>
      <c r="VRI29" s="78"/>
      <c r="VRM29" s="78"/>
      <c r="VRQ29" s="78"/>
      <c r="VRU29" s="78"/>
      <c r="VRY29" s="78"/>
      <c r="VSC29" s="78"/>
      <c r="VSG29" s="78"/>
      <c r="VSK29" s="78"/>
      <c r="VSO29" s="78"/>
      <c r="VSS29" s="78"/>
      <c r="VSW29" s="78"/>
      <c r="VTA29" s="78"/>
      <c r="VTE29" s="78"/>
      <c r="VTI29" s="78"/>
      <c r="VTM29" s="78"/>
      <c r="VTQ29" s="78"/>
      <c r="VTU29" s="78"/>
      <c r="VTY29" s="78"/>
      <c r="VUC29" s="78"/>
      <c r="VUG29" s="78"/>
      <c r="VUK29" s="78"/>
      <c r="VUO29" s="78"/>
      <c r="VUS29" s="78"/>
      <c r="VUW29" s="78"/>
      <c r="VVA29" s="78"/>
      <c r="VVE29" s="78"/>
      <c r="VVI29" s="78"/>
      <c r="VVM29" s="78"/>
      <c r="VVQ29" s="78"/>
      <c r="VVU29" s="78"/>
      <c r="VVY29" s="78"/>
      <c r="VWC29" s="78"/>
      <c r="VWG29" s="78"/>
      <c r="VWK29" s="78"/>
      <c r="VWO29" s="78"/>
      <c r="VWS29" s="78"/>
      <c r="VWW29" s="78"/>
      <c r="VXA29" s="78"/>
      <c r="VXE29" s="78"/>
      <c r="VXI29" s="78"/>
      <c r="VXM29" s="78"/>
      <c r="VXQ29" s="78"/>
      <c r="VXU29" s="78"/>
      <c r="VXY29" s="78"/>
      <c r="VYC29" s="78"/>
      <c r="VYG29" s="78"/>
      <c r="VYK29" s="78"/>
      <c r="VYO29" s="78"/>
      <c r="VYS29" s="78"/>
      <c r="VYW29" s="78"/>
      <c r="VZA29" s="78"/>
      <c r="VZE29" s="78"/>
      <c r="VZI29" s="78"/>
      <c r="VZM29" s="78"/>
      <c r="VZQ29" s="78"/>
      <c r="VZU29" s="78"/>
      <c r="VZY29" s="78"/>
      <c r="WAC29" s="78"/>
      <c r="WAG29" s="78"/>
      <c r="WAK29" s="78"/>
      <c r="WAO29" s="78"/>
      <c r="WAS29" s="78"/>
      <c r="WAW29" s="78"/>
      <c r="WBA29" s="78"/>
      <c r="WBE29" s="78"/>
      <c r="WBI29" s="78"/>
      <c r="WBM29" s="78"/>
      <c r="WBQ29" s="78"/>
      <c r="WBU29" s="78"/>
      <c r="WBY29" s="78"/>
      <c r="WCC29" s="78"/>
      <c r="WCG29" s="78"/>
      <c r="WCK29" s="78"/>
      <c r="WCO29" s="78"/>
      <c r="WCS29" s="78"/>
      <c r="WCW29" s="78"/>
      <c r="WDA29" s="78"/>
      <c r="WDE29" s="78"/>
      <c r="WDI29" s="78"/>
      <c r="WDM29" s="78"/>
      <c r="WDQ29" s="78"/>
      <c r="WDU29" s="78"/>
      <c r="WDY29" s="78"/>
      <c r="WEC29" s="78"/>
      <c r="WEG29" s="78"/>
      <c r="WEK29" s="78"/>
      <c r="WEO29" s="78"/>
      <c r="WES29" s="78"/>
      <c r="WEW29" s="78"/>
      <c r="WFA29" s="78"/>
      <c r="WFE29" s="78"/>
      <c r="WFI29" s="78"/>
      <c r="WFM29" s="78"/>
      <c r="WFQ29" s="78"/>
      <c r="WFU29" s="78"/>
      <c r="WFY29" s="78"/>
      <c r="WGC29" s="78"/>
      <c r="WGG29" s="78"/>
      <c r="WGK29" s="78"/>
      <c r="WGO29" s="78"/>
      <c r="WGS29" s="78"/>
      <c r="WGW29" s="78"/>
      <c r="WHA29" s="78"/>
      <c r="WHE29" s="78"/>
      <c r="WHI29" s="78"/>
      <c r="WHM29" s="78"/>
      <c r="WHQ29" s="78"/>
      <c r="WHU29" s="78"/>
      <c r="WHY29" s="78"/>
      <c r="WIC29" s="78"/>
      <c r="WIG29" s="78"/>
      <c r="WIK29" s="78"/>
      <c r="WIO29" s="78"/>
      <c r="WIS29" s="78"/>
      <c r="WIW29" s="78"/>
      <c r="WJA29" s="78"/>
      <c r="WJE29" s="78"/>
      <c r="WJI29" s="78"/>
      <c r="WJM29" s="78"/>
      <c r="WJQ29" s="78"/>
      <c r="WJU29" s="78"/>
      <c r="WJY29" s="78"/>
      <c r="WKC29" s="78"/>
      <c r="WKG29" s="78"/>
      <c r="WKK29" s="78"/>
      <c r="WKO29" s="78"/>
      <c r="WKS29" s="78"/>
      <c r="WKW29" s="78"/>
      <c r="WLA29" s="78"/>
      <c r="WLE29" s="78"/>
      <c r="WLI29" s="78"/>
      <c r="WLM29" s="78"/>
      <c r="WLQ29" s="78"/>
      <c r="WLU29" s="78"/>
      <c r="WLY29" s="78"/>
      <c r="WMC29" s="78"/>
      <c r="WMG29" s="78"/>
      <c r="WMK29" s="78"/>
      <c r="WMO29" s="78"/>
      <c r="WMS29" s="78"/>
      <c r="WMW29" s="78"/>
      <c r="WNA29" s="78"/>
      <c r="WNE29" s="78"/>
      <c r="WNI29" s="78"/>
      <c r="WNM29" s="78"/>
      <c r="WNQ29" s="78"/>
      <c r="WNU29" s="78"/>
      <c r="WNY29" s="78"/>
      <c r="WOC29" s="78"/>
      <c r="WOG29" s="78"/>
      <c r="WOK29" s="78"/>
      <c r="WOO29" s="78"/>
      <c r="WOS29" s="78"/>
      <c r="WOW29" s="78"/>
      <c r="WPA29" s="78"/>
      <c r="WPE29" s="78"/>
      <c r="WPI29" s="78"/>
      <c r="WPM29" s="78"/>
      <c r="WPQ29" s="78"/>
      <c r="WPU29" s="78"/>
      <c r="WPY29" s="78"/>
      <c r="WQC29" s="78"/>
      <c r="WQG29" s="78"/>
      <c r="WQK29" s="78"/>
      <c r="WQO29" s="78"/>
      <c r="WQS29" s="78"/>
      <c r="WQW29" s="78"/>
      <c r="WRA29" s="78"/>
      <c r="WRE29" s="78"/>
      <c r="WRI29" s="78"/>
      <c r="WRM29" s="78"/>
      <c r="WRQ29" s="78"/>
      <c r="WRU29" s="78"/>
      <c r="WRY29" s="78"/>
      <c r="WSC29" s="78"/>
      <c r="WSG29" s="78"/>
      <c r="WSK29" s="78"/>
      <c r="WSO29" s="78"/>
      <c r="WSS29" s="78"/>
      <c r="WSW29" s="78"/>
      <c r="WTA29" s="78"/>
      <c r="WTE29" s="78"/>
      <c r="WTI29" s="78"/>
      <c r="WTM29" s="78"/>
      <c r="WTQ29" s="78"/>
      <c r="WTU29" s="78"/>
      <c r="WTY29" s="78"/>
      <c r="WUC29" s="78"/>
      <c r="WUG29" s="78"/>
      <c r="WUK29" s="78"/>
      <c r="WUO29" s="78"/>
      <c r="WUS29" s="78"/>
      <c r="WUW29" s="78"/>
      <c r="WVA29" s="78"/>
      <c r="WVE29" s="78"/>
      <c r="WVI29" s="78"/>
      <c r="WVM29" s="78"/>
      <c r="WVQ29" s="78"/>
      <c r="WVU29" s="78"/>
      <c r="WVY29" s="78"/>
      <c r="WWC29" s="78"/>
      <c r="WWG29" s="78"/>
      <c r="WWK29" s="78"/>
      <c r="WWO29" s="78"/>
      <c r="WWS29" s="78"/>
      <c r="WWW29" s="78"/>
      <c r="WXA29" s="78"/>
      <c r="WXE29" s="78"/>
      <c r="WXI29" s="78"/>
      <c r="WXM29" s="78"/>
      <c r="WXQ29" s="78"/>
      <c r="WXU29" s="78"/>
      <c r="WXY29" s="78"/>
      <c r="WYC29" s="78"/>
      <c r="WYG29" s="78"/>
      <c r="WYK29" s="78"/>
      <c r="WYO29" s="78"/>
      <c r="WYS29" s="78"/>
      <c r="WYW29" s="78"/>
      <c r="WZA29" s="78"/>
      <c r="WZE29" s="78"/>
      <c r="WZI29" s="78"/>
      <c r="WZM29" s="78"/>
      <c r="WZQ29" s="78"/>
      <c r="WZU29" s="78"/>
      <c r="WZY29" s="78"/>
      <c r="XAC29" s="78"/>
      <c r="XAG29" s="78"/>
      <c r="XAK29" s="78"/>
      <c r="XAO29" s="78"/>
      <c r="XAS29" s="78"/>
      <c r="XAW29" s="78"/>
      <c r="XBA29" s="78"/>
      <c r="XBE29" s="78"/>
      <c r="XBI29" s="78"/>
      <c r="XBM29" s="78"/>
      <c r="XBQ29" s="78"/>
      <c r="XBU29" s="78"/>
      <c r="XBY29" s="78"/>
      <c r="XCC29" s="78"/>
      <c r="XCG29" s="78"/>
      <c r="XCK29" s="78"/>
      <c r="XCO29" s="78"/>
      <c r="XCS29" s="78"/>
      <c r="XCW29" s="78"/>
      <c r="XDA29" s="78"/>
      <c r="XDE29" s="78"/>
      <c r="XDI29" s="78"/>
      <c r="XDM29" s="78"/>
      <c r="XDQ29" s="78"/>
      <c r="XDU29" s="78"/>
      <c r="XDY29" s="78"/>
      <c r="XEC29" s="78"/>
      <c r="XEG29" s="78"/>
      <c r="XEK29" s="78"/>
      <c r="XEO29" s="78"/>
      <c r="XES29" s="78"/>
      <c r="XEW29" s="78"/>
      <c r="XFA29" s="78"/>
    </row>
    <row r="30" spans="1:1021 1025:2045 2049:3069 3073:4093 4097:5117 5121:6141 6145:7165 7169:8189 8193:9213 9217:10237 10241:11261 11265:12285 12289:13309 13313:14333 14337:15357 15361:16381" s="77" customFormat="1" outlineLevel="1">
      <c r="A30" s="78"/>
      <c r="C30" s="72" t="s">
        <v>123</v>
      </c>
      <c r="D30" s="4"/>
      <c r="E30" s="68">
        <f>E29/E$19</f>
        <v>0.26118390581935635</v>
      </c>
      <c r="F30" s="68">
        <f>F29/F$19</f>
        <v>0.28593550215917585</v>
      </c>
      <c r="G30" s="68">
        <f>G29/G$19</f>
        <v>0.51888477625123275</v>
      </c>
      <c r="H30" s="68">
        <f>H29/H$19</f>
        <v>0.44400096729590444</v>
      </c>
      <c r="I30" s="68">
        <f>I29/I$19</f>
        <v>0.45617197323278241</v>
      </c>
      <c r="J30" s="68">
        <f t="shared" ref="J30:S30" si="10">Direct_per_total_sale</f>
        <v>0.45008647026434345</v>
      </c>
      <c r="K30" s="68">
        <f t="shared" si="10"/>
        <v>0.45008647026434345</v>
      </c>
      <c r="L30" s="68">
        <f t="shared" si="10"/>
        <v>0.45008647026434345</v>
      </c>
      <c r="M30" s="68">
        <f t="shared" si="10"/>
        <v>0.45008647026434345</v>
      </c>
      <c r="N30" s="68">
        <f t="shared" si="10"/>
        <v>0.45008647026434345</v>
      </c>
      <c r="O30" s="68">
        <f t="shared" si="10"/>
        <v>0.45008647026434345</v>
      </c>
      <c r="P30" s="68">
        <f t="shared" si="10"/>
        <v>0.45008647026434345</v>
      </c>
      <c r="Q30" s="68">
        <f t="shared" si="10"/>
        <v>0.45008647026434345</v>
      </c>
      <c r="R30" s="68">
        <f t="shared" si="10"/>
        <v>0.45008647026434345</v>
      </c>
      <c r="S30" s="68">
        <f t="shared" si="10"/>
        <v>0.45008647026434345</v>
      </c>
      <c r="U30" s="78"/>
      <c r="Y30" s="78"/>
      <c r="AC30" s="78"/>
      <c r="AG30" s="78"/>
      <c r="AK30" s="78"/>
      <c r="AO30" s="78"/>
      <c r="AS30" s="78"/>
      <c r="AW30" s="78"/>
      <c r="BA30" s="78"/>
      <c r="BE30" s="78"/>
      <c r="BI30" s="78"/>
      <c r="BM30" s="78"/>
      <c r="BQ30" s="78"/>
      <c r="BU30" s="78"/>
      <c r="BY30" s="78"/>
      <c r="CC30" s="78"/>
      <c r="CG30" s="78"/>
      <c r="CK30" s="78"/>
      <c r="CO30" s="78"/>
      <c r="CS30" s="78"/>
      <c r="CW30" s="78"/>
      <c r="DA30" s="78"/>
      <c r="DE30" s="78"/>
      <c r="DI30" s="78"/>
      <c r="DM30" s="78"/>
      <c r="DQ30" s="78"/>
      <c r="DU30" s="78"/>
      <c r="DY30" s="78"/>
      <c r="EC30" s="78"/>
      <c r="EG30" s="78"/>
      <c r="EK30" s="78"/>
      <c r="EO30" s="78"/>
      <c r="ES30" s="78"/>
      <c r="EW30" s="78"/>
      <c r="FA30" s="78"/>
      <c r="FE30" s="78"/>
      <c r="FI30" s="78"/>
      <c r="FM30" s="78"/>
      <c r="FQ30" s="78"/>
      <c r="FU30" s="78"/>
      <c r="FY30" s="78"/>
      <c r="GC30" s="78"/>
      <c r="GG30" s="78"/>
      <c r="GK30" s="78"/>
      <c r="GO30" s="78"/>
      <c r="GS30" s="78"/>
      <c r="GW30" s="78"/>
      <c r="HA30" s="78"/>
      <c r="HE30" s="78"/>
      <c r="HI30" s="78"/>
      <c r="HM30" s="78"/>
      <c r="HQ30" s="78"/>
      <c r="HU30" s="78"/>
      <c r="HY30" s="78"/>
      <c r="IC30" s="78"/>
      <c r="IG30" s="78"/>
      <c r="IK30" s="78"/>
      <c r="IO30" s="78"/>
      <c r="IS30" s="78"/>
      <c r="IW30" s="78"/>
      <c r="JA30" s="78"/>
      <c r="JE30" s="78"/>
      <c r="JI30" s="78"/>
      <c r="JM30" s="78"/>
      <c r="JQ30" s="78"/>
      <c r="JU30" s="78"/>
      <c r="JY30" s="78"/>
      <c r="KC30" s="78"/>
      <c r="KG30" s="78"/>
      <c r="KK30" s="78"/>
      <c r="KO30" s="78"/>
      <c r="KS30" s="78"/>
      <c r="KW30" s="78"/>
      <c r="LA30" s="78"/>
      <c r="LE30" s="78"/>
      <c r="LI30" s="78"/>
      <c r="LM30" s="78"/>
      <c r="LQ30" s="78"/>
      <c r="LU30" s="78"/>
      <c r="LY30" s="78"/>
      <c r="MC30" s="78"/>
      <c r="MG30" s="78"/>
      <c r="MK30" s="78"/>
      <c r="MO30" s="78"/>
      <c r="MS30" s="78"/>
      <c r="MW30" s="78"/>
      <c r="NA30" s="78"/>
      <c r="NE30" s="78"/>
      <c r="NI30" s="78"/>
      <c r="NM30" s="78"/>
      <c r="NQ30" s="78"/>
      <c r="NU30" s="78"/>
      <c r="NY30" s="78"/>
      <c r="OC30" s="78"/>
      <c r="OG30" s="78"/>
      <c r="OK30" s="78"/>
      <c r="OO30" s="78"/>
      <c r="OS30" s="78"/>
      <c r="OW30" s="78"/>
      <c r="PA30" s="78"/>
      <c r="PE30" s="78"/>
      <c r="PI30" s="78"/>
      <c r="PM30" s="78"/>
      <c r="PQ30" s="78"/>
      <c r="PU30" s="78"/>
      <c r="PY30" s="78"/>
      <c r="QC30" s="78"/>
      <c r="QG30" s="78"/>
      <c r="QK30" s="78"/>
      <c r="QO30" s="78"/>
      <c r="QS30" s="78"/>
      <c r="QW30" s="78"/>
      <c r="RA30" s="78"/>
      <c r="RE30" s="78"/>
      <c r="RI30" s="78"/>
      <c r="RM30" s="78"/>
      <c r="RQ30" s="78"/>
      <c r="RU30" s="78"/>
      <c r="RY30" s="78"/>
      <c r="SC30" s="78"/>
      <c r="SG30" s="78"/>
      <c r="SK30" s="78"/>
      <c r="SO30" s="78"/>
      <c r="SS30" s="78"/>
      <c r="SW30" s="78"/>
      <c r="TA30" s="78"/>
      <c r="TE30" s="78"/>
      <c r="TI30" s="78"/>
      <c r="TM30" s="78"/>
      <c r="TQ30" s="78"/>
      <c r="TU30" s="78"/>
      <c r="TY30" s="78"/>
      <c r="UC30" s="78"/>
      <c r="UG30" s="78"/>
      <c r="UK30" s="78"/>
      <c r="UO30" s="78"/>
      <c r="US30" s="78"/>
      <c r="UW30" s="78"/>
      <c r="VA30" s="78"/>
      <c r="VE30" s="78"/>
      <c r="VI30" s="78"/>
      <c r="VM30" s="78"/>
      <c r="VQ30" s="78"/>
      <c r="VU30" s="78"/>
      <c r="VY30" s="78"/>
      <c r="WC30" s="78"/>
      <c r="WG30" s="78"/>
      <c r="WK30" s="78"/>
      <c r="WO30" s="78"/>
      <c r="WS30" s="78"/>
      <c r="WW30" s="78"/>
      <c r="XA30" s="78"/>
      <c r="XE30" s="78"/>
      <c r="XI30" s="78"/>
      <c r="XM30" s="78"/>
      <c r="XQ30" s="78"/>
      <c r="XU30" s="78"/>
      <c r="XY30" s="78"/>
      <c r="YC30" s="78"/>
      <c r="YG30" s="78"/>
      <c r="YK30" s="78"/>
      <c r="YO30" s="78"/>
      <c r="YS30" s="78"/>
      <c r="YW30" s="78"/>
      <c r="ZA30" s="78"/>
      <c r="ZE30" s="78"/>
      <c r="ZI30" s="78"/>
      <c r="ZM30" s="78"/>
      <c r="ZQ30" s="78"/>
      <c r="ZU30" s="78"/>
      <c r="ZY30" s="78"/>
      <c r="AAC30" s="78"/>
      <c r="AAG30" s="78"/>
      <c r="AAK30" s="78"/>
      <c r="AAO30" s="78"/>
      <c r="AAS30" s="78"/>
      <c r="AAW30" s="78"/>
      <c r="ABA30" s="78"/>
      <c r="ABE30" s="78"/>
      <c r="ABI30" s="78"/>
      <c r="ABM30" s="78"/>
      <c r="ABQ30" s="78"/>
      <c r="ABU30" s="78"/>
      <c r="ABY30" s="78"/>
      <c r="ACC30" s="78"/>
      <c r="ACG30" s="78"/>
      <c r="ACK30" s="78"/>
      <c r="ACO30" s="78"/>
      <c r="ACS30" s="78"/>
      <c r="ACW30" s="78"/>
      <c r="ADA30" s="78"/>
      <c r="ADE30" s="78"/>
      <c r="ADI30" s="78"/>
      <c r="ADM30" s="78"/>
      <c r="ADQ30" s="78"/>
      <c r="ADU30" s="78"/>
      <c r="ADY30" s="78"/>
      <c r="AEC30" s="78"/>
      <c r="AEG30" s="78"/>
      <c r="AEK30" s="78"/>
      <c r="AEO30" s="78"/>
      <c r="AES30" s="78"/>
      <c r="AEW30" s="78"/>
      <c r="AFA30" s="78"/>
      <c r="AFE30" s="78"/>
      <c r="AFI30" s="78"/>
      <c r="AFM30" s="78"/>
      <c r="AFQ30" s="78"/>
      <c r="AFU30" s="78"/>
      <c r="AFY30" s="78"/>
      <c r="AGC30" s="78"/>
      <c r="AGG30" s="78"/>
      <c r="AGK30" s="78"/>
      <c r="AGO30" s="78"/>
      <c r="AGS30" s="78"/>
      <c r="AGW30" s="78"/>
      <c r="AHA30" s="78"/>
      <c r="AHE30" s="78"/>
      <c r="AHI30" s="78"/>
      <c r="AHM30" s="78"/>
      <c r="AHQ30" s="78"/>
      <c r="AHU30" s="78"/>
      <c r="AHY30" s="78"/>
      <c r="AIC30" s="78"/>
      <c r="AIG30" s="78"/>
      <c r="AIK30" s="78"/>
      <c r="AIO30" s="78"/>
      <c r="AIS30" s="78"/>
      <c r="AIW30" s="78"/>
      <c r="AJA30" s="78"/>
      <c r="AJE30" s="78"/>
      <c r="AJI30" s="78"/>
      <c r="AJM30" s="78"/>
      <c r="AJQ30" s="78"/>
      <c r="AJU30" s="78"/>
      <c r="AJY30" s="78"/>
      <c r="AKC30" s="78"/>
      <c r="AKG30" s="78"/>
      <c r="AKK30" s="78"/>
      <c r="AKO30" s="78"/>
      <c r="AKS30" s="78"/>
      <c r="AKW30" s="78"/>
      <c r="ALA30" s="78"/>
      <c r="ALE30" s="78"/>
      <c r="ALI30" s="78"/>
      <c r="ALM30" s="78"/>
      <c r="ALQ30" s="78"/>
      <c r="ALU30" s="78"/>
      <c r="ALY30" s="78"/>
      <c r="AMC30" s="78"/>
      <c r="AMG30" s="78"/>
      <c r="AMK30" s="78"/>
      <c r="AMO30" s="78"/>
      <c r="AMS30" s="78"/>
      <c r="AMW30" s="78"/>
      <c r="ANA30" s="78"/>
      <c r="ANE30" s="78"/>
      <c r="ANI30" s="78"/>
      <c r="ANM30" s="78"/>
      <c r="ANQ30" s="78"/>
      <c r="ANU30" s="78"/>
      <c r="ANY30" s="78"/>
      <c r="AOC30" s="78"/>
      <c r="AOG30" s="78"/>
      <c r="AOK30" s="78"/>
      <c r="AOO30" s="78"/>
      <c r="AOS30" s="78"/>
      <c r="AOW30" s="78"/>
      <c r="APA30" s="78"/>
      <c r="APE30" s="78"/>
      <c r="API30" s="78"/>
      <c r="APM30" s="78"/>
      <c r="APQ30" s="78"/>
      <c r="APU30" s="78"/>
      <c r="APY30" s="78"/>
      <c r="AQC30" s="78"/>
      <c r="AQG30" s="78"/>
      <c r="AQK30" s="78"/>
      <c r="AQO30" s="78"/>
      <c r="AQS30" s="78"/>
      <c r="AQW30" s="78"/>
      <c r="ARA30" s="78"/>
      <c r="ARE30" s="78"/>
      <c r="ARI30" s="78"/>
      <c r="ARM30" s="78"/>
      <c r="ARQ30" s="78"/>
      <c r="ARU30" s="78"/>
      <c r="ARY30" s="78"/>
      <c r="ASC30" s="78"/>
      <c r="ASG30" s="78"/>
      <c r="ASK30" s="78"/>
      <c r="ASO30" s="78"/>
      <c r="ASS30" s="78"/>
      <c r="ASW30" s="78"/>
      <c r="ATA30" s="78"/>
      <c r="ATE30" s="78"/>
      <c r="ATI30" s="78"/>
      <c r="ATM30" s="78"/>
      <c r="ATQ30" s="78"/>
      <c r="ATU30" s="78"/>
      <c r="ATY30" s="78"/>
      <c r="AUC30" s="78"/>
      <c r="AUG30" s="78"/>
      <c r="AUK30" s="78"/>
      <c r="AUO30" s="78"/>
      <c r="AUS30" s="78"/>
      <c r="AUW30" s="78"/>
      <c r="AVA30" s="78"/>
      <c r="AVE30" s="78"/>
      <c r="AVI30" s="78"/>
      <c r="AVM30" s="78"/>
      <c r="AVQ30" s="78"/>
      <c r="AVU30" s="78"/>
      <c r="AVY30" s="78"/>
      <c r="AWC30" s="78"/>
      <c r="AWG30" s="78"/>
      <c r="AWK30" s="78"/>
      <c r="AWO30" s="78"/>
      <c r="AWS30" s="78"/>
      <c r="AWW30" s="78"/>
      <c r="AXA30" s="78"/>
      <c r="AXE30" s="78"/>
      <c r="AXI30" s="78"/>
      <c r="AXM30" s="78"/>
      <c r="AXQ30" s="78"/>
      <c r="AXU30" s="78"/>
      <c r="AXY30" s="78"/>
      <c r="AYC30" s="78"/>
      <c r="AYG30" s="78"/>
      <c r="AYK30" s="78"/>
      <c r="AYO30" s="78"/>
      <c r="AYS30" s="78"/>
      <c r="AYW30" s="78"/>
      <c r="AZA30" s="78"/>
      <c r="AZE30" s="78"/>
      <c r="AZI30" s="78"/>
      <c r="AZM30" s="78"/>
      <c r="AZQ30" s="78"/>
      <c r="AZU30" s="78"/>
      <c r="AZY30" s="78"/>
      <c r="BAC30" s="78"/>
      <c r="BAG30" s="78"/>
      <c r="BAK30" s="78"/>
      <c r="BAO30" s="78"/>
      <c r="BAS30" s="78"/>
      <c r="BAW30" s="78"/>
      <c r="BBA30" s="78"/>
      <c r="BBE30" s="78"/>
      <c r="BBI30" s="78"/>
      <c r="BBM30" s="78"/>
      <c r="BBQ30" s="78"/>
      <c r="BBU30" s="78"/>
      <c r="BBY30" s="78"/>
      <c r="BCC30" s="78"/>
      <c r="BCG30" s="78"/>
      <c r="BCK30" s="78"/>
      <c r="BCO30" s="78"/>
      <c r="BCS30" s="78"/>
      <c r="BCW30" s="78"/>
      <c r="BDA30" s="78"/>
      <c r="BDE30" s="78"/>
      <c r="BDI30" s="78"/>
      <c r="BDM30" s="78"/>
      <c r="BDQ30" s="78"/>
      <c r="BDU30" s="78"/>
      <c r="BDY30" s="78"/>
      <c r="BEC30" s="78"/>
      <c r="BEG30" s="78"/>
      <c r="BEK30" s="78"/>
      <c r="BEO30" s="78"/>
      <c r="BES30" s="78"/>
      <c r="BEW30" s="78"/>
      <c r="BFA30" s="78"/>
      <c r="BFE30" s="78"/>
      <c r="BFI30" s="78"/>
      <c r="BFM30" s="78"/>
      <c r="BFQ30" s="78"/>
      <c r="BFU30" s="78"/>
      <c r="BFY30" s="78"/>
      <c r="BGC30" s="78"/>
      <c r="BGG30" s="78"/>
      <c r="BGK30" s="78"/>
      <c r="BGO30" s="78"/>
      <c r="BGS30" s="78"/>
      <c r="BGW30" s="78"/>
      <c r="BHA30" s="78"/>
      <c r="BHE30" s="78"/>
      <c r="BHI30" s="78"/>
      <c r="BHM30" s="78"/>
      <c r="BHQ30" s="78"/>
      <c r="BHU30" s="78"/>
      <c r="BHY30" s="78"/>
      <c r="BIC30" s="78"/>
      <c r="BIG30" s="78"/>
      <c r="BIK30" s="78"/>
      <c r="BIO30" s="78"/>
      <c r="BIS30" s="78"/>
      <c r="BIW30" s="78"/>
      <c r="BJA30" s="78"/>
      <c r="BJE30" s="78"/>
      <c r="BJI30" s="78"/>
      <c r="BJM30" s="78"/>
      <c r="BJQ30" s="78"/>
      <c r="BJU30" s="78"/>
      <c r="BJY30" s="78"/>
      <c r="BKC30" s="78"/>
      <c r="BKG30" s="78"/>
      <c r="BKK30" s="78"/>
      <c r="BKO30" s="78"/>
      <c r="BKS30" s="78"/>
      <c r="BKW30" s="78"/>
      <c r="BLA30" s="78"/>
      <c r="BLE30" s="78"/>
      <c r="BLI30" s="78"/>
      <c r="BLM30" s="78"/>
      <c r="BLQ30" s="78"/>
      <c r="BLU30" s="78"/>
      <c r="BLY30" s="78"/>
      <c r="BMC30" s="78"/>
      <c r="BMG30" s="78"/>
      <c r="BMK30" s="78"/>
      <c r="BMO30" s="78"/>
      <c r="BMS30" s="78"/>
      <c r="BMW30" s="78"/>
      <c r="BNA30" s="78"/>
      <c r="BNE30" s="78"/>
      <c r="BNI30" s="78"/>
      <c r="BNM30" s="78"/>
      <c r="BNQ30" s="78"/>
      <c r="BNU30" s="78"/>
      <c r="BNY30" s="78"/>
      <c r="BOC30" s="78"/>
      <c r="BOG30" s="78"/>
      <c r="BOK30" s="78"/>
      <c r="BOO30" s="78"/>
      <c r="BOS30" s="78"/>
      <c r="BOW30" s="78"/>
      <c r="BPA30" s="78"/>
      <c r="BPE30" s="78"/>
      <c r="BPI30" s="78"/>
      <c r="BPM30" s="78"/>
      <c r="BPQ30" s="78"/>
      <c r="BPU30" s="78"/>
      <c r="BPY30" s="78"/>
      <c r="BQC30" s="78"/>
      <c r="BQG30" s="78"/>
      <c r="BQK30" s="78"/>
      <c r="BQO30" s="78"/>
      <c r="BQS30" s="78"/>
      <c r="BQW30" s="78"/>
      <c r="BRA30" s="78"/>
      <c r="BRE30" s="78"/>
      <c r="BRI30" s="78"/>
      <c r="BRM30" s="78"/>
      <c r="BRQ30" s="78"/>
      <c r="BRU30" s="78"/>
      <c r="BRY30" s="78"/>
      <c r="BSC30" s="78"/>
      <c r="BSG30" s="78"/>
      <c r="BSK30" s="78"/>
      <c r="BSO30" s="78"/>
      <c r="BSS30" s="78"/>
      <c r="BSW30" s="78"/>
      <c r="BTA30" s="78"/>
      <c r="BTE30" s="78"/>
      <c r="BTI30" s="78"/>
      <c r="BTM30" s="78"/>
      <c r="BTQ30" s="78"/>
      <c r="BTU30" s="78"/>
      <c r="BTY30" s="78"/>
      <c r="BUC30" s="78"/>
      <c r="BUG30" s="78"/>
      <c r="BUK30" s="78"/>
      <c r="BUO30" s="78"/>
      <c r="BUS30" s="78"/>
      <c r="BUW30" s="78"/>
      <c r="BVA30" s="78"/>
      <c r="BVE30" s="78"/>
      <c r="BVI30" s="78"/>
      <c r="BVM30" s="78"/>
      <c r="BVQ30" s="78"/>
      <c r="BVU30" s="78"/>
      <c r="BVY30" s="78"/>
      <c r="BWC30" s="78"/>
      <c r="BWG30" s="78"/>
      <c r="BWK30" s="78"/>
      <c r="BWO30" s="78"/>
      <c r="BWS30" s="78"/>
      <c r="BWW30" s="78"/>
      <c r="BXA30" s="78"/>
      <c r="BXE30" s="78"/>
      <c r="BXI30" s="78"/>
      <c r="BXM30" s="78"/>
      <c r="BXQ30" s="78"/>
      <c r="BXU30" s="78"/>
      <c r="BXY30" s="78"/>
      <c r="BYC30" s="78"/>
      <c r="BYG30" s="78"/>
      <c r="BYK30" s="78"/>
      <c r="BYO30" s="78"/>
      <c r="BYS30" s="78"/>
      <c r="BYW30" s="78"/>
      <c r="BZA30" s="78"/>
      <c r="BZE30" s="78"/>
      <c r="BZI30" s="78"/>
      <c r="BZM30" s="78"/>
      <c r="BZQ30" s="78"/>
      <c r="BZU30" s="78"/>
      <c r="BZY30" s="78"/>
      <c r="CAC30" s="78"/>
      <c r="CAG30" s="78"/>
      <c r="CAK30" s="78"/>
      <c r="CAO30" s="78"/>
      <c r="CAS30" s="78"/>
      <c r="CAW30" s="78"/>
      <c r="CBA30" s="78"/>
      <c r="CBE30" s="78"/>
      <c r="CBI30" s="78"/>
      <c r="CBM30" s="78"/>
      <c r="CBQ30" s="78"/>
      <c r="CBU30" s="78"/>
      <c r="CBY30" s="78"/>
      <c r="CCC30" s="78"/>
      <c r="CCG30" s="78"/>
      <c r="CCK30" s="78"/>
      <c r="CCO30" s="78"/>
      <c r="CCS30" s="78"/>
      <c r="CCW30" s="78"/>
      <c r="CDA30" s="78"/>
      <c r="CDE30" s="78"/>
      <c r="CDI30" s="78"/>
      <c r="CDM30" s="78"/>
      <c r="CDQ30" s="78"/>
      <c r="CDU30" s="78"/>
      <c r="CDY30" s="78"/>
      <c r="CEC30" s="78"/>
      <c r="CEG30" s="78"/>
      <c r="CEK30" s="78"/>
      <c r="CEO30" s="78"/>
      <c r="CES30" s="78"/>
      <c r="CEW30" s="78"/>
      <c r="CFA30" s="78"/>
      <c r="CFE30" s="78"/>
      <c r="CFI30" s="78"/>
      <c r="CFM30" s="78"/>
      <c r="CFQ30" s="78"/>
      <c r="CFU30" s="78"/>
      <c r="CFY30" s="78"/>
      <c r="CGC30" s="78"/>
      <c r="CGG30" s="78"/>
      <c r="CGK30" s="78"/>
      <c r="CGO30" s="78"/>
      <c r="CGS30" s="78"/>
      <c r="CGW30" s="78"/>
      <c r="CHA30" s="78"/>
      <c r="CHE30" s="78"/>
      <c r="CHI30" s="78"/>
      <c r="CHM30" s="78"/>
      <c r="CHQ30" s="78"/>
      <c r="CHU30" s="78"/>
      <c r="CHY30" s="78"/>
      <c r="CIC30" s="78"/>
      <c r="CIG30" s="78"/>
      <c r="CIK30" s="78"/>
      <c r="CIO30" s="78"/>
      <c r="CIS30" s="78"/>
      <c r="CIW30" s="78"/>
      <c r="CJA30" s="78"/>
      <c r="CJE30" s="78"/>
      <c r="CJI30" s="78"/>
      <c r="CJM30" s="78"/>
      <c r="CJQ30" s="78"/>
      <c r="CJU30" s="78"/>
      <c r="CJY30" s="78"/>
      <c r="CKC30" s="78"/>
      <c r="CKG30" s="78"/>
      <c r="CKK30" s="78"/>
      <c r="CKO30" s="78"/>
      <c r="CKS30" s="78"/>
      <c r="CKW30" s="78"/>
      <c r="CLA30" s="78"/>
      <c r="CLE30" s="78"/>
      <c r="CLI30" s="78"/>
      <c r="CLM30" s="78"/>
      <c r="CLQ30" s="78"/>
      <c r="CLU30" s="78"/>
      <c r="CLY30" s="78"/>
      <c r="CMC30" s="78"/>
      <c r="CMG30" s="78"/>
      <c r="CMK30" s="78"/>
      <c r="CMO30" s="78"/>
      <c r="CMS30" s="78"/>
      <c r="CMW30" s="78"/>
      <c r="CNA30" s="78"/>
      <c r="CNE30" s="78"/>
      <c r="CNI30" s="78"/>
      <c r="CNM30" s="78"/>
      <c r="CNQ30" s="78"/>
      <c r="CNU30" s="78"/>
      <c r="CNY30" s="78"/>
      <c r="COC30" s="78"/>
      <c r="COG30" s="78"/>
      <c r="COK30" s="78"/>
      <c r="COO30" s="78"/>
      <c r="COS30" s="78"/>
      <c r="COW30" s="78"/>
      <c r="CPA30" s="78"/>
      <c r="CPE30" s="78"/>
      <c r="CPI30" s="78"/>
      <c r="CPM30" s="78"/>
      <c r="CPQ30" s="78"/>
      <c r="CPU30" s="78"/>
      <c r="CPY30" s="78"/>
      <c r="CQC30" s="78"/>
      <c r="CQG30" s="78"/>
      <c r="CQK30" s="78"/>
      <c r="CQO30" s="78"/>
      <c r="CQS30" s="78"/>
      <c r="CQW30" s="78"/>
      <c r="CRA30" s="78"/>
      <c r="CRE30" s="78"/>
      <c r="CRI30" s="78"/>
      <c r="CRM30" s="78"/>
      <c r="CRQ30" s="78"/>
      <c r="CRU30" s="78"/>
      <c r="CRY30" s="78"/>
      <c r="CSC30" s="78"/>
      <c r="CSG30" s="78"/>
      <c r="CSK30" s="78"/>
      <c r="CSO30" s="78"/>
      <c r="CSS30" s="78"/>
      <c r="CSW30" s="78"/>
      <c r="CTA30" s="78"/>
      <c r="CTE30" s="78"/>
      <c r="CTI30" s="78"/>
      <c r="CTM30" s="78"/>
      <c r="CTQ30" s="78"/>
      <c r="CTU30" s="78"/>
      <c r="CTY30" s="78"/>
      <c r="CUC30" s="78"/>
      <c r="CUG30" s="78"/>
      <c r="CUK30" s="78"/>
      <c r="CUO30" s="78"/>
      <c r="CUS30" s="78"/>
      <c r="CUW30" s="78"/>
      <c r="CVA30" s="78"/>
      <c r="CVE30" s="78"/>
      <c r="CVI30" s="78"/>
      <c r="CVM30" s="78"/>
      <c r="CVQ30" s="78"/>
      <c r="CVU30" s="78"/>
      <c r="CVY30" s="78"/>
      <c r="CWC30" s="78"/>
      <c r="CWG30" s="78"/>
      <c r="CWK30" s="78"/>
      <c r="CWO30" s="78"/>
      <c r="CWS30" s="78"/>
      <c r="CWW30" s="78"/>
      <c r="CXA30" s="78"/>
      <c r="CXE30" s="78"/>
      <c r="CXI30" s="78"/>
      <c r="CXM30" s="78"/>
      <c r="CXQ30" s="78"/>
      <c r="CXU30" s="78"/>
      <c r="CXY30" s="78"/>
      <c r="CYC30" s="78"/>
      <c r="CYG30" s="78"/>
      <c r="CYK30" s="78"/>
      <c r="CYO30" s="78"/>
      <c r="CYS30" s="78"/>
      <c r="CYW30" s="78"/>
      <c r="CZA30" s="78"/>
      <c r="CZE30" s="78"/>
      <c r="CZI30" s="78"/>
      <c r="CZM30" s="78"/>
      <c r="CZQ30" s="78"/>
      <c r="CZU30" s="78"/>
      <c r="CZY30" s="78"/>
      <c r="DAC30" s="78"/>
      <c r="DAG30" s="78"/>
      <c r="DAK30" s="78"/>
      <c r="DAO30" s="78"/>
      <c r="DAS30" s="78"/>
      <c r="DAW30" s="78"/>
      <c r="DBA30" s="78"/>
      <c r="DBE30" s="78"/>
      <c r="DBI30" s="78"/>
      <c r="DBM30" s="78"/>
      <c r="DBQ30" s="78"/>
      <c r="DBU30" s="78"/>
      <c r="DBY30" s="78"/>
      <c r="DCC30" s="78"/>
      <c r="DCG30" s="78"/>
      <c r="DCK30" s="78"/>
      <c r="DCO30" s="78"/>
      <c r="DCS30" s="78"/>
      <c r="DCW30" s="78"/>
      <c r="DDA30" s="78"/>
      <c r="DDE30" s="78"/>
      <c r="DDI30" s="78"/>
      <c r="DDM30" s="78"/>
      <c r="DDQ30" s="78"/>
      <c r="DDU30" s="78"/>
      <c r="DDY30" s="78"/>
      <c r="DEC30" s="78"/>
      <c r="DEG30" s="78"/>
      <c r="DEK30" s="78"/>
      <c r="DEO30" s="78"/>
      <c r="DES30" s="78"/>
      <c r="DEW30" s="78"/>
      <c r="DFA30" s="78"/>
      <c r="DFE30" s="78"/>
      <c r="DFI30" s="78"/>
      <c r="DFM30" s="78"/>
      <c r="DFQ30" s="78"/>
      <c r="DFU30" s="78"/>
      <c r="DFY30" s="78"/>
      <c r="DGC30" s="78"/>
      <c r="DGG30" s="78"/>
      <c r="DGK30" s="78"/>
      <c r="DGO30" s="78"/>
      <c r="DGS30" s="78"/>
      <c r="DGW30" s="78"/>
      <c r="DHA30" s="78"/>
      <c r="DHE30" s="78"/>
      <c r="DHI30" s="78"/>
      <c r="DHM30" s="78"/>
      <c r="DHQ30" s="78"/>
      <c r="DHU30" s="78"/>
      <c r="DHY30" s="78"/>
      <c r="DIC30" s="78"/>
      <c r="DIG30" s="78"/>
      <c r="DIK30" s="78"/>
      <c r="DIO30" s="78"/>
      <c r="DIS30" s="78"/>
      <c r="DIW30" s="78"/>
      <c r="DJA30" s="78"/>
      <c r="DJE30" s="78"/>
      <c r="DJI30" s="78"/>
      <c r="DJM30" s="78"/>
      <c r="DJQ30" s="78"/>
      <c r="DJU30" s="78"/>
      <c r="DJY30" s="78"/>
      <c r="DKC30" s="78"/>
      <c r="DKG30" s="78"/>
      <c r="DKK30" s="78"/>
      <c r="DKO30" s="78"/>
      <c r="DKS30" s="78"/>
      <c r="DKW30" s="78"/>
      <c r="DLA30" s="78"/>
      <c r="DLE30" s="78"/>
      <c r="DLI30" s="78"/>
      <c r="DLM30" s="78"/>
      <c r="DLQ30" s="78"/>
      <c r="DLU30" s="78"/>
      <c r="DLY30" s="78"/>
      <c r="DMC30" s="78"/>
      <c r="DMG30" s="78"/>
      <c r="DMK30" s="78"/>
      <c r="DMO30" s="78"/>
      <c r="DMS30" s="78"/>
      <c r="DMW30" s="78"/>
      <c r="DNA30" s="78"/>
      <c r="DNE30" s="78"/>
      <c r="DNI30" s="78"/>
      <c r="DNM30" s="78"/>
      <c r="DNQ30" s="78"/>
      <c r="DNU30" s="78"/>
      <c r="DNY30" s="78"/>
      <c r="DOC30" s="78"/>
      <c r="DOG30" s="78"/>
      <c r="DOK30" s="78"/>
      <c r="DOO30" s="78"/>
      <c r="DOS30" s="78"/>
      <c r="DOW30" s="78"/>
      <c r="DPA30" s="78"/>
      <c r="DPE30" s="78"/>
      <c r="DPI30" s="78"/>
      <c r="DPM30" s="78"/>
      <c r="DPQ30" s="78"/>
      <c r="DPU30" s="78"/>
      <c r="DPY30" s="78"/>
      <c r="DQC30" s="78"/>
      <c r="DQG30" s="78"/>
      <c r="DQK30" s="78"/>
      <c r="DQO30" s="78"/>
      <c r="DQS30" s="78"/>
      <c r="DQW30" s="78"/>
      <c r="DRA30" s="78"/>
      <c r="DRE30" s="78"/>
      <c r="DRI30" s="78"/>
      <c r="DRM30" s="78"/>
      <c r="DRQ30" s="78"/>
      <c r="DRU30" s="78"/>
      <c r="DRY30" s="78"/>
      <c r="DSC30" s="78"/>
      <c r="DSG30" s="78"/>
      <c r="DSK30" s="78"/>
      <c r="DSO30" s="78"/>
      <c r="DSS30" s="78"/>
      <c r="DSW30" s="78"/>
      <c r="DTA30" s="78"/>
      <c r="DTE30" s="78"/>
      <c r="DTI30" s="78"/>
      <c r="DTM30" s="78"/>
      <c r="DTQ30" s="78"/>
      <c r="DTU30" s="78"/>
      <c r="DTY30" s="78"/>
      <c r="DUC30" s="78"/>
      <c r="DUG30" s="78"/>
      <c r="DUK30" s="78"/>
      <c r="DUO30" s="78"/>
      <c r="DUS30" s="78"/>
      <c r="DUW30" s="78"/>
      <c r="DVA30" s="78"/>
      <c r="DVE30" s="78"/>
      <c r="DVI30" s="78"/>
      <c r="DVM30" s="78"/>
      <c r="DVQ30" s="78"/>
      <c r="DVU30" s="78"/>
      <c r="DVY30" s="78"/>
      <c r="DWC30" s="78"/>
      <c r="DWG30" s="78"/>
      <c r="DWK30" s="78"/>
      <c r="DWO30" s="78"/>
      <c r="DWS30" s="78"/>
      <c r="DWW30" s="78"/>
      <c r="DXA30" s="78"/>
      <c r="DXE30" s="78"/>
      <c r="DXI30" s="78"/>
      <c r="DXM30" s="78"/>
      <c r="DXQ30" s="78"/>
      <c r="DXU30" s="78"/>
      <c r="DXY30" s="78"/>
      <c r="DYC30" s="78"/>
      <c r="DYG30" s="78"/>
      <c r="DYK30" s="78"/>
      <c r="DYO30" s="78"/>
      <c r="DYS30" s="78"/>
      <c r="DYW30" s="78"/>
      <c r="DZA30" s="78"/>
      <c r="DZE30" s="78"/>
      <c r="DZI30" s="78"/>
      <c r="DZM30" s="78"/>
      <c r="DZQ30" s="78"/>
      <c r="DZU30" s="78"/>
      <c r="DZY30" s="78"/>
      <c r="EAC30" s="78"/>
      <c r="EAG30" s="78"/>
      <c r="EAK30" s="78"/>
      <c r="EAO30" s="78"/>
      <c r="EAS30" s="78"/>
      <c r="EAW30" s="78"/>
      <c r="EBA30" s="78"/>
      <c r="EBE30" s="78"/>
      <c r="EBI30" s="78"/>
      <c r="EBM30" s="78"/>
      <c r="EBQ30" s="78"/>
      <c r="EBU30" s="78"/>
      <c r="EBY30" s="78"/>
      <c r="ECC30" s="78"/>
      <c r="ECG30" s="78"/>
      <c r="ECK30" s="78"/>
      <c r="ECO30" s="78"/>
      <c r="ECS30" s="78"/>
      <c r="ECW30" s="78"/>
      <c r="EDA30" s="78"/>
      <c r="EDE30" s="78"/>
      <c r="EDI30" s="78"/>
      <c r="EDM30" s="78"/>
      <c r="EDQ30" s="78"/>
      <c r="EDU30" s="78"/>
      <c r="EDY30" s="78"/>
      <c r="EEC30" s="78"/>
      <c r="EEG30" s="78"/>
      <c r="EEK30" s="78"/>
      <c r="EEO30" s="78"/>
      <c r="EES30" s="78"/>
      <c r="EEW30" s="78"/>
      <c r="EFA30" s="78"/>
      <c r="EFE30" s="78"/>
      <c r="EFI30" s="78"/>
      <c r="EFM30" s="78"/>
      <c r="EFQ30" s="78"/>
      <c r="EFU30" s="78"/>
      <c r="EFY30" s="78"/>
      <c r="EGC30" s="78"/>
      <c r="EGG30" s="78"/>
      <c r="EGK30" s="78"/>
      <c r="EGO30" s="78"/>
      <c r="EGS30" s="78"/>
      <c r="EGW30" s="78"/>
      <c r="EHA30" s="78"/>
      <c r="EHE30" s="78"/>
      <c r="EHI30" s="78"/>
      <c r="EHM30" s="78"/>
      <c r="EHQ30" s="78"/>
      <c r="EHU30" s="78"/>
      <c r="EHY30" s="78"/>
      <c r="EIC30" s="78"/>
      <c r="EIG30" s="78"/>
      <c r="EIK30" s="78"/>
      <c r="EIO30" s="78"/>
      <c r="EIS30" s="78"/>
      <c r="EIW30" s="78"/>
      <c r="EJA30" s="78"/>
      <c r="EJE30" s="78"/>
      <c r="EJI30" s="78"/>
      <c r="EJM30" s="78"/>
      <c r="EJQ30" s="78"/>
      <c r="EJU30" s="78"/>
      <c r="EJY30" s="78"/>
      <c r="EKC30" s="78"/>
      <c r="EKG30" s="78"/>
      <c r="EKK30" s="78"/>
      <c r="EKO30" s="78"/>
      <c r="EKS30" s="78"/>
      <c r="EKW30" s="78"/>
      <c r="ELA30" s="78"/>
      <c r="ELE30" s="78"/>
      <c r="ELI30" s="78"/>
      <c r="ELM30" s="78"/>
      <c r="ELQ30" s="78"/>
      <c r="ELU30" s="78"/>
      <c r="ELY30" s="78"/>
      <c r="EMC30" s="78"/>
      <c r="EMG30" s="78"/>
      <c r="EMK30" s="78"/>
      <c r="EMO30" s="78"/>
      <c r="EMS30" s="78"/>
      <c r="EMW30" s="78"/>
      <c r="ENA30" s="78"/>
      <c r="ENE30" s="78"/>
      <c r="ENI30" s="78"/>
      <c r="ENM30" s="78"/>
      <c r="ENQ30" s="78"/>
      <c r="ENU30" s="78"/>
      <c r="ENY30" s="78"/>
      <c r="EOC30" s="78"/>
      <c r="EOG30" s="78"/>
      <c r="EOK30" s="78"/>
      <c r="EOO30" s="78"/>
      <c r="EOS30" s="78"/>
      <c r="EOW30" s="78"/>
      <c r="EPA30" s="78"/>
      <c r="EPE30" s="78"/>
      <c r="EPI30" s="78"/>
      <c r="EPM30" s="78"/>
      <c r="EPQ30" s="78"/>
      <c r="EPU30" s="78"/>
      <c r="EPY30" s="78"/>
      <c r="EQC30" s="78"/>
      <c r="EQG30" s="78"/>
      <c r="EQK30" s="78"/>
      <c r="EQO30" s="78"/>
      <c r="EQS30" s="78"/>
      <c r="EQW30" s="78"/>
      <c r="ERA30" s="78"/>
      <c r="ERE30" s="78"/>
      <c r="ERI30" s="78"/>
      <c r="ERM30" s="78"/>
      <c r="ERQ30" s="78"/>
      <c r="ERU30" s="78"/>
      <c r="ERY30" s="78"/>
      <c r="ESC30" s="78"/>
      <c r="ESG30" s="78"/>
      <c r="ESK30" s="78"/>
      <c r="ESO30" s="78"/>
      <c r="ESS30" s="78"/>
      <c r="ESW30" s="78"/>
      <c r="ETA30" s="78"/>
      <c r="ETE30" s="78"/>
      <c r="ETI30" s="78"/>
      <c r="ETM30" s="78"/>
      <c r="ETQ30" s="78"/>
      <c r="ETU30" s="78"/>
      <c r="ETY30" s="78"/>
      <c r="EUC30" s="78"/>
      <c r="EUG30" s="78"/>
      <c r="EUK30" s="78"/>
      <c r="EUO30" s="78"/>
      <c r="EUS30" s="78"/>
      <c r="EUW30" s="78"/>
      <c r="EVA30" s="78"/>
      <c r="EVE30" s="78"/>
      <c r="EVI30" s="78"/>
      <c r="EVM30" s="78"/>
      <c r="EVQ30" s="78"/>
      <c r="EVU30" s="78"/>
      <c r="EVY30" s="78"/>
      <c r="EWC30" s="78"/>
      <c r="EWG30" s="78"/>
      <c r="EWK30" s="78"/>
      <c r="EWO30" s="78"/>
      <c r="EWS30" s="78"/>
      <c r="EWW30" s="78"/>
      <c r="EXA30" s="78"/>
      <c r="EXE30" s="78"/>
      <c r="EXI30" s="78"/>
      <c r="EXM30" s="78"/>
      <c r="EXQ30" s="78"/>
      <c r="EXU30" s="78"/>
      <c r="EXY30" s="78"/>
      <c r="EYC30" s="78"/>
      <c r="EYG30" s="78"/>
      <c r="EYK30" s="78"/>
      <c r="EYO30" s="78"/>
      <c r="EYS30" s="78"/>
      <c r="EYW30" s="78"/>
      <c r="EZA30" s="78"/>
      <c r="EZE30" s="78"/>
      <c r="EZI30" s="78"/>
      <c r="EZM30" s="78"/>
      <c r="EZQ30" s="78"/>
      <c r="EZU30" s="78"/>
      <c r="EZY30" s="78"/>
      <c r="FAC30" s="78"/>
      <c r="FAG30" s="78"/>
      <c r="FAK30" s="78"/>
      <c r="FAO30" s="78"/>
      <c r="FAS30" s="78"/>
      <c r="FAW30" s="78"/>
      <c r="FBA30" s="78"/>
      <c r="FBE30" s="78"/>
      <c r="FBI30" s="78"/>
      <c r="FBM30" s="78"/>
      <c r="FBQ30" s="78"/>
      <c r="FBU30" s="78"/>
      <c r="FBY30" s="78"/>
      <c r="FCC30" s="78"/>
      <c r="FCG30" s="78"/>
      <c r="FCK30" s="78"/>
      <c r="FCO30" s="78"/>
      <c r="FCS30" s="78"/>
      <c r="FCW30" s="78"/>
      <c r="FDA30" s="78"/>
      <c r="FDE30" s="78"/>
      <c r="FDI30" s="78"/>
      <c r="FDM30" s="78"/>
      <c r="FDQ30" s="78"/>
      <c r="FDU30" s="78"/>
      <c r="FDY30" s="78"/>
      <c r="FEC30" s="78"/>
      <c r="FEG30" s="78"/>
      <c r="FEK30" s="78"/>
      <c r="FEO30" s="78"/>
      <c r="FES30" s="78"/>
      <c r="FEW30" s="78"/>
      <c r="FFA30" s="78"/>
      <c r="FFE30" s="78"/>
      <c r="FFI30" s="78"/>
      <c r="FFM30" s="78"/>
      <c r="FFQ30" s="78"/>
      <c r="FFU30" s="78"/>
      <c r="FFY30" s="78"/>
      <c r="FGC30" s="78"/>
      <c r="FGG30" s="78"/>
      <c r="FGK30" s="78"/>
      <c r="FGO30" s="78"/>
      <c r="FGS30" s="78"/>
      <c r="FGW30" s="78"/>
      <c r="FHA30" s="78"/>
      <c r="FHE30" s="78"/>
      <c r="FHI30" s="78"/>
      <c r="FHM30" s="78"/>
      <c r="FHQ30" s="78"/>
      <c r="FHU30" s="78"/>
      <c r="FHY30" s="78"/>
      <c r="FIC30" s="78"/>
      <c r="FIG30" s="78"/>
      <c r="FIK30" s="78"/>
      <c r="FIO30" s="78"/>
      <c r="FIS30" s="78"/>
      <c r="FIW30" s="78"/>
      <c r="FJA30" s="78"/>
      <c r="FJE30" s="78"/>
      <c r="FJI30" s="78"/>
      <c r="FJM30" s="78"/>
      <c r="FJQ30" s="78"/>
      <c r="FJU30" s="78"/>
      <c r="FJY30" s="78"/>
      <c r="FKC30" s="78"/>
      <c r="FKG30" s="78"/>
      <c r="FKK30" s="78"/>
      <c r="FKO30" s="78"/>
      <c r="FKS30" s="78"/>
      <c r="FKW30" s="78"/>
      <c r="FLA30" s="78"/>
      <c r="FLE30" s="78"/>
      <c r="FLI30" s="78"/>
      <c r="FLM30" s="78"/>
      <c r="FLQ30" s="78"/>
      <c r="FLU30" s="78"/>
      <c r="FLY30" s="78"/>
      <c r="FMC30" s="78"/>
      <c r="FMG30" s="78"/>
      <c r="FMK30" s="78"/>
      <c r="FMO30" s="78"/>
      <c r="FMS30" s="78"/>
      <c r="FMW30" s="78"/>
      <c r="FNA30" s="78"/>
      <c r="FNE30" s="78"/>
      <c r="FNI30" s="78"/>
      <c r="FNM30" s="78"/>
      <c r="FNQ30" s="78"/>
      <c r="FNU30" s="78"/>
      <c r="FNY30" s="78"/>
      <c r="FOC30" s="78"/>
      <c r="FOG30" s="78"/>
      <c r="FOK30" s="78"/>
      <c r="FOO30" s="78"/>
      <c r="FOS30" s="78"/>
      <c r="FOW30" s="78"/>
      <c r="FPA30" s="78"/>
      <c r="FPE30" s="78"/>
      <c r="FPI30" s="78"/>
      <c r="FPM30" s="78"/>
      <c r="FPQ30" s="78"/>
      <c r="FPU30" s="78"/>
      <c r="FPY30" s="78"/>
      <c r="FQC30" s="78"/>
      <c r="FQG30" s="78"/>
      <c r="FQK30" s="78"/>
      <c r="FQO30" s="78"/>
      <c r="FQS30" s="78"/>
      <c r="FQW30" s="78"/>
      <c r="FRA30" s="78"/>
      <c r="FRE30" s="78"/>
      <c r="FRI30" s="78"/>
      <c r="FRM30" s="78"/>
      <c r="FRQ30" s="78"/>
      <c r="FRU30" s="78"/>
      <c r="FRY30" s="78"/>
      <c r="FSC30" s="78"/>
      <c r="FSG30" s="78"/>
      <c r="FSK30" s="78"/>
      <c r="FSO30" s="78"/>
      <c r="FSS30" s="78"/>
      <c r="FSW30" s="78"/>
      <c r="FTA30" s="78"/>
      <c r="FTE30" s="78"/>
      <c r="FTI30" s="78"/>
      <c r="FTM30" s="78"/>
      <c r="FTQ30" s="78"/>
      <c r="FTU30" s="78"/>
      <c r="FTY30" s="78"/>
      <c r="FUC30" s="78"/>
      <c r="FUG30" s="78"/>
      <c r="FUK30" s="78"/>
      <c r="FUO30" s="78"/>
      <c r="FUS30" s="78"/>
      <c r="FUW30" s="78"/>
      <c r="FVA30" s="78"/>
      <c r="FVE30" s="78"/>
      <c r="FVI30" s="78"/>
      <c r="FVM30" s="78"/>
      <c r="FVQ30" s="78"/>
      <c r="FVU30" s="78"/>
      <c r="FVY30" s="78"/>
      <c r="FWC30" s="78"/>
      <c r="FWG30" s="78"/>
      <c r="FWK30" s="78"/>
      <c r="FWO30" s="78"/>
      <c r="FWS30" s="78"/>
      <c r="FWW30" s="78"/>
      <c r="FXA30" s="78"/>
      <c r="FXE30" s="78"/>
      <c r="FXI30" s="78"/>
      <c r="FXM30" s="78"/>
      <c r="FXQ30" s="78"/>
      <c r="FXU30" s="78"/>
      <c r="FXY30" s="78"/>
      <c r="FYC30" s="78"/>
      <c r="FYG30" s="78"/>
      <c r="FYK30" s="78"/>
      <c r="FYO30" s="78"/>
      <c r="FYS30" s="78"/>
      <c r="FYW30" s="78"/>
      <c r="FZA30" s="78"/>
      <c r="FZE30" s="78"/>
      <c r="FZI30" s="78"/>
      <c r="FZM30" s="78"/>
      <c r="FZQ30" s="78"/>
      <c r="FZU30" s="78"/>
      <c r="FZY30" s="78"/>
      <c r="GAC30" s="78"/>
      <c r="GAG30" s="78"/>
      <c r="GAK30" s="78"/>
      <c r="GAO30" s="78"/>
      <c r="GAS30" s="78"/>
      <c r="GAW30" s="78"/>
      <c r="GBA30" s="78"/>
      <c r="GBE30" s="78"/>
      <c r="GBI30" s="78"/>
      <c r="GBM30" s="78"/>
      <c r="GBQ30" s="78"/>
      <c r="GBU30" s="78"/>
      <c r="GBY30" s="78"/>
      <c r="GCC30" s="78"/>
      <c r="GCG30" s="78"/>
      <c r="GCK30" s="78"/>
      <c r="GCO30" s="78"/>
      <c r="GCS30" s="78"/>
      <c r="GCW30" s="78"/>
      <c r="GDA30" s="78"/>
      <c r="GDE30" s="78"/>
      <c r="GDI30" s="78"/>
      <c r="GDM30" s="78"/>
      <c r="GDQ30" s="78"/>
      <c r="GDU30" s="78"/>
      <c r="GDY30" s="78"/>
      <c r="GEC30" s="78"/>
      <c r="GEG30" s="78"/>
      <c r="GEK30" s="78"/>
      <c r="GEO30" s="78"/>
      <c r="GES30" s="78"/>
      <c r="GEW30" s="78"/>
      <c r="GFA30" s="78"/>
      <c r="GFE30" s="78"/>
      <c r="GFI30" s="78"/>
      <c r="GFM30" s="78"/>
      <c r="GFQ30" s="78"/>
      <c r="GFU30" s="78"/>
      <c r="GFY30" s="78"/>
      <c r="GGC30" s="78"/>
      <c r="GGG30" s="78"/>
      <c r="GGK30" s="78"/>
      <c r="GGO30" s="78"/>
      <c r="GGS30" s="78"/>
      <c r="GGW30" s="78"/>
      <c r="GHA30" s="78"/>
      <c r="GHE30" s="78"/>
      <c r="GHI30" s="78"/>
      <c r="GHM30" s="78"/>
      <c r="GHQ30" s="78"/>
      <c r="GHU30" s="78"/>
      <c r="GHY30" s="78"/>
      <c r="GIC30" s="78"/>
      <c r="GIG30" s="78"/>
      <c r="GIK30" s="78"/>
      <c r="GIO30" s="78"/>
      <c r="GIS30" s="78"/>
      <c r="GIW30" s="78"/>
      <c r="GJA30" s="78"/>
      <c r="GJE30" s="78"/>
      <c r="GJI30" s="78"/>
      <c r="GJM30" s="78"/>
      <c r="GJQ30" s="78"/>
      <c r="GJU30" s="78"/>
      <c r="GJY30" s="78"/>
      <c r="GKC30" s="78"/>
      <c r="GKG30" s="78"/>
      <c r="GKK30" s="78"/>
      <c r="GKO30" s="78"/>
      <c r="GKS30" s="78"/>
      <c r="GKW30" s="78"/>
      <c r="GLA30" s="78"/>
      <c r="GLE30" s="78"/>
      <c r="GLI30" s="78"/>
      <c r="GLM30" s="78"/>
      <c r="GLQ30" s="78"/>
      <c r="GLU30" s="78"/>
      <c r="GLY30" s="78"/>
      <c r="GMC30" s="78"/>
      <c r="GMG30" s="78"/>
      <c r="GMK30" s="78"/>
      <c r="GMO30" s="78"/>
      <c r="GMS30" s="78"/>
      <c r="GMW30" s="78"/>
      <c r="GNA30" s="78"/>
      <c r="GNE30" s="78"/>
      <c r="GNI30" s="78"/>
      <c r="GNM30" s="78"/>
      <c r="GNQ30" s="78"/>
      <c r="GNU30" s="78"/>
      <c r="GNY30" s="78"/>
      <c r="GOC30" s="78"/>
      <c r="GOG30" s="78"/>
      <c r="GOK30" s="78"/>
      <c r="GOO30" s="78"/>
      <c r="GOS30" s="78"/>
      <c r="GOW30" s="78"/>
      <c r="GPA30" s="78"/>
      <c r="GPE30" s="78"/>
      <c r="GPI30" s="78"/>
      <c r="GPM30" s="78"/>
      <c r="GPQ30" s="78"/>
      <c r="GPU30" s="78"/>
      <c r="GPY30" s="78"/>
      <c r="GQC30" s="78"/>
      <c r="GQG30" s="78"/>
      <c r="GQK30" s="78"/>
      <c r="GQO30" s="78"/>
      <c r="GQS30" s="78"/>
      <c r="GQW30" s="78"/>
      <c r="GRA30" s="78"/>
      <c r="GRE30" s="78"/>
      <c r="GRI30" s="78"/>
      <c r="GRM30" s="78"/>
      <c r="GRQ30" s="78"/>
      <c r="GRU30" s="78"/>
      <c r="GRY30" s="78"/>
      <c r="GSC30" s="78"/>
      <c r="GSG30" s="78"/>
      <c r="GSK30" s="78"/>
      <c r="GSO30" s="78"/>
      <c r="GSS30" s="78"/>
      <c r="GSW30" s="78"/>
      <c r="GTA30" s="78"/>
      <c r="GTE30" s="78"/>
      <c r="GTI30" s="78"/>
      <c r="GTM30" s="78"/>
      <c r="GTQ30" s="78"/>
      <c r="GTU30" s="78"/>
      <c r="GTY30" s="78"/>
      <c r="GUC30" s="78"/>
      <c r="GUG30" s="78"/>
      <c r="GUK30" s="78"/>
      <c r="GUO30" s="78"/>
      <c r="GUS30" s="78"/>
      <c r="GUW30" s="78"/>
      <c r="GVA30" s="78"/>
      <c r="GVE30" s="78"/>
      <c r="GVI30" s="78"/>
      <c r="GVM30" s="78"/>
      <c r="GVQ30" s="78"/>
      <c r="GVU30" s="78"/>
      <c r="GVY30" s="78"/>
      <c r="GWC30" s="78"/>
      <c r="GWG30" s="78"/>
      <c r="GWK30" s="78"/>
      <c r="GWO30" s="78"/>
      <c r="GWS30" s="78"/>
      <c r="GWW30" s="78"/>
      <c r="GXA30" s="78"/>
      <c r="GXE30" s="78"/>
      <c r="GXI30" s="78"/>
      <c r="GXM30" s="78"/>
      <c r="GXQ30" s="78"/>
      <c r="GXU30" s="78"/>
      <c r="GXY30" s="78"/>
      <c r="GYC30" s="78"/>
      <c r="GYG30" s="78"/>
      <c r="GYK30" s="78"/>
      <c r="GYO30" s="78"/>
      <c r="GYS30" s="78"/>
      <c r="GYW30" s="78"/>
      <c r="GZA30" s="78"/>
      <c r="GZE30" s="78"/>
      <c r="GZI30" s="78"/>
      <c r="GZM30" s="78"/>
      <c r="GZQ30" s="78"/>
      <c r="GZU30" s="78"/>
      <c r="GZY30" s="78"/>
      <c r="HAC30" s="78"/>
      <c r="HAG30" s="78"/>
      <c r="HAK30" s="78"/>
      <c r="HAO30" s="78"/>
      <c r="HAS30" s="78"/>
      <c r="HAW30" s="78"/>
      <c r="HBA30" s="78"/>
      <c r="HBE30" s="78"/>
      <c r="HBI30" s="78"/>
      <c r="HBM30" s="78"/>
      <c r="HBQ30" s="78"/>
      <c r="HBU30" s="78"/>
      <c r="HBY30" s="78"/>
      <c r="HCC30" s="78"/>
      <c r="HCG30" s="78"/>
      <c r="HCK30" s="78"/>
      <c r="HCO30" s="78"/>
      <c r="HCS30" s="78"/>
      <c r="HCW30" s="78"/>
      <c r="HDA30" s="78"/>
      <c r="HDE30" s="78"/>
      <c r="HDI30" s="78"/>
      <c r="HDM30" s="78"/>
      <c r="HDQ30" s="78"/>
      <c r="HDU30" s="78"/>
      <c r="HDY30" s="78"/>
      <c r="HEC30" s="78"/>
      <c r="HEG30" s="78"/>
      <c r="HEK30" s="78"/>
      <c r="HEO30" s="78"/>
      <c r="HES30" s="78"/>
      <c r="HEW30" s="78"/>
      <c r="HFA30" s="78"/>
      <c r="HFE30" s="78"/>
      <c r="HFI30" s="78"/>
      <c r="HFM30" s="78"/>
      <c r="HFQ30" s="78"/>
      <c r="HFU30" s="78"/>
      <c r="HFY30" s="78"/>
      <c r="HGC30" s="78"/>
      <c r="HGG30" s="78"/>
      <c r="HGK30" s="78"/>
      <c r="HGO30" s="78"/>
      <c r="HGS30" s="78"/>
      <c r="HGW30" s="78"/>
      <c r="HHA30" s="78"/>
      <c r="HHE30" s="78"/>
      <c r="HHI30" s="78"/>
      <c r="HHM30" s="78"/>
      <c r="HHQ30" s="78"/>
      <c r="HHU30" s="78"/>
      <c r="HHY30" s="78"/>
      <c r="HIC30" s="78"/>
      <c r="HIG30" s="78"/>
      <c r="HIK30" s="78"/>
      <c r="HIO30" s="78"/>
      <c r="HIS30" s="78"/>
      <c r="HIW30" s="78"/>
      <c r="HJA30" s="78"/>
      <c r="HJE30" s="78"/>
      <c r="HJI30" s="78"/>
      <c r="HJM30" s="78"/>
      <c r="HJQ30" s="78"/>
      <c r="HJU30" s="78"/>
      <c r="HJY30" s="78"/>
      <c r="HKC30" s="78"/>
      <c r="HKG30" s="78"/>
      <c r="HKK30" s="78"/>
      <c r="HKO30" s="78"/>
      <c r="HKS30" s="78"/>
      <c r="HKW30" s="78"/>
      <c r="HLA30" s="78"/>
      <c r="HLE30" s="78"/>
      <c r="HLI30" s="78"/>
      <c r="HLM30" s="78"/>
      <c r="HLQ30" s="78"/>
      <c r="HLU30" s="78"/>
      <c r="HLY30" s="78"/>
      <c r="HMC30" s="78"/>
      <c r="HMG30" s="78"/>
      <c r="HMK30" s="78"/>
      <c r="HMO30" s="78"/>
      <c r="HMS30" s="78"/>
      <c r="HMW30" s="78"/>
      <c r="HNA30" s="78"/>
      <c r="HNE30" s="78"/>
      <c r="HNI30" s="78"/>
      <c r="HNM30" s="78"/>
      <c r="HNQ30" s="78"/>
      <c r="HNU30" s="78"/>
      <c r="HNY30" s="78"/>
      <c r="HOC30" s="78"/>
      <c r="HOG30" s="78"/>
      <c r="HOK30" s="78"/>
      <c r="HOO30" s="78"/>
      <c r="HOS30" s="78"/>
      <c r="HOW30" s="78"/>
      <c r="HPA30" s="78"/>
      <c r="HPE30" s="78"/>
      <c r="HPI30" s="78"/>
      <c r="HPM30" s="78"/>
      <c r="HPQ30" s="78"/>
      <c r="HPU30" s="78"/>
      <c r="HPY30" s="78"/>
      <c r="HQC30" s="78"/>
      <c r="HQG30" s="78"/>
      <c r="HQK30" s="78"/>
      <c r="HQO30" s="78"/>
      <c r="HQS30" s="78"/>
      <c r="HQW30" s="78"/>
      <c r="HRA30" s="78"/>
      <c r="HRE30" s="78"/>
      <c r="HRI30" s="78"/>
      <c r="HRM30" s="78"/>
      <c r="HRQ30" s="78"/>
      <c r="HRU30" s="78"/>
      <c r="HRY30" s="78"/>
      <c r="HSC30" s="78"/>
      <c r="HSG30" s="78"/>
      <c r="HSK30" s="78"/>
      <c r="HSO30" s="78"/>
      <c r="HSS30" s="78"/>
      <c r="HSW30" s="78"/>
      <c r="HTA30" s="78"/>
      <c r="HTE30" s="78"/>
      <c r="HTI30" s="78"/>
      <c r="HTM30" s="78"/>
      <c r="HTQ30" s="78"/>
      <c r="HTU30" s="78"/>
      <c r="HTY30" s="78"/>
      <c r="HUC30" s="78"/>
      <c r="HUG30" s="78"/>
      <c r="HUK30" s="78"/>
      <c r="HUO30" s="78"/>
      <c r="HUS30" s="78"/>
      <c r="HUW30" s="78"/>
      <c r="HVA30" s="78"/>
      <c r="HVE30" s="78"/>
      <c r="HVI30" s="78"/>
      <c r="HVM30" s="78"/>
      <c r="HVQ30" s="78"/>
      <c r="HVU30" s="78"/>
      <c r="HVY30" s="78"/>
      <c r="HWC30" s="78"/>
      <c r="HWG30" s="78"/>
      <c r="HWK30" s="78"/>
      <c r="HWO30" s="78"/>
      <c r="HWS30" s="78"/>
      <c r="HWW30" s="78"/>
      <c r="HXA30" s="78"/>
      <c r="HXE30" s="78"/>
      <c r="HXI30" s="78"/>
      <c r="HXM30" s="78"/>
      <c r="HXQ30" s="78"/>
      <c r="HXU30" s="78"/>
      <c r="HXY30" s="78"/>
      <c r="HYC30" s="78"/>
      <c r="HYG30" s="78"/>
      <c r="HYK30" s="78"/>
      <c r="HYO30" s="78"/>
      <c r="HYS30" s="78"/>
      <c r="HYW30" s="78"/>
      <c r="HZA30" s="78"/>
      <c r="HZE30" s="78"/>
      <c r="HZI30" s="78"/>
      <c r="HZM30" s="78"/>
      <c r="HZQ30" s="78"/>
      <c r="HZU30" s="78"/>
      <c r="HZY30" s="78"/>
      <c r="IAC30" s="78"/>
      <c r="IAG30" s="78"/>
      <c r="IAK30" s="78"/>
      <c r="IAO30" s="78"/>
      <c r="IAS30" s="78"/>
      <c r="IAW30" s="78"/>
      <c r="IBA30" s="78"/>
      <c r="IBE30" s="78"/>
      <c r="IBI30" s="78"/>
      <c r="IBM30" s="78"/>
      <c r="IBQ30" s="78"/>
      <c r="IBU30" s="78"/>
      <c r="IBY30" s="78"/>
      <c r="ICC30" s="78"/>
      <c r="ICG30" s="78"/>
      <c r="ICK30" s="78"/>
      <c r="ICO30" s="78"/>
      <c r="ICS30" s="78"/>
      <c r="ICW30" s="78"/>
      <c r="IDA30" s="78"/>
      <c r="IDE30" s="78"/>
      <c r="IDI30" s="78"/>
      <c r="IDM30" s="78"/>
      <c r="IDQ30" s="78"/>
      <c r="IDU30" s="78"/>
      <c r="IDY30" s="78"/>
      <c r="IEC30" s="78"/>
      <c r="IEG30" s="78"/>
      <c r="IEK30" s="78"/>
      <c r="IEO30" s="78"/>
      <c r="IES30" s="78"/>
      <c r="IEW30" s="78"/>
      <c r="IFA30" s="78"/>
      <c r="IFE30" s="78"/>
      <c r="IFI30" s="78"/>
      <c r="IFM30" s="78"/>
      <c r="IFQ30" s="78"/>
      <c r="IFU30" s="78"/>
      <c r="IFY30" s="78"/>
      <c r="IGC30" s="78"/>
      <c r="IGG30" s="78"/>
      <c r="IGK30" s="78"/>
      <c r="IGO30" s="78"/>
      <c r="IGS30" s="78"/>
      <c r="IGW30" s="78"/>
      <c r="IHA30" s="78"/>
      <c r="IHE30" s="78"/>
      <c r="IHI30" s="78"/>
      <c r="IHM30" s="78"/>
      <c r="IHQ30" s="78"/>
      <c r="IHU30" s="78"/>
      <c r="IHY30" s="78"/>
      <c r="IIC30" s="78"/>
      <c r="IIG30" s="78"/>
      <c r="IIK30" s="78"/>
      <c r="IIO30" s="78"/>
      <c r="IIS30" s="78"/>
      <c r="IIW30" s="78"/>
      <c r="IJA30" s="78"/>
      <c r="IJE30" s="78"/>
      <c r="IJI30" s="78"/>
      <c r="IJM30" s="78"/>
      <c r="IJQ30" s="78"/>
      <c r="IJU30" s="78"/>
      <c r="IJY30" s="78"/>
      <c r="IKC30" s="78"/>
      <c r="IKG30" s="78"/>
      <c r="IKK30" s="78"/>
      <c r="IKO30" s="78"/>
      <c r="IKS30" s="78"/>
      <c r="IKW30" s="78"/>
      <c r="ILA30" s="78"/>
      <c r="ILE30" s="78"/>
      <c r="ILI30" s="78"/>
      <c r="ILM30" s="78"/>
      <c r="ILQ30" s="78"/>
      <c r="ILU30" s="78"/>
      <c r="ILY30" s="78"/>
      <c r="IMC30" s="78"/>
      <c r="IMG30" s="78"/>
      <c r="IMK30" s="78"/>
      <c r="IMO30" s="78"/>
      <c r="IMS30" s="78"/>
      <c r="IMW30" s="78"/>
      <c r="INA30" s="78"/>
      <c r="INE30" s="78"/>
      <c r="INI30" s="78"/>
      <c r="INM30" s="78"/>
      <c r="INQ30" s="78"/>
      <c r="INU30" s="78"/>
      <c r="INY30" s="78"/>
      <c r="IOC30" s="78"/>
      <c r="IOG30" s="78"/>
      <c r="IOK30" s="78"/>
      <c r="IOO30" s="78"/>
      <c r="IOS30" s="78"/>
      <c r="IOW30" s="78"/>
      <c r="IPA30" s="78"/>
      <c r="IPE30" s="78"/>
      <c r="IPI30" s="78"/>
      <c r="IPM30" s="78"/>
      <c r="IPQ30" s="78"/>
      <c r="IPU30" s="78"/>
      <c r="IPY30" s="78"/>
      <c r="IQC30" s="78"/>
      <c r="IQG30" s="78"/>
      <c r="IQK30" s="78"/>
      <c r="IQO30" s="78"/>
      <c r="IQS30" s="78"/>
      <c r="IQW30" s="78"/>
      <c r="IRA30" s="78"/>
      <c r="IRE30" s="78"/>
      <c r="IRI30" s="78"/>
      <c r="IRM30" s="78"/>
      <c r="IRQ30" s="78"/>
      <c r="IRU30" s="78"/>
      <c r="IRY30" s="78"/>
      <c r="ISC30" s="78"/>
      <c r="ISG30" s="78"/>
      <c r="ISK30" s="78"/>
      <c r="ISO30" s="78"/>
      <c r="ISS30" s="78"/>
      <c r="ISW30" s="78"/>
      <c r="ITA30" s="78"/>
      <c r="ITE30" s="78"/>
      <c r="ITI30" s="78"/>
      <c r="ITM30" s="78"/>
      <c r="ITQ30" s="78"/>
      <c r="ITU30" s="78"/>
      <c r="ITY30" s="78"/>
      <c r="IUC30" s="78"/>
      <c r="IUG30" s="78"/>
      <c r="IUK30" s="78"/>
      <c r="IUO30" s="78"/>
      <c r="IUS30" s="78"/>
      <c r="IUW30" s="78"/>
      <c r="IVA30" s="78"/>
      <c r="IVE30" s="78"/>
      <c r="IVI30" s="78"/>
      <c r="IVM30" s="78"/>
      <c r="IVQ30" s="78"/>
      <c r="IVU30" s="78"/>
      <c r="IVY30" s="78"/>
      <c r="IWC30" s="78"/>
      <c r="IWG30" s="78"/>
      <c r="IWK30" s="78"/>
      <c r="IWO30" s="78"/>
      <c r="IWS30" s="78"/>
      <c r="IWW30" s="78"/>
      <c r="IXA30" s="78"/>
      <c r="IXE30" s="78"/>
      <c r="IXI30" s="78"/>
      <c r="IXM30" s="78"/>
      <c r="IXQ30" s="78"/>
      <c r="IXU30" s="78"/>
      <c r="IXY30" s="78"/>
      <c r="IYC30" s="78"/>
      <c r="IYG30" s="78"/>
      <c r="IYK30" s="78"/>
      <c r="IYO30" s="78"/>
      <c r="IYS30" s="78"/>
      <c r="IYW30" s="78"/>
      <c r="IZA30" s="78"/>
      <c r="IZE30" s="78"/>
      <c r="IZI30" s="78"/>
      <c r="IZM30" s="78"/>
      <c r="IZQ30" s="78"/>
      <c r="IZU30" s="78"/>
      <c r="IZY30" s="78"/>
      <c r="JAC30" s="78"/>
      <c r="JAG30" s="78"/>
      <c r="JAK30" s="78"/>
      <c r="JAO30" s="78"/>
      <c r="JAS30" s="78"/>
      <c r="JAW30" s="78"/>
      <c r="JBA30" s="78"/>
      <c r="JBE30" s="78"/>
      <c r="JBI30" s="78"/>
      <c r="JBM30" s="78"/>
      <c r="JBQ30" s="78"/>
      <c r="JBU30" s="78"/>
      <c r="JBY30" s="78"/>
      <c r="JCC30" s="78"/>
      <c r="JCG30" s="78"/>
      <c r="JCK30" s="78"/>
      <c r="JCO30" s="78"/>
      <c r="JCS30" s="78"/>
      <c r="JCW30" s="78"/>
      <c r="JDA30" s="78"/>
      <c r="JDE30" s="78"/>
      <c r="JDI30" s="78"/>
      <c r="JDM30" s="78"/>
      <c r="JDQ30" s="78"/>
      <c r="JDU30" s="78"/>
      <c r="JDY30" s="78"/>
      <c r="JEC30" s="78"/>
      <c r="JEG30" s="78"/>
      <c r="JEK30" s="78"/>
      <c r="JEO30" s="78"/>
      <c r="JES30" s="78"/>
      <c r="JEW30" s="78"/>
      <c r="JFA30" s="78"/>
      <c r="JFE30" s="78"/>
      <c r="JFI30" s="78"/>
      <c r="JFM30" s="78"/>
      <c r="JFQ30" s="78"/>
      <c r="JFU30" s="78"/>
      <c r="JFY30" s="78"/>
      <c r="JGC30" s="78"/>
      <c r="JGG30" s="78"/>
      <c r="JGK30" s="78"/>
      <c r="JGO30" s="78"/>
      <c r="JGS30" s="78"/>
      <c r="JGW30" s="78"/>
      <c r="JHA30" s="78"/>
      <c r="JHE30" s="78"/>
      <c r="JHI30" s="78"/>
      <c r="JHM30" s="78"/>
      <c r="JHQ30" s="78"/>
      <c r="JHU30" s="78"/>
      <c r="JHY30" s="78"/>
      <c r="JIC30" s="78"/>
      <c r="JIG30" s="78"/>
      <c r="JIK30" s="78"/>
      <c r="JIO30" s="78"/>
      <c r="JIS30" s="78"/>
      <c r="JIW30" s="78"/>
      <c r="JJA30" s="78"/>
      <c r="JJE30" s="78"/>
      <c r="JJI30" s="78"/>
      <c r="JJM30" s="78"/>
      <c r="JJQ30" s="78"/>
      <c r="JJU30" s="78"/>
      <c r="JJY30" s="78"/>
      <c r="JKC30" s="78"/>
      <c r="JKG30" s="78"/>
      <c r="JKK30" s="78"/>
      <c r="JKO30" s="78"/>
      <c r="JKS30" s="78"/>
      <c r="JKW30" s="78"/>
      <c r="JLA30" s="78"/>
      <c r="JLE30" s="78"/>
      <c r="JLI30" s="78"/>
      <c r="JLM30" s="78"/>
      <c r="JLQ30" s="78"/>
      <c r="JLU30" s="78"/>
      <c r="JLY30" s="78"/>
      <c r="JMC30" s="78"/>
      <c r="JMG30" s="78"/>
      <c r="JMK30" s="78"/>
      <c r="JMO30" s="78"/>
      <c r="JMS30" s="78"/>
      <c r="JMW30" s="78"/>
      <c r="JNA30" s="78"/>
      <c r="JNE30" s="78"/>
      <c r="JNI30" s="78"/>
      <c r="JNM30" s="78"/>
      <c r="JNQ30" s="78"/>
      <c r="JNU30" s="78"/>
      <c r="JNY30" s="78"/>
      <c r="JOC30" s="78"/>
      <c r="JOG30" s="78"/>
      <c r="JOK30" s="78"/>
      <c r="JOO30" s="78"/>
      <c r="JOS30" s="78"/>
      <c r="JOW30" s="78"/>
      <c r="JPA30" s="78"/>
      <c r="JPE30" s="78"/>
      <c r="JPI30" s="78"/>
      <c r="JPM30" s="78"/>
      <c r="JPQ30" s="78"/>
      <c r="JPU30" s="78"/>
      <c r="JPY30" s="78"/>
      <c r="JQC30" s="78"/>
      <c r="JQG30" s="78"/>
      <c r="JQK30" s="78"/>
      <c r="JQO30" s="78"/>
      <c r="JQS30" s="78"/>
      <c r="JQW30" s="78"/>
      <c r="JRA30" s="78"/>
      <c r="JRE30" s="78"/>
      <c r="JRI30" s="78"/>
      <c r="JRM30" s="78"/>
      <c r="JRQ30" s="78"/>
      <c r="JRU30" s="78"/>
      <c r="JRY30" s="78"/>
      <c r="JSC30" s="78"/>
      <c r="JSG30" s="78"/>
      <c r="JSK30" s="78"/>
      <c r="JSO30" s="78"/>
      <c r="JSS30" s="78"/>
      <c r="JSW30" s="78"/>
      <c r="JTA30" s="78"/>
      <c r="JTE30" s="78"/>
      <c r="JTI30" s="78"/>
      <c r="JTM30" s="78"/>
      <c r="JTQ30" s="78"/>
      <c r="JTU30" s="78"/>
      <c r="JTY30" s="78"/>
      <c r="JUC30" s="78"/>
      <c r="JUG30" s="78"/>
      <c r="JUK30" s="78"/>
      <c r="JUO30" s="78"/>
      <c r="JUS30" s="78"/>
      <c r="JUW30" s="78"/>
      <c r="JVA30" s="78"/>
      <c r="JVE30" s="78"/>
      <c r="JVI30" s="78"/>
      <c r="JVM30" s="78"/>
      <c r="JVQ30" s="78"/>
      <c r="JVU30" s="78"/>
      <c r="JVY30" s="78"/>
      <c r="JWC30" s="78"/>
      <c r="JWG30" s="78"/>
      <c r="JWK30" s="78"/>
      <c r="JWO30" s="78"/>
      <c r="JWS30" s="78"/>
      <c r="JWW30" s="78"/>
      <c r="JXA30" s="78"/>
      <c r="JXE30" s="78"/>
      <c r="JXI30" s="78"/>
      <c r="JXM30" s="78"/>
      <c r="JXQ30" s="78"/>
      <c r="JXU30" s="78"/>
      <c r="JXY30" s="78"/>
      <c r="JYC30" s="78"/>
      <c r="JYG30" s="78"/>
      <c r="JYK30" s="78"/>
      <c r="JYO30" s="78"/>
      <c r="JYS30" s="78"/>
      <c r="JYW30" s="78"/>
      <c r="JZA30" s="78"/>
      <c r="JZE30" s="78"/>
      <c r="JZI30" s="78"/>
      <c r="JZM30" s="78"/>
      <c r="JZQ30" s="78"/>
      <c r="JZU30" s="78"/>
      <c r="JZY30" s="78"/>
      <c r="KAC30" s="78"/>
      <c r="KAG30" s="78"/>
      <c r="KAK30" s="78"/>
      <c r="KAO30" s="78"/>
      <c r="KAS30" s="78"/>
      <c r="KAW30" s="78"/>
      <c r="KBA30" s="78"/>
      <c r="KBE30" s="78"/>
      <c r="KBI30" s="78"/>
      <c r="KBM30" s="78"/>
      <c r="KBQ30" s="78"/>
      <c r="KBU30" s="78"/>
      <c r="KBY30" s="78"/>
      <c r="KCC30" s="78"/>
      <c r="KCG30" s="78"/>
      <c r="KCK30" s="78"/>
      <c r="KCO30" s="78"/>
      <c r="KCS30" s="78"/>
      <c r="KCW30" s="78"/>
      <c r="KDA30" s="78"/>
      <c r="KDE30" s="78"/>
      <c r="KDI30" s="78"/>
      <c r="KDM30" s="78"/>
      <c r="KDQ30" s="78"/>
      <c r="KDU30" s="78"/>
      <c r="KDY30" s="78"/>
      <c r="KEC30" s="78"/>
      <c r="KEG30" s="78"/>
      <c r="KEK30" s="78"/>
      <c r="KEO30" s="78"/>
      <c r="KES30" s="78"/>
      <c r="KEW30" s="78"/>
      <c r="KFA30" s="78"/>
      <c r="KFE30" s="78"/>
      <c r="KFI30" s="78"/>
      <c r="KFM30" s="78"/>
      <c r="KFQ30" s="78"/>
      <c r="KFU30" s="78"/>
      <c r="KFY30" s="78"/>
      <c r="KGC30" s="78"/>
      <c r="KGG30" s="78"/>
      <c r="KGK30" s="78"/>
      <c r="KGO30" s="78"/>
      <c r="KGS30" s="78"/>
      <c r="KGW30" s="78"/>
      <c r="KHA30" s="78"/>
      <c r="KHE30" s="78"/>
      <c r="KHI30" s="78"/>
      <c r="KHM30" s="78"/>
      <c r="KHQ30" s="78"/>
      <c r="KHU30" s="78"/>
      <c r="KHY30" s="78"/>
      <c r="KIC30" s="78"/>
      <c r="KIG30" s="78"/>
      <c r="KIK30" s="78"/>
      <c r="KIO30" s="78"/>
      <c r="KIS30" s="78"/>
      <c r="KIW30" s="78"/>
      <c r="KJA30" s="78"/>
      <c r="KJE30" s="78"/>
      <c r="KJI30" s="78"/>
      <c r="KJM30" s="78"/>
      <c r="KJQ30" s="78"/>
      <c r="KJU30" s="78"/>
      <c r="KJY30" s="78"/>
      <c r="KKC30" s="78"/>
      <c r="KKG30" s="78"/>
      <c r="KKK30" s="78"/>
      <c r="KKO30" s="78"/>
      <c r="KKS30" s="78"/>
      <c r="KKW30" s="78"/>
      <c r="KLA30" s="78"/>
      <c r="KLE30" s="78"/>
      <c r="KLI30" s="78"/>
      <c r="KLM30" s="78"/>
      <c r="KLQ30" s="78"/>
      <c r="KLU30" s="78"/>
      <c r="KLY30" s="78"/>
      <c r="KMC30" s="78"/>
      <c r="KMG30" s="78"/>
      <c r="KMK30" s="78"/>
      <c r="KMO30" s="78"/>
      <c r="KMS30" s="78"/>
      <c r="KMW30" s="78"/>
      <c r="KNA30" s="78"/>
      <c r="KNE30" s="78"/>
      <c r="KNI30" s="78"/>
      <c r="KNM30" s="78"/>
      <c r="KNQ30" s="78"/>
      <c r="KNU30" s="78"/>
      <c r="KNY30" s="78"/>
      <c r="KOC30" s="78"/>
      <c r="KOG30" s="78"/>
      <c r="KOK30" s="78"/>
      <c r="KOO30" s="78"/>
      <c r="KOS30" s="78"/>
      <c r="KOW30" s="78"/>
      <c r="KPA30" s="78"/>
      <c r="KPE30" s="78"/>
      <c r="KPI30" s="78"/>
      <c r="KPM30" s="78"/>
      <c r="KPQ30" s="78"/>
      <c r="KPU30" s="78"/>
      <c r="KPY30" s="78"/>
      <c r="KQC30" s="78"/>
      <c r="KQG30" s="78"/>
      <c r="KQK30" s="78"/>
      <c r="KQO30" s="78"/>
      <c r="KQS30" s="78"/>
      <c r="KQW30" s="78"/>
      <c r="KRA30" s="78"/>
      <c r="KRE30" s="78"/>
      <c r="KRI30" s="78"/>
      <c r="KRM30" s="78"/>
      <c r="KRQ30" s="78"/>
      <c r="KRU30" s="78"/>
      <c r="KRY30" s="78"/>
      <c r="KSC30" s="78"/>
      <c r="KSG30" s="78"/>
      <c r="KSK30" s="78"/>
      <c r="KSO30" s="78"/>
      <c r="KSS30" s="78"/>
      <c r="KSW30" s="78"/>
      <c r="KTA30" s="78"/>
      <c r="KTE30" s="78"/>
      <c r="KTI30" s="78"/>
      <c r="KTM30" s="78"/>
      <c r="KTQ30" s="78"/>
      <c r="KTU30" s="78"/>
      <c r="KTY30" s="78"/>
      <c r="KUC30" s="78"/>
      <c r="KUG30" s="78"/>
      <c r="KUK30" s="78"/>
      <c r="KUO30" s="78"/>
      <c r="KUS30" s="78"/>
      <c r="KUW30" s="78"/>
      <c r="KVA30" s="78"/>
      <c r="KVE30" s="78"/>
      <c r="KVI30" s="78"/>
      <c r="KVM30" s="78"/>
      <c r="KVQ30" s="78"/>
      <c r="KVU30" s="78"/>
      <c r="KVY30" s="78"/>
      <c r="KWC30" s="78"/>
      <c r="KWG30" s="78"/>
      <c r="KWK30" s="78"/>
      <c r="KWO30" s="78"/>
      <c r="KWS30" s="78"/>
      <c r="KWW30" s="78"/>
      <c r="KXA30" s="78"/>
      <c r="KXE30" s="78"/>
      <c r="KXI30" s="78"/>
      <c r="KXM30" s="78"/>
      <c r="KXQ30" s="78"/>
      <c r="KXU30" s="78"/>
      <c r="KXY30" s="78"/>
      <c r="KYC30" s="78"/>
      <c r="KYG30" s="78"/>
      <c r="KYK30" s="78"/>
      <c r="KYO30" s="78"/>
      <c r="KYS30" s="78"/>
      <c r="KYW30" s="78"/>
      <c r="KZA30" s="78"/>
      <c r="KZE30" s="78"/>
      <c r="KZI30" s="78"/>
      <c r="KZM30" s="78"/>
      <c r="KZQ30" s="78"/>
      <c r="KZU30" s="78"/>
      <c r="KZY30" s="78"/>
      <c r="LAC30" s="78"/>
      <c r="LAG30" s="78"/>
      <c r="LAK30" s="78"/>
      <c r="LAO30" s="78"/>
      <c r="LAS30" s="78"/>
      <c r="LAW30" s="78"/>
      <c r="LBA30" s="78"/>
      <c r="LBE30" s="78"/>
      <c r="LBI30" s="78"/>
      <c r="LBM30" s="78"/>
      <c r="LBQ30" s="78"/>
      <c r="LBU30" s="78"/>
      <c r="LBY30" s="78"/>
      <c r="LCC30" s="78"/>
      <c r="LCG30" s="78"/>
      <c r="LCK30" s="78"/>
      <c r="LCO30" s="78"/>
      <c r="LCS30" s="78"/>
      <c r="LCW30" s="78"/>
      <c r="LDA30" s="78"/>
      <c r="LDE30" s="78"/>
      <c r="LDI30" s="78"/>
      <c r="LDM30" s="78"/>
      <c r="LDQ30" s="78"/>
      <c r="LDU30" s="78"/>
      <c r="LDY30" s="78"/>
      <c r="LEC30" s="78"/>
      <c r="LEG30" s="78"/>
      <c r="LEK30" s="78"/>
      <c r="LEO30" s="78"/>
      <c r="LES30" s="78"/>
      <c r="LEW30" s="78"/>
      <c r="LFA30" s="78"/>
      <c r="LFE30" s="78"/>
      <c r="LFI30" s="78"/>
      <c r="LFM30" s="78"/>
      <c r="LFQ30" s="78"/>
      <c r="LFU30" s="78"/>
      <c r="LFY30" s="78"/>
      <c r="LGC30" s="78"/>
      <c r="LGG30" s="78"/>
      <c r="LGK30" s="78"/>
      <c r="LGO30" s="78"/>
      <c r="LGS30" s="78"/>
      <c r="LGW30" s="78"/>
      <c r="LHA30" s="78"/>
      <c r="LHE30" s="78"/>
      <c r="LHI30" s="78"/>
      <c r="LHM30" s="78"/>
      <c r="LHQ30" s="78"/>
      <c r="LHU30" s="78"/>
      <c r="LHY30" s="78"/>
      <c r="LIC30" s="78"/>
      <c r="LIG30" s="78"/>
      <c r="LIK30" s="78"/>
      <c r="LIO30" s="78"/>
      <c r="LIS30" s="78"/>
      <c r="LIW30" s="78"/>
      <c r="LJA30" s="78"/>
      <c r="LJE30" s="78"/>
      <c r="LJI30" s="78"/>
      <c r="LJM30" s="78"/>
      <c r="LJQ30" s="78"/>
      <c r="LJU30" s="78"/>
      <c r="LJY30" s="78"/>
      <c r="LKC30" s="78"/>
      <c r="LKG30" s="78"/>
      <c r="LKK30" s="78"/>
      <c r="LKO30" s="78"/>
      <c r="LKS30" s="78"/>
      <c r="LKW30" s="78"/>
      <c r="LLA30" s="78"/>
      <c r="LLE30" s="78"/>
      <c r="LLI30" s="78"/>
      <c r="LLM30" s="78"/>
      <c r="LLQ30" s="78"/>
      <c r="LLU30" s="78"/>
      <c r="LLY30" s="78"/>
      <c r="LMC30" s="78"/>
      <c r="LMG30" s="78"/>
      <c r="LMK30" s="78"/>
      <c r="LMO30" s="78"/>
      <c r="LMS30" s="78"/>
      <c r="LMW30" s="78"/>
      <c r="LNA30" s="78"/>
      <c r="LNE30" s="78"/>
      <c r="LNI30" s="78"/>
      <c r="LNM30" s="78"/>
      <c r="LNQ30" s="78"/>
      <c r="LNU30" s="78"/>
      <c r="LNY30" s="78"/>
      <c r="LOC30" s="78"/>
      <c r="LOG30" s="78"/>
      <c r="LOK30" s="78"/>
      <c r="LOO30" s="78"/>
      <c r="LOS30" s="78"/>
      <c r="LOW30" s="78"/>
      <c r="LPA30" s="78"/>
      <c r="LPE30" s="78"/>
      <c r="LPI30" s="78"/>
      <c r="LPM30" s="78"/>
      <c r="LPQ30" s="78"/>
      <c r="LPU30" s="78"/>
      <c r="LPY30" s="78"/>
      <c r="LQC30" s="78"/>
      <c r="LQG30" s="78"/>
      <c r="LQK30" s="78"/>
      <c r="LQO30" s="78"/>
      <c r="LQS30" s="78"/>
      <c r="LQW30" s="78"/>
      <c r="LRA30" s="78"/>
      <c r="LRE30" s="78"/>
      <c r="LRI30" s="78"/>
      <c r="LRM30" s="78"/>
      <c r="LRQ30" s="78"/>
      <c r="LRU30" s="78"/>
      <c r="LRY30" s="78"/>
      <c r="LSC30" s="78"/>
      <c r="LSG30" s="78"/>
      <c r="LSK30" s="78"/>
      <c r="LSO30" s="78"/>
      <c r="LSS30" s="78"/>
      <c r="LSW30" s="78"/>
      <c r="LTA30" s="78"/>
      <c r="LTE30" s="78"/>
      <c r="LTI30" s="78"/>
      <c r="LTM30" s="78"/>
      <c r="LTQ30" s="78"/>
      <c r="LTU30" s="78"/>
      <c r="LTY30" s="78"/>
      <c r="LUC30" s="78"/>
      <c r="LUG30" s="78"/>
      <c r="LUK30" s="78"/>
      <c r="LUO30" s="78"/>
      <c r="LUS30" s="78"/>
      <c r="LUW30" s="78"/>
      <c r="LVA30" s="78"/>
      <c r="LVE30" s="78"/>
      <c r="LVI30" s="78"/>
      <c r="LVM30" s="78"/>
      <c r="LVQ30" s="78"/>
      <c r="LVU30" s="78"/>
      <c r="LVY30" s="78"/>
      <c r="LWC30" s="78"/>
      <c r="LWG30" s="78"/>
      <c r="LWK30" s="78"/>
      <c r="LWO30" s="78"/>
      <c r="LWS30" s="78"/>
      <c r="LWW30" s="78"/>
      <c r="LXA30" s="78"/>
      <c r="LXE30" s="78"/>
      <c r="LXI30" s="78"/>
      <c r="LXM30" s="78"/>
      <c r="LXQ30" s="78"/>
      <c r="LXU30" s="78"/>
      <c r="LXY30" s="78"/>
      <c r="LYC30" s="78"/>
      <c r="LYG30" s="78"/>
      <c r="LYK30" s="78"/>
      <c r="LYO30" s="78"/>
      <c r="LYS30" s="78"/>
      <c r="LYW30" s="78"/>
      <c r="LZA30" s="78"/>
      <c r="LZE30" s="78"/>
      <c r="LZI30" s="78"/>
      <c r="LZM30" s="78"/>
      <c r="LZQ30" s="78"/>
      <c r="LZU30" s="78"/>
      <c r="LZY30" s="78"/>
      <c r="MAC30" s="78"/>
      <c r="MAG30" s="78"/>
      <c r="MAK30" s="78"/>
      <c r="MAO30" s="78"/>
      <c r="MAS30" s="78"/>
      <c r="MAW30" s="78"/>
      <c r="MBA30" s="78"/>
      <c r="MBE30" s="78"/>
      <c r="MBI30" s="78"/>
      <c r="MBM30" s="78"/>
      <c r="MBQ30" s="78"/>
      <c r="MBU30" s="78"/>
      <c r="MBY30" s="78"/>
      <c r="MCC30" s="78"/>
      <c r="MCG30" s="78"/>
      <c r="MCK30" s="78"/>
      <c r="MCO30" s="78"/>
      <c r="MCS30" s="78"/>
      <c r="MCW30" s="78"/>
      <c r="MDA30" s="78"/>
      <c r="MDE30" s="78"/>
      <c r="MDI30" s="78"/>
      <c r="MDM30" s="78"/>
      <c r="MDQ30" s="78"/>
      <c r="MDU30" s="78"/>
      <c r="MDY30" s="78"/>
      <c r="MEC30" s="78"/>
      <c r="MEG30" s="78"/>
      <c r="MEK30" s="78"/>
      <c r="MEO30" s="78"/>
      <c r="MES30" s="78"/>
      <c r="MEW30" s="78"/>
      <c r="MFA30" s="78"/>
      <c r="MFE30" s="78"/>
      <c r="MFI30" s="78"/>
      <c r="MFM30" s="78"/>
      <c r="MFQ30" s="78"/>
      <c r="MFU30" s="78"/>
      <c r="MFY30" s="78"/>
      <c r="MGC30" s="78"/>
      <c r="MGG30" s="78"/>
      <c r="MGK30" s="78"/>
      <c r="MGO30" s="78"/>
      <c r="MGS30" s="78"/>
      <c r="MGW30" s="78"/>
      <c r="MHA30" s="78"/>
      <c r="MHE30" s="78"/>
      <c r="MHI30" s="78"/>
      <c r="MHM30" s="78"/>
      <c r="MHQ30" s="78"/>
      <c r="MHU30" s="78"/>
      <c r="MHY30" s="78"/>
      <c r="MIC30" s="78"/>
      <c r="MIG30" s="78"/>
      <c r="MIK30" s="78"/>
      <c r="MIO30" s="78"/>
      <c r="MIS30" s="78"/>
      <c r="MIW30" s="78"/>
      <c r="MJA30" s="78"/>
      <c r="MJE30" s="78"/>
      <c r="MJI30" s="78"/>
      <c r="MJM30" s="78"/>
      <c r="MJQ30" s="78"/>
      <c r="MJU30" s="78"/>
      <c r="MJY30" s="78"/>
      <c r="MKC30" s="78"/>
      <c r="MKG30" s="78"/>
      <c r="MKK30" s="78"/>
      <c r="MKO30" s="78"/>
      <c r="MKS30" s="78"/>
      <c r="MKW30" s="78"/>
      <c r="MLA30" s="78"/>
      <c r="MLE30" s="78"/>
      <c r="MLI30" s="78"/>
      <c r="MLM30" s="78"/>
      <c r="MLQ30" s="78"/>
      <c r="MLU30" s="78"/>
      <c r="MLY30" s="78"/>
      <c r="MMC30" s="78"/>
      <c r="MMG30" s="78"/>
      <c r="MMK30" s="78"/>
      <c r="MMO30" s="78"/>
      <c r="MMS30" s="78"/>
      <c r="MMW30" s="78"/>
      <c r="MNA30" s="78"/>
      <c r="MNE30" s="78"/>
      <c r="MNI30" s="78"/>
      <c r="MNM30" s="78"/>
      <c r="MNQ30" s="78"/>
      <c r="MNU30" s="78"/>
      <c r="MNY30" s="78"/>
      <c r="MOC30" s="78"/>
      <c r="MOG30" s="78"/>
      <c r="MOK30" s="78"/>
      <c r="MOO30" s="78"/>
      <c r="MOS30" s="78"/>
      <c r="MOW30" s="78"/>
      <c r="MPA30" s="78"/>
      <c r="MPE30" s="78"/>
      <c r="MPI30" s="78"/>
      <c r="MPM30" s="78"/>
      <c r="MPQ30" s="78"/>
      <c r="MPU30" s="78"/>
      <c r="MPY30" s="78"/>
      <c r="MQC30" s="78"/>
      <c r="MQG30" s="78"/>
      <c r="MQK30" s="78"/>
      <c r="MQO30" s="78"/>
      <c r="MQS30" s="78"/>
      <c r="MQW30" s="78"/>
      <c r="MRA30" s="78"/>
      <c r="MRE30" s="78"/>
      <c r="MRI30" s="78"/>
      <c r="MRM30" s="78"/>
      <c r="MRQ30" s="78"/>
      <c r="MRU30" s="78"/>
      <c r="MRY30" s="78"/>
      <c r="MSC30" s="78"/>
      <c r="MSG30" s="78"/>
      <c r="MSK30" s="78"/>
      <c r="MSO30" s="78"/>
      <c r="MSS30" s="78"/>
      <c r="MSW30" s="78"/>
      <c r="MTA30" s="78"/>
      <c r="MTE30" s="78"/>
      <c r="MTI30" s="78"/>
      <c r="MTM30" s="78"/>
      <c r="MTQ30" s="78"/>
      <c r="MTU30" s="78"/>
      <c r="MTY30" s="78"/>
      <c r="MUC30" s="78"/>
      <c r="MUG30" s="78"/>
      <c r="MUK30" s="78"/>
      <c r="MUO30" s="78"/>
      <c r="MUS30" s="78"/>
      <c r="MUW30" s="78"/>
      <c r="MVA30" s="78"/>
      <c r="MVE30" s="78"/>
      <c r="MVI30" s="78"/>
      <c r="MVM30" s="78"/>
      <c r="MVQ30" s="78"/>
      <c r="MVU30" s="78"/>
      <c r="MVY30" s="78"/>
      <c r="MWC30" s="78"/>
      <c r="MWG30" s="78"/>
      <c r="MWK30" s="78"/>
      <c r="MWO30" s="78"/>
      <c r="MWS30" s="78"/>
      <c r="MWW30" s="78"/>
      <c r="MXA30" s="78"/>
      <c r="MXE30" s="78"/>
      <c r="MXI30" s="78"/>
      <c r="MXM30" s="78"/>
      <c r="MXQ30" s="78"/>
      <c r="MXU30" s="78"/>
      <c r="MXY30" s="78"/>
      <c r="MYC30" s="78"/>
      <c r="MYG30" s="78"/>
      <c r="MYK30" s="78"/>
      <c r="MYO30" s="78"/>
      <c r="MYS30" s="78"/>
      <c r="MYW30" s="78"/>
      <c r="MZA30" s="78"/>
      <c r="MZE30" s="78"/>
      <c r="MZI30" s="78"/>
      <c r="MZM30" s="78"/>
      <c r="MZQ30" s="78"/>
      <c r="MZU30" s="78"/>
      <c r="MZY30" s="78"/>
      <c r="NAC30" s="78"/>
      <c r="NAG30" s="78"/>
      <c r="NAK30" s="78"/>
      <c r="NAO30" s="78"/>
      <c r="NAS30" s="78"/>
      <c r="NAW30" s="78"/>
      <c r="NBA30" s="78"/>
      <c r="NBE30" s="78"/>
      <c r="NBI30" s="78"/>
      <c r="NBM30" s="78"/>
      <c r="NBQ30" s="78"/>
      <c r="NBU30" s="78"/>
      <c r="NBY30" s="78"/>
      <c r="NCC30" s="78"/>
      <c r="NCG30" s="78"/>
      <c r="NCK30" s="78"/>
      <c r="NCO30" s="78"/>
      <c r="NCS30" s="78"/>
      <c r="NCW30" s="78"/>
      <c r="NDA30" s="78"/>
      <c r="NDE30" s="78"/>
      <c r="NDI30" s="78"/>
      <c r="NDM30" s="78"/>
      <c r="NDQ30" s="78"/>
      <c r="NDU30" s="78"/>
      <c r="NDY30" s="78"/>
      <c r="NEC30" s="78"/>
      <c r="NEG30" s="78"/>
      <c r="NEK30" s="78"/>
      <c r="NEO30" s="78"/>
      <c r="NES30" s="78"/>
      <c r="NEW30" s="78"/>
      <c r="NFA30" s="78"/>
      <c r="NFE30" s="78"/>
      <c r="NFI30" s="78"/>
      <c r="NFM30" s="78"/>
      <c r="NFQ30" s="78"/>
      <c r="NFU30" s="78"/>
      <c r="NFY30" s="78"/>
      <c r="NGC30" s="78"/>
      <c r="NGG30" s="78"/>
      <c r="NGK30" s="78"/>
      <c r="NGO30" s="78"/>
      <c r="NGS30" s="78"/>
      <c r="NGW30" s="78"/>
      <c r="NHA30" s="78"/>
      <c r="NHE30" s="78"/>
      <c r="NHI30" s="78"/>
      <c r="NHM30" s="78"/>
      <c r="NHQ30" s="78"/>
      <c r="NHU30" s="78"/>
      <c r="NHY30" s="78"/>
      <c r="NIC30" s="78"/>
      <c r="NIG30" s="78"/>
      <c r="NIK30" s="78"/>
      <c r="NIO30" s="78"/>
      <c r="NIS30" s="78"/>
      <c r="NIW30" s="78"/>
      <c r="NJA30" s="78"/>
      <c r="NJE30" s="78"/>
      <c r="NJI30" s="78"/>
      <c r="NJM30" s="78"/>
      <c r="NJQ30" s="78"/>
      <c r="NJU30" s="78"/>
      <c r="NJY30" s="78"/>
      <c r="NKC30" s="78"/>
      <c r="NKG30" s="78"/>
      <c r="NKK30" s="78"/>
      <c r="NKO30" s="78"/>
      <c r="NKS30" s="78"/>
      <c r="NKW30" s="78"/>
      <c r="NLA30" s="78"/>
      <c r="NLE30" s="78"/>
      <c r="NLI30" s="78"/>
      <c r="NLM30" s="78"/>
      <c r="NLQ30" s="78"/>
      <c r="NLU30" s="78"/>
      <c r="NLY30" s="78"/>
      <c r="NMC30" s="78"/>
      <c r="NMG30" s="78"/>
      <c r="NMK30" s="78"/>
      <c r="NMO30" s="78"/>
      <c r="NMS30" s="78"/>
      <c r="NMW30" s="78"/>
      <c r="NNA30" s="78"/>
      <c r="NNE30" s="78"/>
      <c r="NNI30" s="78"/>
      <c r="NNM30" s="78"/>
      <c r="NNQ30" s="78"/>
      <c r="NNU30" s="78"/>
      <c r="NNY30" s="78"/>
      <c r="NOC30" s="78"/>
      <c r="NOG30" s="78"/>
      <c r="NOK30" s="78"/>
      <c r="NOO30" s="78"/>
      <c r="NOS30" s="78"/>
      <c r="NOW30" s="78"/>
      <c r="NPA30" s="78"/>
      <c r="NPE30" s="78"/>
      <c r="NPI30" s="78"/>
      <c r="NPM30" s="78"/>
      <c r="NPQ30" s="78"/>
      <c r="NPU30" s="78"/>
      <c r="NPY30" s="78"/>
      <c r="NQC30" s="78"/>
      <c r="NQG30" s="78"/>
      <c r="NQK30" s="78"/>
      <c r="NQO30" s="78"/>
      <c r="NQS30" s="78"/>
      <c r="NQW30" s="78"/>
      <c r="NRA30" s="78"/>
      <c r="NRE30" s="78"/>
      <c r="NRI30" s="78"/>
      <c r="NRM30" s="78"/>
      <c r="NRQ30" s="78"/>
      <c r="NRU30" s="78"/>
      <c r="NRY30" s="78"/>
      <c r="NSC30" s="78"/>
      <c r="NSG30" s="78"/>
      <c r="NSK30" s="78"/>
      <c r="NSO30" s="78"/>
      <c r="NSS30" s="78"/>
      <c r="NSW30" s="78"/>
      <c r="NTA30" s="78"/>
      <c r="NTE30" s="78"/>
      <c r="NTI30" s="78"/>
      <c r="NTM30" s="78"/>
      <c r="NTQ30" s="78"/>
      <c r="NTU30" s="78"/>
      <c r="NTY30" s="78"/>
      <c r="NUC30" s="78"/>
      <c r="NUG30" s="78"/>
      <c r="NUK30" s="78"/>
      <c r="NUO30" s="78"/>
      <c r="NUS30" s="78"/>
      <c r="NUW30" s="78"/>
      <c r="NVA30" s="78"/>
      <c r="NVE30" s="78"/>
      <c r="NVI30" s="78"/>
      <c r="NVM30" s="78"/>
      <c r="NVQ30" s="78"/>
      <c r="NVU30" s="78"/>
      <c r="NVY30" s="78"/>
      <c r="NWC30" s="78"/>
      <c r="NWG30" s="78"/>
      <c r="NWK30" s="78"/>
      <c r="NWO30" s="78"/>
      <c r="NWS30" s="78"/>
      <c r="NWW30" s="78"/>
      <c r="NXA30" s="78"/>
      <c r="NXE30" s="78"/>
      <c r="NXI30" s="78"/>
      <c r="NXM30" s="78"/>
      <c r="NXQ30" s="78"/>
      <c r="NXU30" s="78"/>
      <c r="NXY30" s="78"/>
      <c r="NYC30" s="78"/>
      <c r="NYG30" s="78"/>
      <c r="NYK30" s="78"/>
      <c r="NYO30" s="78"/>
      <c r="NYS30" s="78"/>
      <c r="NYW30" s="78"/>
      <c r="NZA30" s="78"/>
      <c r="NZE30" s="78"/>
      <c r="NZI30" s="78"/>
      <c r="NZM30" s="78"/>
      <c r="NZQ30" s="78"/>
      <c r="NZU30" s="78"/>
      <c r="NZY30" s="78"/>
      <c r="OAC30" s="78"/>
      <c r="OAG30" s="78"/>
      <c r="OAK30" s="78"/>
      <c r="OAO30" s="78"/>
      <c r="OAS30" s="78"/>
      <c r="OAW30" s="78"/>
      <c r="OBA30" s="78"/>
      <c r="OBE30" s="78"/>
      <c r="OBI30" s="78"/>
      <c r="OBM30" s="78"/>
      <c r="OBQ30" s="78"/>
      <c r="OBU30" s="78"/>
      <c r="OBY30" s="78"/>
      <c r="OCC30" s="78"/>
      <c r="OCG30" s="78"/>
      <c r="OCK30" s="78"/>
      <c r="OCO30" s="78"/>
      <c r="OCS30" s="78"/>
      <c r="OCW30" s="78"/>
      <c r="ODA30" s="78"/>
      <c r="ODE30" s="78"/>
      <c r="ODI30" s="78"/>
      <c r="ODM30" s="78"/>
      <c r="ODQ30" s="78"/>
      <c r="ODU30" s="78"/>
      <c r="ODY30" s="78"/>
      <c r="OEC30" s="78"/>
      <c r="OEG30" s="78"/>
      <c r="OEK30" s="78"/>
      <c r="OEO30" s="78"/>
      <c r="OES30" s="78"/>
      <c r="OEW30" s="78"/>
      <c r="OFA30" s="78"/>
      <c r="OFE30" s="78"/>
      <c r="OFI30" s="78"/>
      <c r="OFM30" s="78"/>
      <c r="OFQ30" s="78"/>
      <c r="OFU30" s="78"/>
      <c r="OFY30" s="78"/>
      <c r="OGC30" s="78"/>
      <c r="OGG30" s="78"/>
      <c r="OGK30" s="78"/>
      <c r="OGO30" s="78"/>
      <c r="OGS30" s="78"/>
      <c r="OGW30" s="78"/>
      <c r="OHA30" s="78"/>
      <c r="OHE30" s="78"/>
      <c r="OHI30" s="78"/>
      <c r="OHM30" s="78"/>
      <c r="OHQ30" s="78"/>
      <c r="OHU30" s="78"/>
      <c r="OHY30" s="78"/>
      <c r="OIC30" s="78"/>
      <c r="OIG30" s="78"/>
      <c r="OIK30" s="78"/>
      <c r="OIO30" s="78"/>
      <c r="OIS30" s="78"/>
      <c r="OIW30" s="78"/>
      <c r="OJA30" s="78"/>
      <c r="OJE30" s="78"/>
      <c r="OJI30" s="78"/>
      <c r="OJM30" s="78"/>
      <c r="OJQ30" s="78"/>
      <c r="OJU30" s="78"/>
      <c r="OJY30" s="78"/>
      <c r="OKC30" s="78"/>
      <c r="OKG30" s="78"/>
      <c r="OKK30" s="78"/>
      <c r="OKO30" s="78"/>
      <c r="OKS30" s="78"/>
      <c r="OKW30" s="78"/>
      <c r="OLA30" s="78"/>
      <c r="OLE30" s="78"/>
      <c r="OLI30" s="78"/>
      <c r="OLM30" s="78"/>
      <c r="OLQ30" s="78"/>
      <c r="OLU30" s="78"/>
      <c r="OLY30" s="78"/>
      <c r="OMC30" s="78"/>
      <c r="OMG30" s="78"/>
      <c r="OMK30" s="78"/>
      <c r="OMO30" s="78"/>
      <c r="OMS30" s="78"/>
      <c r="OMW30" s="78"/>
      <c r="ONA30" s="78"/>
      <c r="ONE30" s="78"/>
      <c r="ONI30" s="78"/>
      <c r="ONM30" s="78"/>
      <c r="ONQ30" s="78"/>
      <c r="ONU30" s="78"/>
      <c r="ONY30" s="78"/>
      <c r="OOC30" s="78"/>
      <c r="OOG30" s="78"/>
      <c r="OOK30" s="78"/>
      <c r="OOO30" s="78"/>
      <c r="OOS30" s="78"/>
      <c r="OOW30" s="78"/>
      <c r="OPA30" s="78"/>
      <c r="OPE30" s="78"/>
      <c r="OPI30" s="78"/>
      <c r="OPM30" s="78"/>
      <c r="OPQ30" s="78"/>
      <c r="OPU30" s="78"/>
      <c r="OPY30" s="78"/>
      <c r="OQC30" s="78"/>
      <c r="OQG30" s="78"/>
      <c r="OQK30" s="78"/>
      <c r="OQO30" s="78"/>
      <c r="OQS30" s="78"/>
      <c r="OQW30" s="78"/>
      <c r="ORA30" s="78"/>
      <c r="ORE30" s="78"/>
      <c r="ORI30" s="78"/>
      <c r="ORM30" s="78"/>
      <c r="ORQ30" s="78"/>
      <c r="ORU30" s="78"/>
      <c r="ORY30" s="78"/>
      <c r="OSC30" s="78"/>
      <c r="OSG30" s="78"/>
      <c r="OSK30" s="78"/>
      <c r="OSO30" s="78"/>
      <c r="OSS30" s="78"/>
      <c r="OSW30" s="78"/>
      <c r="OTA30" s="78"/>
      <c r="OTE30" s="78"/>
      <c r="OTI30" s="78"/>
      <c r="OTM30" s="78"/>
      <c r="OTQ30" s="78"/>
      <c r="OTU30" s="78"/>
      <c r="OTY30" s="78"/>
      <c r="OUC30" s="78"/>
      <c r="OUG30" s="78"/>
      <c r="OUK30" s="78"/>
      <c r="OUO30" s="78"/>
      <c r="OUS30" s="78"/>
      <c r="OUW30" s="78"/>
      <c r="OVA30" s="78"/>
      <c r="OVE30" s="78"/>
      <c r="OVI30" s="78"/>
      <c r="OVM30" s="78"/>
      <c r="OVQ30" s="78"/>
      <c r="OVU30" s="78"/>
      <c r="OVY30" s="78"/>
      <c r="OWC30" s="78"/>
      <c r="OWG30" s="78"/>
      <c r="OWK30" s="78"/>
      <c r="OWO30" s="78"/>
      <c r="OWS30" s="78"/>
      <c r="OWW30" s="78"/>
      <c r="OXA30" s="78"/>
      <c r="OXE30" s="78"/>
      <c r="OXI30" s="78"/>
      <c r="OXM30" s="78"/>
      <c r="OXQ30" s="78"/>
      <c r="OXU30" s="78"/>
      <c r="OXY30" s="78"/>
      <c r="OYC30" s="78"/>
      <c r="OYG30" s="78"/>
      <c r="OYK30" s="78"/>
      <c r="OYO30" s="78"/>
      <c r="OYS30" s="78"/>
      <c r="OYW30" s="78"/>
      <c r="OZA30" s="78"/>
      <c r="OZE30" s="78"/>
      <c r="OZI30" s="78"/>
      <c r="OZM30" s="78"/>
      <c r="OZQ30" s="78"/>
      <c r="OZU30" s="78"/>
      <c r="OZY30" s="78"/>
      <c r="PAC30" s="78"/>
      <c r="PAG30" s="78"/>
      <c r="PAK30" s="78"/>
      <c r="PAO30" s="78"/>
      <c r="PAS30" s="78"/>
      <c r="PAW30" s="78"/>
      <c r="PBA30" s="78"/>
      <c r="PBE30" s="78"/>
      <c r="PBI30" s="78"/>
      <c r="PBM30" s="78"/>
      <c r="PBQ30" s="78"/>
      <c r="PBU30" s="78"/>
      <c r="PBY30" s="78"/>
      <c r="PCC30" s="78"/>
      <c r="PCG30" s="78"/>
      <c r="PCK30" s="78"/>
      <c r="PCO30" s="78"/>
      <c r="PCS30" s="78"/>
      <c r="PCW30" s="78"/>
      <c r="PDA30" s="78"/>
      <c r="PDE30" s="78"/>
      <c r="PDI30" s="78"/>
      <c r="PDM30" s="78"/>
      <c r="PDQ30" s="78"/>
      <c r="PDU30" s="78"/>
      <c r="PDY30" s="78"/>
      <c r="PEC30" s="78"/>
      <c r="PEG30" s="78"/>
      <c r="PEK30" s="78"/>
      <c r="PEO30" s="78"/>
      <c r="PES30" s="78"/>
      <c r="PEW30" s="78"/>
      <c r="PFA30" s="78"/>
      <c r="PFE30" s="78"/>
      <c r="PFI30" s="78"/>
      <c r="PFM30" s="78"/>
      <c r="PFQ30" s="78"/>
      <c r="PFU30" s="78"/>
      <c r="PFY30" s="78"/>
      <c r="PGC30" s="78"/>
      <c r="PGG30" s="78"/>
      <c r="PGK30" s="78"/>
      <c r="PGO30" s="78"/>
      <c r="PGS30" s="78"/>
      <c r="PGW30" s="78"/>
      <c r="PHA30" s="78"/>
      <c r="PHE30" s="78"/>
      <c r="PHI30" s="78"/>
      <c r="PHM30" s="78"/>
      <c r="PHQ30" s="78"/>
      <c r="PHU30" s="78"/>
      <c r="PHY30" s="78"/>
      <c r="PIC30" s="78"/>
      <c r="PIG30" s="78"/>
      <c r="PIK30" s="78"/>
      <c r="PIO30" s="78"/>
      <c r="PIS30" s="78"/>
      <c r="PIW30" s="78"/>
      <c r="PJA30" s="78"/>
      <c r="PJE30" s="78"/>
      <c r="PJI30" s="78"/>
      <c r="PJM30" s="78"/>
      <c r="PJQ30" s="78"/>
      <c r="PJU30" s="78"/>
      <c r="PJY30" s="78"/>
      <c r="PKC30" s="78"/>
      <c r="PKG30" s="78"/>
      <c r="PKK30" s="78"/>
      <c r="PKO30" s="78"/>
      <c r="PKS30" s="78"/>
      <c r="PKW30" s="78"/>
      <c r="PLA30" s="78"/>
      <c r="PLE30" s="78"/>
      <c r="PLI30" s="78"/>
      <c r="PLM30" s="78"/>
      <c r="PLQ30" s="78"/>
      <c r="PLU30" s="78"/>
      <c r="PLY30" s="78"/>
      <c r="PMC30" s="78"/>
      <c r="PMG30" s="78"/>
      <c r="PMK30" s="78"/>
      <c r="PMO30" s="78"/>
      <c r="PMS30" s="78"/>
      <c r="PMW30" s="78"/>
      <c r="PNA30" s="78"/>
      <c r="PNE30" s="78"/>
      <c r="PNI30" s="78"/>
      <c r="PNM30" s="78"/>
      <c r="PNQ30" s="78"/>
      <c r="PNU30" s="78"/>
      <c r="PNY30" s="78"/>
      <c r="POC30" s="78"/>
      <c r="POG30" s="78"/>
      <c r="POK30" s="78"/>
      <c r="POO30" s="78"/>
      <c r="POS30" s="78"/>
      <c r="POW30" s="78"/>
      <c r="PPA30" s="78"/>
      <c r="PPE30" s="78"/>
      <c r="PPI30" s="78"/>
      <c r="PPM30" s="78"/>
      <c r="PPQ30" s="78"/>
      <c r="PPU30" s="78"/>
      <c r="PPY30" s="78"/>
      <c r="PQC30" s="78"/>
      <c r="PQG30" s="78"/>
      <c r="PQK30" s="78"/>
      <c r="PQO30" s="78"/>
      <c r="PQS30" s="78"/>
      <c r="PQW30" s="78"/>
      <c r="PRA30" s="78"/>
      <c r="PRE30" s="78"/>
      <c r="PRI30" s="78"/>
      <c r="PRM30" s="78"/>
      <c r="PRQ30" s="78"/>
      <c r="PRU30" s="78"/>
      <c r="PRY30" s="78"/>
      <c r="PSC30" s="78"/>
      <c r="PSG30" s="78"/>
      <c r="PSK30" s="78"/>
      <c r="PSO30" s="78"/>
      <c r="PSS30" s="78"/>
      <c r="PSW30" s="78"/>
      <c r="PTA30" s="78"/>
      <c r="PTE30" s="78"/>
      <c r="PTI30" s="78"/>
      <c r="PTM30" s="78"/>
      <c r="PTQ30" s="78"/>
      <c r="PTU30" s="78"/>
      <c r="PTY30" s="78"/>
      <c r="PUC30" s="78"/>
      <c r="PUG30" s="78"/>
      <c r="PUK30" s="78"/>
      <c r="PUO30" s="78"/>
      <c r="PUS30" s="78"/>
      <c r="PUW30" s="78"/>
      <c r="PVA30" s="78"/>
      <c r="PVE30" s="78"/>
      <c r="PVI30" s="78"/>
      <c r="PVM30" s="78"/>
      <c r="PVQ30" s="78"/>
      <c r="PVU30" s="78"/>
      <c r="PVY30" s="78"/>
      <c r="PWC30" s="78"/>
      <c r="PWG30" s="78"/>
      <c r="PWK30" s="78"/>
      <c r="PWO30" s="78"/>
      <c r="PWS30" s="78"/>
      <c r="PWW30" s="78"/>
      <c r="PXA30" s="78"/>
      <c r="PXE30" s="78"/>
      <c r="PXI30" s="78"/>
      <c r="PXM30" s="78"/>
      <c r="PXQ30" s="78"/>
      <c r="PXU30" s="78"/>
      <c r="PXY30" s="78"/>
      <c r="PYC30" s="78"/>
      <c r="PYG30" s="78"/>
      <c r="PYK30" s="78"/>
      <c r="PYO30" s="78"/>
      <c r="PYS30" s="78"/>
      <c r="PYW30" s="78"/>
      <c r="PZA30" s="78"/>
      <c r="PZE30" s="78"/>
      <c r="PZI30" s="78"/>
      <c r="PZM30" s="78"/>
      <c r="PZQ30" s="78"/>
      <c r="PZU30" s="78"/>
      <c r="PZY30" s="78"/>
      <c r="QAC30" s="78"/>
      <c r="QAG30" s="78"/>
      <c r="QAK30" s="78"/>
      <c r="QAO30" s="78"/>
      <c r="QAS30" s="78"/>
      <c r="QAW30" s="78"/>
      <c r="QBA30" s="78"/>
      <c r="QBE30" s="78"/>
      <c r="QBI30" s="78"/>
      <c r="QBM30" s="78"/>
      <c r="QBQ30" s="78"/>
      <c r="QBU30" s="78"/>
      <c r="QBY30" s="78"/>
      <c r="QCC30" s="78"/>
      <c r="QCG30" s="78"/>
      <c r="QCK30" s="78"/>
      <c r="QCO30" s="78"/>
      <c r="QCS30" s="78"/>
      <c r="QCW30" s="78"/>
      <c r="QDA30" s="78"/>
      <c r="QDE30" s="78"/>
      <c r="QDI30" s="78"/>
      <c r="QDM30" s="78"/>
      <c r="QDQ30" s="78"/>
      <c r="QDU30" s="78"/>
      <c r="QDY30" s="78"/>
      <c r="QEC30" s="78"/>
      <c r="QEG30" s="78"/>
      <c r="QEK30" s="78"/>
      <c r="QEO30" s="78"/>
      <c r="QES30" s="78"/>
      <c r="QEW30" s="78"/>
      <c r="QFA30" s="78"/>
      <c r="QFE30" s="78"/>
      <c r="QFI30" s="78"/>
      <c r="QFM30" s="78"/>
      <c r="QFQ30" s="78"/>
      <c r="QFU30" s="78"/>
      <c r="QFY30" s="78"/>
      <c r="QGC30" s="78"/>
      <c r="QGG30" s="78"/>
      <c r="QGK30" s="78"/>
      <c r="QGO30" s="78"/>
      <c r="QGS30" s="78"/>
      <c r="QGW30" s="78"/>
      <c r="QHA30" s="78"/>
      <c r="QHE30" s="78"/>
      <c r="QHI30" s="78"/>
      <c r="QHM30" s="78"/>
      <c r="QHQ30" s="78"/>
      <c r="QHU30" s="78"/>
      <c r="QHY30" s="78"/>
      <c r="QIC30" s="78"/>
      <c r="QIG30" s="78"/>
      <c r="QIK30" s="78"/>
      <c r="QIO30" s="78"/>
      <c r="QIS30" s="78"/>
      <c r="QIW30" s="78"/>
      <c r="QJA30" s="78"/>
      <c r="QJE30" s="78"/>
      <c r="QJI30" s="78"/>
      <c r="QJM30" s="78"/>
      <c r="QJQ30" s="78"/>
      <c r="QJU30" s="78"/>
      <c r="QJY30" s="78"/>
      <c r="QKC30" s="78"/>
      <c r="QKG30" s="78"/>
      <c r="QKK30" s="78"/>
      <c r="QKO30" s="78"/>
      <c r="QKS30" s="78"/>
      <c r="QKW30" s="78"/>
      <c r="QLA30" s="78"/>
      <c r="QLE30" s="78"/>
      <c r="QLI30" s="78"/>
      <c r="QLM30" s="78"/>
      <c r="QLQ30" s="78"/>
      <c r="QLU30" s="78"/>
      <c r="QLY30" s="78"/>
      <c r="QMC30" s="78"/>
      <c r="QMG30" s="78"/>
      <c r="QMK30" s="78"/>
      <c r="QMO30" s="78"/>
      <c r="QMS30" s="78"/>
      <c r="QMW30" s="78"/>
      <c r="QNA30" s="78"/>
      <c r="QNE30" s="78"/>
      <c r="QNI30" s="78"/>
      <c r="QNM30" s="78"/>
      <c r="QNQ30" s="78"/>
      <c r="QNU30" s="78"/>
      <c r="QNY30" s="78"/>
      <c r="QOC30" s="78"/>
      <c r="QOG30" s="78"/>
      <c r="QOK30" s="78"/>
      <c r="QOO30" s="78"/>
      <c r="QOS30" s="78"/>
      <c r="QOW30" s="78"/>
      <c r="QPA30" s="78"/>
      <c r="QPE30" s="78"/>
      <c r="QPI30" s="78"/>
      <c r="QPM30" s="78"/>
      <c r="QPQ30" s="78"/>
      <c r="QPU30" s="78"/>
      <c r="QPY30" s="78"/>
      <c r="QQC30" s="78"/>
      <c r="QQG30" s="78"/>
      <c r="QQK30" s="78"/>
      <c r="QQO30" s="78"/>
      <c r="QQS30" s="78"/>
      <c r="QQW30" s="78"/>
      <c r="QRA30" s="78"/>
      <c r="QRE30" s="78"/>
      <c r="QRI30" s="78"/>
      <c r="QRM30" s="78"/>
      <c r="QRQ30" s="78"/>
      <c r="QRU30" s="78"/>
      <c r="QRY30" s="78"/>
      <c r="QSC30" s="78"/>
      <c r="QSG30" s="78"/>
      <c r="QSK30" s="78"/>
      <c r="QSO30" s="78"/>
      <c r="QSS30" s="78"/>
      <c r="QSW30" s="78"/>
      <c r="QTA30" s="78"/>
      <c r="QTE30" s="78"/>
      <c r="QTI30" s="78"/>
      <c r="QTM30" s="78"/>
      <c r="QTQ30" s="78"/>
      <c r="QTU30" s="78"/>
      <c r="QTY30" s="78"/>
      <c r="QUC30" s="78"/>
      <c r="QUG30" s="78"/>
      <c r="QUK30" s="78"/>
      <c r="QUO30" s="78"/>
      <c r="QUS30" s="78"/>
      <c r="QUW30" s="78"/>
      <c r="QVA30" s="78"/>
      <c r="QVE30" s="78"/>
      <c r="QVI30" s="78"/>
      <c r="QVM30" s="78"/>
      <c r="QVQ30" s="78"/>
      <c r="QVU30" s="78"/>
      <c r="QVY30" s="78"/>
      <c r="QWC30" s="78"/>
      <c r="QWG30" s="78"/>
      <c r="QWK30" s="78"/>
      <c r="QWO30" s="78"/>
      <c r="QWS30" s="78"/>
      <c r="QWW30" s="78"/>
      <c r="QXA30" s="78"/>
      <c r="QXE30" s="78"/>
      <c r="QXI30" s="78"/>
      <c r="QXM30" s="78"/>
      <c r="QXQ30" s="78"/>
      <c r="QXU30" s="78"/>
      <c r="QXY30" s="78"/>
      <c r="QYC30" s="78"/>
      <c r="QYG30" s="78"/>
      <c r="QYK30" s="78"/>
      <c r="QYO30" s="78"/>
      <c r="QYS30" s="78"/>
      <c r="QYW30" s="78"/>
      <c r="QZA30" s="78"/>
      <c r="QZE30" s="78"/>
      <c r="QZI30" s="78"/>
      <c r="QZM30" s="78"/>
      <c r="QZQ30" s="78"/>
      <c r="QZU30" s="78"/>
      <c r="QZY30" s="78"/>
      <c r="RAC30" s="78"/>
      <c r="RAG30" s="78"/>
      <c r="RAK30" s="78"/>
      <c r="RAO30" s="78"/>
      <c r="RAS30" s="78"/>
      <c r="RAW30" s="78"/>
      <c r="RBA30" s="78"/>
      <c r="RBE30" s="78"/>
      <c r="RBI30" s="78"/>
      <c r="RBM30" s="78"/>
      <c r="RBQ30" s="78"/>
      <c r="RBU30" s="78"/>
      <c r="RBY30" s="78"/>
      <c r="RCC30" s="78"/>
      <c r="RCG30" s="78"/>
      <c r="RCK30" s="78"/>
      <c r="RCO30" s="78"/>
      <c r="RCS30" s="78"/>
      <c r="RCW30" s="78"/>
      <c r="RDA30" s="78"/>
      <c r="RDE30" s="78"/>
      <c r="RDI30" s="78"/>
      <c r="RDM30" s="78"/>
      <c r="RDQ30" s="78"/>
      <c r="RDU30" s="78"/>
      <c r="RDY30" s="78"/>
      <c r="REC30" s="78"/>
      <c r="REG30" s="78"/>
      <c r="REK30" s="78"/>
      <c r="REO30" s="78"/>
      <c r="RES30" s="78"/>
      <c r="REW30" s="78"/>
      <c r="RFA30" s="78"/>
      <c r="RFE30" s="78"/>
      <c r="RFI30" s="78"/>
      <c r="RFM30" s="78"/>
      <c r="RFQ30" s="78"/>
      <c r="RFU30" s="78"/>
      <c r="RFY30" s="78"/>
      <c r="RGC30" s="78"/>
      <c r="RGG30" s="78"/>
      <c r="RGK30" s="78"/>
      <c r="RGO30" s="78"/>
      <c r="RGS30" s="78"/>
      <c r="RGW30" s="78"/>
      <c r="RHA30" s="78"/>
      <c r="RHE30" s="78"/>
      <c r="RHI30" s="78"/>
      <c r="RHM30" s="78"/>
      <c r="RHQ30" s="78"/>
      <c r="RHU30" s="78"/>
      <c r="RHY30" s="78"/>
      <c r="RIC30" s="78"/>
      <c r="RIG30" s="78"/>
      <c r="RIK30" s="78"/>
      <c r="RIO30" s="78"/>
      <c r="RIS30" s="78"/>
      <c r="RIW30" s="78"/>
      <c r="RJA30" s="78"/>
      <c r="RJE30" s="78"/>
      <c r="RJI30" s="78"/>
      <c r="RJM30" s="78"/>
      <c r="RJQ30" s="78"/>
      <c r="RJU30" s="78"/>
      <c r="RJY30" s="78"/>
      <c r="RKC30" s="78"/>
      <c r="RKG30" s="78"/>
      <c r="RKK30" s="78"/>
      <c r="RKO30" s="78"/>
      <c r="RKS30" s="78"/>
      <c r="RKW30" s="78"/>
      <c r="RLA30" s="78"/>
      <c r="RLE30" s="78"/>
      <c r="RLI30" s="78"/>
      <c r="RLM30" s="78"/>
      <c r="RLQ30" s="78"/>
      <c r="RLU30" s="78"/>
      <c r="RLY30" s="78"/>
      <c r="RMC30" s="78"/>
      <c r="RMG30" s="78"/>
      <c r="RMK30" s="78"/>
      <c r="RMO30" s="78"/>
      <c r="RMS30" s="78"/>
      <c r="RMW30" s="78"/>
      <c r="RNA30" s="78"/>
      <c r="RNE30" s="78"/>
      <c r="RNI30" s="78"/>
      <c r="RNM30" s="78"/>
      <c r="RNQ30" s="78"/>
      <c r="RNU30" s="78"/>
      <c r="RNY30" s="78"/>
      <c r="ROC30" s="78"/>
      <c r="ROG30" s="78"/>
      <c r="ROK30" s="78"/>
      <c r="ROO30" s="78"/>
      <c r="ROS30" s="78"/>
      <c r="ROW30" s="78"/>
      <c r="RPA30" s="78"/>
      <c r="RPE30" s="78"/>
      <c r="RPI30" s="78"/>
      <c r="RPM30" s="78"/>
      <c r="RPQ30" s="78"/>
      <c r="RPU30" s="78"/>
      <c r="RPY30" s="78"/>
      <c r="RQC30" s="78"/>
      <c r="RQG30" s="78"/>
      <c r="RQK30" s="78"/>
      <c r="RQO30" s="78"/>
      <c r="RQS30" s="78"/>
      <c r="RQW30" s="78"/>
      <c r="RRA30" s="78"/>
      <c r="RRE30" s="78"/>
      <c r="RRI30" s="78"/>
      <c r="RRM30" s="78"/>
      <c r="RRQ30" s="78"/>
      <c r="RRU30" s="78"/>
      <c r="RRY30" s="78"/>
      <c r="RSC30" s="78"/>
      <c r="RSG30" s="78"/>
      <c r="RSK30" s="78"/>
      <c r="RSO30" s="78"/>
      <c r="RSS30" s="78"/>
      <c r="RSW30" s="78"/>
      <c r="RTA30" s="78"/>
      <c r="RTE30" s="78"/>
      <c r="RTI30" s="78"/>
      <c r="RTM30" s="78"/>
      <c r="RTQ30" s="78"/>
      <c r="RTU30" s="78"/>
      <c r="RTY30" s="78"/>
      <c r="RUC30" s="78"/>
      <c r="RUG30" s="78"/>
      <c r="RUK30" s="78"/>
      <c r="RUO30" s="78"/>
      <c r="RUS30" s="78"/>
      <c r="RUW30" s="78"/>
      <c r="RVA30" s="78"/>
      <c r="RVE30" s="78"/>
      <c r="RVI30" s="78"/>
      <c r="RVM30" s="78"/>
      <c r="RVQ30" s="78"/>
      <c r="RVU30" s="78"/>
      <c r="RVY30" s="78"/>
      <c r="RWC30" s="78"/>
      <c r="RWG30" s="78"/>
      <c r="RWK30" s="78"/>
      <c r="RWO30" s="78"/>
      <c r="RWS30" s="78"/>
      <c r="RWW30" s="78"/>
      <c r="RXA30" s="78"/>
      <c r="RXE30" s="78"/>
      <c r="RXI30" s="78"/>
      <c r="RXM30" s="78"/>
      <c r="RXQ30" s="78"/>
      <c r="RXU30" s="78"/>
      <c r="RXY30" s="78"/>
      <c r="RYC30" s="78"/>
      <c r="RYG30" s="78"/>
      <c r="RYK30" s="78"/>
      <c r="RYO30" s="78"/>
      <c r="RYS30" s="78"/>
      <c r="RYW30" s="78"/>
      <c r="RZA30" s="78"/>
      <c r="RZE30" s="78"/>
      <c r="RZI30" s="78"/>
      <c r="RZM30" s="78"/>
      <c r="RZQ30" s="78"/>
      <c r="RZU30" s="78"/>
      <c r="RZY30" s="78"/>
      <c r="SAC30" s="78"/>
      <c r="SAG30" s="78"/>
      <c r="SAK30" s="78"/>
      <c r="SAO30" s="78"/>
      <c r="SAS30" s="78"/>
      <c r="SAW30" s="78"/>
      <c r="SBA30" s="78"/>
      <c r="SBE30" s="78"/>
      <c r="SBI30" s="78"/>
      <c r="SBM30" s="78"/>
      <c r="SBQ30" s="78"/>
      <c r="SBU30" s="78"/>
      <c r="SBY30" s="78"/>
      <c r="SCC30" s="78"/>
      <c r="SCG30" s="78"/>
      <c r="SCK30" s="78"/>
      <c r="SCO30" s="78"/>
      <c r="SCS30" s="78"/>
      <c r="SCW30" s="78"/>
      <c r="SDA30" s="78"/>
      <c r="SDE30" s="78"/>
      <c r="SDI30" s="78"/>
      <c r="SDM30" s="78"/>
      <c r="SDQ30" s="78"/>
      <c r="SDU30" s="78"/>
      <c r="SDY30" s="78"/>
      <c r="SEC30" s="78"/>
      <c r="SEG30" s="78"/>
      <c r="SEK30" s="78"/>
      <c r="SEO30" s="78"/>
      <c r="SES30" s="78"/>
      <c r="SEW30" s="78"/>
      <c r="SFA30" s="78"/>
      <c r="SFE30" s="78"/>
      <c r="SFI30" s="78"/>
      <c r="SFM30" s="78"/>
      <c r="SFQ30" s="78"/>
      <c r="SFU30" s="78"/>
      <c r="SFY30" s="78"/>
      <c r="SGC30" s="78"/>
      <c r="SGG30" s="78"/>
      <c r="SGK30" s="78"/>
      <c r="SGO30" s="78"/>
      <c r="SGS30" s="78"/>
      <c r="SGW30" s="78"/>
      <c r="SHA30" s="78"/>
      <c r="SHE30" s="78"/>
      <c r="SHI30" s="78"/>
      <c r="SHM30" s="78"/>
      <c r="SHQ30" s="78"/>
      <c r="SHU30" s="78"/>
      <c r="SHY30" s="78"/>
      <c r="SIC30" s="78"/>
      <c r="SIG30" s="78"/>
      <c r="SIK30" s="78"/>
      <c r="SIO30" s="78"/>
      <c r="SIS30" s="78"/>
      <c r="SIW30" s="78"/>
      <c r="SJA30" s="78"/>
      <c r="SJE30" s="78"/>
      <c r="SJI30" s="78"/>
      <c r="SJM30" s="78"/>
      <c r="SJQ30" s="78"/>
      <c r="SJU30" s="78"/>
      <c r="SJY30" s="78"/>
      <c r="SKC30" s="78"/>
      <c r="SKG30" s="78"/>
      <c r="SKK30" s="78"/>
      <c r="SKO30" s="78"/>
      <c r="SKS30" s="78"/>
      <c r="SKW30" s="78"/>
      <c r="SLA30" s="78"/>
      <c r="SLE30" s="78"/>
      <c r="SLI30" s="78"/>
      <c r="SLM30" s="78"/>
      <c r="SLQ30" s="78"/>
      <c r="SLU30" s="78"/>
      <c r="SLY30" s="78"/>
      <c r="SMC30" s="78"/>
      <c r="SMG30" s="78"/>
      <c r="SMK30" s="78"/>
      <c r="SMO30" s="78"/>
      <c r="SMS30" s="78"/>
      <c r="SMW30" s="78"/>
      <c r="SNA30" s="78"/>
      <c r="SNE30" s="78"/>
      <c r="SNI30" s="78"/>
      <c r="SNM30" s="78"/>
      <c r="SNQ30" s="78"/>
      <c r="SNU30" s="78"/>
      <c r="SNY30" s="78"/>
      <c r="SOC30" s="78"/>
      <c r="SOG30" s="78"/>
      <c r="SOK30" s="78"/>
      <c r="SOO30" s="78"/>
      <c r="SOS30" s="78"/>
      <c r="SOW30" s="78"/>
      <c r="SPA30" s="78"/>
      <c r="SPE30" s="78"/>
      <c r="SPI30" s="78"/>
      <c r="SPM30" s="78"/>
      <c r="SPQ30" s="78"/>
      <c r="SPU30" s="78"/>
      <c r="SPY30" s="78"/>
      <c r="SQC30" s="78"/>
      <c r="SQG30" s="78"/>
      <c r="SQK30" s="78"/>
      <c r="SQO30" s="78"/>
      <c r="SQS30" s="78"/>
      <c r="SQW30" s="78"/>
      <c r="SRA30" s="78"/>
      <c r="SRE30" s="78"/>
      <c r="SRI30" s="78"/>
      <c r="SRM30" s="78"/>
      <c r="SRQ30" s="78"/>
      <c r="SRU30" s="78"/>
      <c r="SRY30" s="78"/>
      <c r="SSC30" s="78"/>
      <c r="SSG30" s="78"/>
      <c r="SSK30" s="78"/>
      <c r="SSO30" s="78"/>
      <c r="SSS30" s="78"/>
      <c r="SSW30" s="78"/>
      <c r="STA30" s="78"/>
      <c r="STE30" s="78"/>
      <c r="STI30" s="78"/>
      <c r="STM30" s="78"/>
      <c r="STQ30" s="78"/>
      <c r="STU30" s="78"/>
      <c r="STY30" s="78"/>
      <c r="SUC30" s="78"/>
      <c r="SUG30" s="78"/>
      <c r="SUK30" s="78"/>
      <c r="SUO30" s="78"/>
      <c r="SUS30" s="78"/>
      <c r="SUW30" s="78"/>
      <c r="SVA30" s="78"/>
      <c r="SVE30" s="78"/>
      <c r="SVI30" s="78"/>
      <c r="SVM30" s="78"/>
      <c r="SVQ30" s="78"/>
      <c r="SVU30" s="78"/>
      <c r="SVY30" s="78"/>
      <c r="SWC30" s="78"/>
      <c r="SWG30" s="78"/>
      <c r="SWK30" s="78"/>
      <c r="SWO30" s="78"/>
      <c r="SWS30" s="78"/>
      <c r="SWW30" s="78"/>
      <c r="SXA30" s="78"/>
      <c r="SXE30" s="78"/>
      <c r="SXI30" s="78"/>
      <c r="SXM30" s="78"/>
      <c r="SXQ30" s="78"/>
      <c r="SXU30" s="78"/>
      <c r="SXY30" s="78"/>
      <c r="SYC30" s="78"/>
      <c r="SYG30" s="78"/>
      <c r="SYK30" s="78"/>
      <c r="SYO30" s="78"/>
      <c r="SYS30" s="78"/>
      <c r="SYW30" s="78"/>
      <c r="SZA30" s="78"/>
      <c r="SZE30" s="78"/>
      <c r="SZI30" s="78"/>
      <c r="SZM30" s="78"/>
      <c r="SZQ30" s="78"/>
      <c r="SZU30" s="78"/>
      <c r="SZY30" s="78"/>
      <c r="TAC30" s="78"/>
      <c r="TAG30" s="78"/>
      <c r="TAK30" s="78"/>
      <c r="TAO30" s="78"/>
      <c r="TAS30" s="78"/>
      <c r="TAW30" s="78"/>
      <c r="TBA30" s="78"/>
      <c r="TBE30" s="78"/>
      <c r="TBI30" s="78"/>
      <c r="TBM30" s="78"/>
      <c r="TBQ30" s="78"/>
      <c r="TBU30" s="78"/>
      <c r="TBY30" s="78"/>
      <c r="TCC30" s="78"/>
      <c r="TCG30" s="78"/>
      <c r="TCK30" s="78"/>
      <c r="TCO30" s="78"/>
      <c r="TCS30" s="78"/>
      <c r="TCW30" s="78"/>
      <c r="TDA30" s="78"/>
      <c r="TDE30" s="78"/>
      <c r="TDI30" s="78"/>
      <c r="TDM30" s="78"/>
      <c r="TDQ30" s="78"/>
      <c r="TDU30" s="78"/>
      <c r="TDY30" s="78"/>
      <c r="TEC30" s="78"/>
      <c r="TEG30" s="78"/>
      <c r="TEK30" s="78"/>
      <c r="TEO30" s="78"/>
      <c r="TES30" s="78"/>
      <c r="TEW30" s="78"/>
      <c r="TFA30" s="78"/>
      <c r="TFE30" s="78"/>
      <c r="TFI30" s="78"/>
      <c r="TFM30" s="78"/>
      <c r="TFQ30" s="78"/>
      <c r="TFU30" s="78"/>
      <c r="TFY30" s="78"/>
      <c r="TGC30" s="78"/>
      <c r="TGG30" s="78"/>
      <c r="TGK30" s="78"/>
      <c r="TGO30" s="78"/>
      <c r="TGS30" s="78"/>
      <c r="TGW30" s="78"/>
      <c r="THA30" s="78"/>
      <c r="THE30" s="78"/>
      <c r="THI30" s="78"/>
      <c r="THM30" s="78"/>
      <c r="THQ30" s="78"/>
      <c r="THU30" s="78"/>
      <c r="THY30" s="78"/>
      <c r="TIC30" s="78"/>
      <c r="TIG30" s="78"/>
      <c r="TIK30" s="78"/>
      <c r="TIO30" s="78"/>
      <c r="TIS30" s="78"/>
      <c r="TIW30" s="78"/>
      <c r="TJA30" s="78"/>
      <c r="TJE30" s="78"/>
      <c r="TJI30" s="78"/>
      <c r="TJM30" s="78"/>
      <c r="TJQ30" s="78"/>
      <c r="TJU30" s="78"/>
      <c r="TJY30" s="78"/>
      <c r="TKC30" s="78"/>
      <c r="TKG30" s="78"/>
      <c r="TKK30" s="78"/>
      <c r="TKO30" s="78"/>
      <c r="TKS30" s="78"/>
      <c r="TKW30" s="78"/>
      <c r="TLA30" s="78"/>
      <c r="TLE30" s="78"/>
      <c r="TLI30" s="78"/>
      <c r="TLM30" s="78"/>
      <c r="TLQ30" s="78"/>
      <c r="TLU30" s="78"/>
      <c r="TLY30" s="78"/>
      <c r="TMC30" s="78"/>
      <c r="TMG30" s="78"/>
      <c r="TMK30" s="78"/>
      <c r="TMO30" s="78"/>
      <c r="TMS30" s="78"/>
      <c r="TMW30" s="78"/>
      <c r="TNA30" s="78"/>
      <c r="TNE30" s="78"/>
      <c r="TNI30" s="78"/>
      <c r="TNM30" s="78"/>
      <c r="TNQ30" s="78"/>
      <c r="TNU30" s="78"/>
      <c r="TNY30" s="78"/>
      <c r="TOC30" s="78"/>
      <c r="TOG30" s="78"/>
      <c r="TOK30" s="78"/>
      <c r="TOO30" s="78"/>
      <c r="TOS30" s="78"/>
      <c r="TOW30" s="78"/>
      <c r="TPA30" s="78"/>
      <c r="TPE30" s="78"/>
      <c r="TPI30" s="78"/>
      <c r="TPM30" s="78"/>
      <c r="TPQ30" s="78"/>
      <c r="TPU30" s="78"/>
      <c r="TPY30" s="78"/>
      <c r="TQC30" s="78"/>
      <c r="TQG30" s="78"/>
      <c r="TQK30" s="78"/>
      <c r="TQO30" s="78"/>
      <c r="TQS30" s="78"/>
      <c r="TQW30" s="78"/>
      <c r="TRA30" s="78"/>
      <c r="TRE30" s="78"/>
      <c r="TRI30" s="78"/>
      <c r="TRM30" s="78"/>
      <c r="TRQ30" s="78"/>
      <c r="TRU30" s="78"/>
      <c r="TRY30" s="78"/>
      <c r="TSC30" s="78"/>
      <c r="TSG30" s="78"/>
      <c r="TSK30" s="78"/>
      <c r="TSO30" s="78"/>
      <c r="TSS30" s="78"/>
      <c r="TSW30" s="78"/>
      <c r="TTA30" s="78"/>
      <c r="TTE30" s="78"/>
      <c r="TTI30" s="78"/>
      <c r="TTM30" s="78"/>
      <c r="TTQ30" s="78"/>
      <c r="TTU30" s="78"/>
      <c r="TTY30" s="78"/>
      <c r="TUC30" s="78"/>
      <c r="TUG30" s="78"/>
      <c r="TUK30" s="78"/>
      <c r="TUO30" s="78"/>
      <c r="TUS30" s="78"/>
      <c r="TUW30" s="78"/>
      <c r="TVA30" s="78"/>
      <c r="TVE30" s="78"/>
      <c r="TVI30" s="78"/>
      <c r="TVM30" s="78"/>
      <c r="TVQ30" s="78"/>
      <c r="TVU30" s="78"/>
      <c r="TVY30" s="78"/>
      <c r="TWC30" s="78"/>
      <c r="TWG30" s="78"/>
      <c r="TWK30" s="78"/>
      <c r="TWO30" s="78"/>
      <c r="TWS30" s="78"/>
      <c r="TWW30" s="78"/>
      <c r="TXA30" s="78"/>
      <c r="TXE30" s="78"/>
      <c r="TXI30" s="78"/>
      <c r="TXM30" s="78"/>
      <c r="TXQ30" s="78"/>
      <c r="TXU30" s="78"/>
      <c r="TXY30" s="78"/>
      <c r="TYC30" s="78"/>
      <c r="TYG30" s="78"/>
      <c r="TYK30" s="78"/>
      <c r="TYO30" s="78"/>
      <c r="TYS30" s="78"/>
      <c r="TYW30" s="78"/>
      <c r="TZA30" s="78"/>
      <c r="TZE30" s="78"/>
      <c r="TZI30" s="78"/>
      <c r="TZM30" s="78"/>
      <c r="TZQ30" s="78"/>
      <c r="TZU30" s="78"/>
      <c r="TZY30" s="78"/>
      <c r="UAC30" s="78"/>
      <c r="UAG30" s="78"/>
      <c r="UAK30" s="78"/>
      <c r="UAO30" s="78"/>
      <c r="UAS30" s="78"/>
      <c r="UAW30" s="78"/>
      <c r="UBA30" s="78"/>
      <c r="UBE30" s="78"/>
      <c r="UBI30" s="78"/>
      <c r="UBM30" s="78"/>
      <c r="UBQ30" s="78"/>
      <c r="UBU30" s="78"/>
      <c r="UBY30" s="78"/>
      <c r="UCC30" s="78"/>
      <c r="UCG30" s="78"/>
      <c r="UCK30" s="78"/>
      <c r="UCO30" s="78"/>
      <c r="UCS30" s="78"/>
      <c r="UCW30" s="78"/>
      <c r="UDA30" s="78"/>
      <c r="UDE30" s="78"/>
      <c r="UDI30" s="78"/>
      <c r="UDM30" s="78"/>
      <c r="UDQ30" s="78"/>
      <c r="UDU30" s="78"/>
      <c r="UDY30" s="78"/>
      <c r="UEC30" s="78"/>
      <c r="UEG30" s="78"/>
      <c r="UEK30" s="78"/>
      <c r="UEO30" s="78"/>
      <c r="UES30" s="78"/>
      <c r="UEW30" s="78"/>
      <c r="UFA30" s="78"/>
      <c r="UFE30" s="78"/>
      <c r="UFI30" s="78"/>
      <c r="UFM30" s="78"/>
      <c r="UFQ30" s="78"/>
      <c r="UFU30" s="78"/>
      <c r="UFY30" s="78"/>
      <c r="UGC30" s="78"/>
      <c r="UGG30" s="78"/>
      <c r="UGK30" s="78"/>
      <c r="UGO30" s="78"/>
      <c r="UGS30" s="78"/>
      <c r="UGW30" s="78"/>
      <c r="UHA30" s="78"/>
      <c r="UHE30" s="78"/>
      <c r="UHI30" s="78"/>
      <c r="UHM30" s="78"/>
      <c r="UHQ30" s="78"/>
      <c r="UHU30" s="78"/>
      <c r="UHY30" s="78"/>
      <c r="UIC30" s="78"/>
      <c r="UIG30" s="78"/>
      <c r="UIK30" s="78"/>
      <c r="UIO30" s="78"/>
      <c r="UIS30" s="78"/>
      <c r="UIW30" s="78"/>
      <c r="UJA30" s="78"/>
      <c r="UJE30" s="78"/>
      <c r="UJI30" s="78"/>
      <c r="UJM30" s="78"/>
      <c r="UJQ30" s="78"/>
      <c r="UJU30" s="78"/>
      <c r="UJY30" s="78"/>
      <c r="UKC30" s="78"/>
      <c r="UKG30" s="78"/>
      <c r="UKK30" s="78"/>
      <c r="UKO30" s="78"/>
      <c r="UKS30" s="78"/>
      <c r="UKW30" s="78"/>
      <c r="ULA30" s="78"/>
      <c r="ULE30" s="78"/>
      <c r="ULI30" s="78"/>
      <c r="ULM30" s="78"/>
      <c r="ULQ30" s="78"/>
      <c r="ULU30" s="78"/>
      <c r="ULY30" s="78"/>
      <c r="UMC30" s="78"/>
      <c r="UMG30" s="78"/>
      <c r="UMK30" s="78"/>
      <c r="UMO30" s="78"/>
      <c r="UMS30" s="78"/>
      <c r="UMW30" s="78"/>
      <c r="UNA30" s="78"/>
      <c r="UNE30" s="78"/>
      <c r="UNI30" s="78"/>
      <c r="UNM30" s="78"/>
      <c r="UNQ30" s="78"/>
      <c r="UNU30" s="78"/>
      <c r="UNY30" s="78"/>
      <c r="UOC30" s="78"/>
      <c r="UOG30" s="78"/>
      <c r="UOK30" s="78"/>
      <c r="UOO30" s="78"/>
      <c r="UOS30" s="78"/>
      <c r="UOW30" s="78"/>
      <c r="UPA30" s="78"/>
      <c r="UPE30" s="78"/>
      <c r="UPI30" s="78"/>
      <c r="UPM30" s="78"/>
      <c r="UPQ30" s="78"/>
      <c r="UPU30" s="78"/>
      <c r="UPY30" s="78"/>
      <c r="UQC30" s="78"/>
      <c r="UQG30" s="78"/>
      <c r="UQK30" s="78"/>
      <c r="UQO30" s="78"/>
      <c r="UQS30" s="78"/>
      <c r="UQW30" s="78"/>
      <c r="URA30" s="78"/>
      <c r="URE30" s="78"/>
      <c r="URI30" s="78"/>
      <c r="URM30" s="78"/>
      <c r="URQ30" s="78"/>
      <c r="URU30" s="78"/>
      <c r="URY30" s="78"/>
      <c r="USC30" s="78"/>
      <c r="USG30" s="78"/>
      <c r="USK30" s="78"/>
      <c r="USO30" s="78"/>
      <c r="USS30" s="78"/>
      <c r="USW30" s="78"/>
      <c r="UTA30" s="78"/>
      <c r="UTE30" s="78"/>
      <c r="UTI30" s="78"/>
      <c r="UTM30" s="78"/>
      <c r="UTQ30" s="78"/>
      <c r="UTU30" s="78"/>
      <c r="UTY30" s="78"/>
      <c r="UUC30" s="78"/>
      <c r="UUG30" s="78"/>
      <c r="UUK30" s="78"/>
      <c r="UUO30" s="78"/>
      <c r="UUS30" s="78"/>
      <c r="UUW30" s="78"/>
      <c r="UVA30" s="78"/>
      <c r="UVE30" s="78"/>
      <c r="UVI30" s="78"/>
      <c r="UVM30" s="78"/>
      <c r="UVQ30" s="78"/>
      <c r="UVU30" s="78"/>
      <c r="UVY30" s="78"/>
      <c r="UWC30" s="78"/>
      <c r="UWG30" s="78"/>
      <c r="UWK30" s="78"/>
      <c r="UWO30" s="78"/>
      <c r="UWS30" s="78"/>
      <c r="UWW30" s="78"/>
      <c r="UXA30" s="78"/>
      <c r="UXE30" s="78"/>
      <c r="UXI30" s="78"/>
      <c r="UXM30" s="78"/>
      <c r="UXQ30" s="78"/>
      <c r="UXU30" s="78"/>
      <c r="UXY30" s="78"/>
      <c r="UYC30" s="78"/>
      <c r="UYG30" s="78"/>
      <c r="UYK30" s="78"/>
      <c r="UYO30" s="78"/>
      <c r="UYS30" s="78"/>
      <c r="UYW30" s="78"/>
      <c r="UZA30" s="78"/>
      <c r="UZE30" s="78"/>
      <c r="UZI30" s="78"/>
      <c r="UZM30" s="78"/>
      <c r="UZQ30" s="78"/>
      <c r="UZU30" s="78"/>
      <c r="UZY30" s="78"/>
      <c r="VAC30" s="78"/>
      <c r="VAG30" s="78"/>
      <c r="VAK30" s="78"/>
      <c r="VAO30" s="78"/>
      <c r="VAS30" s="78"/>
      <c r="VAW30" s="78"/>
      <c r="VBA30" s="78"/>
      <c r="VBE30" s="78"/>
      <c r="VBI30" s="78"/>
      <c r="VBM30" s="78"/>
      <c r="VBQ30" s="78"/>
      <c r="VBU30" s="78"/>
      <c r="VBY30" s="78"/>
      <c r="VCC30" s="78"/>
      <c r="VCG30" s="78"/>
      <c r="VCK30" s="78"/>
      <c r="VCO30" s="78"/>
      <c r="VCS30" s="78"/>
      <c r="VCW30" s="78"/>
      <c r="VDA30" s="78"/>
      <c r="VDE30" s="78"/>
      <c r="VDI30" s="78"/>
      <c r="VDM30" s="78"/>
      <c r="VDQ30" s="78"/>
      <c r="VDU30" s="78"/>
      <c r="VDY30" s="78"/>
      <c r="VEC30" s="78"/>
      <c r="VEG30" s="78"/>
      <c r="VEK30" s="78"/>
      <c r="VEO30" s="78"/>
      <c r="VES30" s="78"/>
      <c r="VEW30" s="78"/>
      <c r="VFA30" s="78"/>
      <c r="VFE30" s="78"/>
      <c r="VFI30" s="78"/>
      <c r="VFM30" s="78"/>
      <c r="VFQ30" s="78"/>
      <c r="VFU30" s="78"/>
      <c r="VFY30" s="78"/>
      <c r="VGC30" s="78"/>
      <c r="VGG30" s="78"/>
      <c r="VGK30" s="78"/>
      <c r="VGO30" s="78"/>
      <c r="VGS30" s="78"/>
      <c r="VGW30" s="78"/>
      <c r="VHA30" s="78"/>
      <c r="VHE30" s="78"/>
      <c r="VHI30" s="78"/>
      <c r="VHM30" s="78"/>
      <c r="VHQ30" s="78"/>
      <c r="VHU30" s="78"/>
      <c r="VHY30" s="78"/>
      <c r="VIC30" s="78"/>
      <c r="VIG30" s="78"/>
      <c r="VIK30" s="78"/>
      <c r="VIO30" s="78"/>
      <c r="VIS30" s="78"/>
      <c r="VIW30" s="78"/>
      <c r="VJA30" s="78"/>
      <c r="VJE30" s="78"/>
      <c r="VJI30" s="78"/>
      <c r="VJM30" s="78"/>
      <c r="VJQ30" s="78"/>
      <c r="VJU30" s="78"/>
      <c r="VJY30" s="78"/>
      <c r="VKC30" s="78"/>
      <c r="VKG30" s="78"/>
      <c r="VKK30" s="78"/>
      <c r="VKO30" s="78"/>
      <c r="VKS30" s="78"/>
      <c r="VKW30" s="78"/>
      <c r="VLA30" s="78"/>
      <c r="VLE30" s="78"/>
      <c r="VLI30" s="78"/>
      <c r="VLM30" s="78"/>
      <c r="VLQ30" s="78"/>
      <c r="VLU30" s="78"/>
      <c r="VLY30" s="78"/>
      <c r="VMC30" s="78"/>
      <c r="VMG30" s="78"/>
      <c r="VMK30" s="78"/>
      <c r="VMO30" s="78"/>
      <c r="VMS30" s="78"/>
      <c r="VMW30" s="78"/>
      <c r="VNA30" s="78"/>
      <c r="VNE30" s="78"/>
      <c r="VNI30" s="78"/>
      <c r="VNM30" s="78"/>
      <c r="VNQ30" s="78"/>
      <c r="VNU30" s="78"/>
      <c r="VNY30" s="78"/>
      <c r="VOC30" s="78"/>
      <c r="VOG30" s="78"/>
      <c r="VOK30" s="78"/>
      <c r="VOO30" s="78"/>
      <c r="VOS30" s="78"/>
      <c r="VOW30" s="78"/>
      <c r="VPA30" s="78"/>
      <c r="VPE30" s="78"/>
      <c r="VPI30" s="78"/>
      <c r="VPM30" s="78"/>
      <c r="VPQ30" s="78"/>
      <c r="VPU30" s="78"/>
      <c r="VPY30" s="78"/>
      <c r="VQC30" s="78"/>
      <c r="VQG30" s="78"/>
      <c r="VQK30" s="78"/>
      <c r="VQO30" s="78"/>
      <c r="VQS30" s="78"/>
      <c r="VQW30" s="78"/>
      <c r="VRA30" s="78"/>
      <c r="VRE30" s="78"/>
      <c r="VRI30" s="78"/>
      <c r="VRM30" s="78"/>
      <c r="VRQ30" s="78"/>
      <c r="VRU30" s="78"/>
      <c r="VRY30" s="78"/>
      <c r="VSC30" s="78"/>
      <c r="VSG30" s="78"/>
      <c r="VSK30" s="78"/>
      <c r="VSO30" s="78"/>
      <c r="VSS30" s="78"/>
      <c r="VSW30" s="78"/>
      <c r="VTA30" s="78"/>
      <c r="VTE30" s="78"/>
      <c r="VTI30" s="78"/>
      <c r="VTM30" s="78"/>
      <c r="VTQ30" s="78"/>
      <c r="VTU30" s="78"/>
      <c r="VTY30" s="78"/>
      <c r="VUC30" s="78"/>
      <c r="VUG30" s="78"/>
      <c r="VUK30" s="78"/>
      <c r="VUO30" s="78"/>
      <c r="VUS30" s="78"/>
      <c r="VUW30" s="78"/>
      <c r="VVA30" s="78"/>
      <c r="VVE30" s="78"/>
      <c r="VVI30" s="78"/>
      <c r="VVM30" s="78"/>
      <c r="VVQ30" s="78"/>
      <c r="VVU30" s="78"/>
      <c r="VVY30" s="78"/>
      <c r="VWC30" s="78"/>
      <c r="VWG30" s="78"/>
      <c r="VWK30" s="78"/>
      <c r="VWO30" s="78"/>
      <c r="VWS30" s="78"/>
      <c r="VWW30" s="78"/>
      <c r="VXA30" s="78"/>
      <c r="VXE30" s="78"/>
      <c r="VXI30" s="78"/>
      <c r="VXM30" s="78"/>
      <c r="VXQ30" s="78"/>
      <c r="VXU30" s="78"/>
      <c r="VXY30" s="78"/>
      <c r="VYC30" s="78"/>
      <c r="VYG30" s="78"/>
      <c r="VYK30" s="78"/>
      <c r="VYO30" s="78"/>
      <c r="VYS30" s="78"/>
      <c r="VYW30" s="78"/>
      <c r="VZA30" s="78"/>
      <c r="VZE30" s="78"/>
      <c r="VZI30" s="78"/>
      <c r="VZM30" s="78"/>
      <c r="VZQ30" s="78"/>
      <c r="VZU30" s="78"/>
      <c r="VZY30" s="78"/>
      <c r="WAC30" s="78"/>
      <c r="WAG30" s="78"/>
      <c r="WAK30" s="78"/>
      <c r="WAO30" s="78"/>
      <c r="WAS30" s="78"/>
      <c r="WAW30" s="78"/>
      <c r="WBA30" s="78"/>
      <c r="WBE30" s="78"/>
      <c r="WBI30" s="78"/>
      <c r="WBM30" s="78"/>
      <c r="WBQ30" s="78"/>
      <c r="WBU30" s="78"/>
      <c r="WBY30" s="78"/>
      <c r="WCC30" s="78"/>
      <c r="WCG30" s="78"/>
      <c r="WCK30" s="78"/>
      <c r="WCO30" s="78"/>
      <c r="WCS30" s="78"/>
      <c r="WCW30" s="78"/>
      <c r="WDA30" s="78"/>
      <c r="WDE30" s="78"/>
      <c r="WDI30" s="78"/>
      <c r="WDM30" s="78"/>
      <c r="WDQ30" s="78"/>
      <c r="WDU30" s="78"/>
      <c r="WDY30" s="78"/>
      <c r="WEC30" s="78"/>
      <c r="WEG30" s="78"/>
      <c r="WEK30" s="78"/>
      <c r="WEO30" s="78"/>
      <c r="WES30" s="78"/>
      <c r="WEW30" s="78"/>
      <c r="WFA30" s="78"/>
      <c r="WFE30" s="78"/>
      <c r="WFI30" s="78"/>
      <c r="WFM30" s="78"/>
      <c r="WFQ30" s="78"/>
      <c r="WFU30" s="78"/>
      <c r="WFY30" s="78"/>
      <c r="WGC30" s="78"/>
      <c r="WGG30" s="78"/>
      <c r="WGK30" s="78"/>
      <c r="WGO30" s="78"/>
      <c r="WGS30" s="78"/>
      <c r="WGW30" s="78"/>
      <c r="WHA30" s="78"/>
      <c r="WHE30" s="78"/>
      <c r="WHI30" s="78"/>
      <c r="WHM30" s="78"/>
      <c r="WHQ30" s="78"/>
      <c r="WHU30" s="78"/>
      <c r="WHY30" s="78"/>
      <c r="WIC30" s="78"/>
      <c r="WIG30" s="78"/>
      <c r="WIK30" s="78"/>
      <c r="WIO30" s="78"/>
      <c r="WIS30" s="78"/>
      <c r="WIW30" s="78"/>
      <c r="WJA30" s="78"/>
      <c r="WJE30" s="78"/>
      <c r="WJI30" s="78"/>
      <c r="WJM30" s="78"/>
      <c r="WJQ30" s="78"/>
      <c r="WJU30" s="78"/>
      <c r="WJY30" s="78"/>
      <c r="WKC30" s="78"/>
      <c r="WKG30" s="78"/>
      <c r="WKK30" s="78"/>
      <c r="WKO30" s="78"/>
      <c r="WKS30" s="78"/>
      <c r="WKW30" s="78"/>
      <c r="WLA30" s="78"/>
      <c r="WLE30" s="78"/>
      <c r="WLI30" s="78"/>
      <c r="WLM30" s="78"/>
      <c r="WLQ30" s="78"/>
      <c r="WLU30" s="78"/>
      <c r="WLY30" s="78"/>
      <c r="WMC30" s="78"/>
      <c r="WMG30" s="78"/>
      <c r="WMK30" s="78"/>
      <c r="WMO30" s="78"/>
      <c r="WMS30" s="78"/>
      <c r="WMW30" s="78"/>
      <c r="WNA30" s="78"/>
      <c r="WNE30" s="78"/>
      <c r="WNI30" s="78"/>
      <c r="WNM30" s="78"/>
      <c r="WNQ30" s="78"/>
      <c r="WNU30" s="78"/>
      <c r="WNY30" s="78"/>
      <c r="WOC30" s="78"/>
      <c r="WOG30" s="78"/>
      <c r="WOK30" s="78"/>
      <c r="WOO30" s="78"/>
      <c r="WOS30" s="78"/>
      <c r="WOW30" s="78"/>
      <c r="WPA30" s="78"/>
      <c r="WPE30" s="78"/>
      <c r="WPI30" s="78"/>
      <c r="WPM30" s="78"/>
      <c r="WPQ30" s="78"/>
      <c r="WPU30" s="78"/>
      <c r="WPY30" s="78"/>
      <c r="WQC30" s="78"/>
      <c r="WQG30" s="78"/>
      <c r="WQK30" s="78"/>
      <c r="WQO30" s="78"/>
      <c r="WQS30" s="78"/>
      <c r="WQW30" s="78"/>
      <c r="WRA30" s="78"/>
      <c r="WRE30" s="78"/>
      <c r="WRI30" s="78"/>
      <c r="WRM30" s="78"/>
      <c r="WRQ30" s="78"/>
      <c r="WRU30" s="78"/>
      <c r="WRY30" s="78"/>
      <c r="WSC30" s="78"/>
      <c r="WSG30" s="78"/>
      <c r="WSK30" s="78"/>
      <c r="WSO30" s="78"/>
      <c r="WSS30" s="78"/>
      <c r="WSW30" s="78"/>
      <c r="WTA30" s="78"/>
      <c r="WTE30" s="78"/>
      <c r="WTI30" s="78"/>
      <c r="WTM30" s="78"/>
      <c r="WTQ30" s="78"/>
      <c r="WTU30" s="78"/>
      <c r="WTY30" s="78"/>
      <c r="WUC30" s="78"/>
      <c r="WUG30" s="78"/>
      <c r="WUK30" s="78"/>
      <c r="WUO30" s="78"/>
      <c r="WUS30" s="78"/>
      <c r="WUW30" s="78"/>
      <c r="WVA30" s="78"/>
      <c r="WVE30" s="78"/>
      <c r="WVI30" s="78"/>
      <c r="WVM30" s="78"/>
      <c r="WVQ30" s="78"/>
      <c r="WVU30" s="78"/>
      <c r="WVY30" s="78"/>
      <c r="WWC30" s="78"/>
      <c r="WWG30" s="78"/>
      <c r="WWK30" s="78"/>
      <c r="WWO30" s="78"/>
      <c r="WWS30" s="78"/>
      <c r="WWW30" s="78"/>
      <c r="WXA30" s="78"/>
      <c r="WXE30" s="78"/>
      <c r="WXI30" s="78"/>
      <c r="WXM30" s="78"/>
      <c r="WXQ30" s="78"/>
      <c r="WXU30" s="78"/>
      <c r="WXY30" s="78"/>
      <c r="WYC30" s="78"/>
      <c r="WYG30" s="78"/>
      <c r="WYK30" s="78"/>
      <c r="WYO30" s="78"/>
      <c r="WYS30" s="78"/>
      <c r="WYW30" s="78"/>
      <c r="WZA30" s="78"/>
      <c r="WZE30" s="78"/>
      <c r="WZI30" s="78"/>
      <c r="WZM30" s="78"/>
      <c r="WZQ30" s="78"/>
      <c r="WZU30" s="78"/>
      <c r="WZY30" s="78"/>
      <c r="XAC30" s="78"/>
      <c r="XAG30" s="78"/>
      <c r="XAK30" s="78"/>
      <c r="XAO30" s="78"/>
      <c r="XAS30" s="78"/>
      <c r="XAW30" s="78"/>
      <c r="XBA30" s="78"/>
      <c r="XBE30" s="78"/>
      <c r="XBI30" s="78"/>
      <c r="XBM30" s="78"/>
      <c r="XBQ30" s="78"/>
      <c r="XBU30" s="78"/>
      <c r="XBY30" s="78"/>
      <c r="XCC30" s="78"/>
      <c r="XCG30" s="78"/>
      <c r="XCK30" s="78"/>
      <c r="XCO30" s="78"/>
      <c r="XCS30" s="78"/>
      <c r="XCW30" s="78"/>
      <c r="XDA30" s="78"/>
      <c r="XDE30" s="78"/>
      <c r="XDI30" s="78"/>
      <c r="XDM30" s="78"/>
      <c r="XDQ30" s="78"/>
      <c r="XDU30" s="78"/>
      <c r="XDY30" s="78"/>
      <c r="XEC30" s="78"/>
      <c r="XEG30" s="78"/>
      <c r="XEK30" s="78"/>
      <c r="XEO30" s="78"/>
      <c r="XES30" s="78"/>
      <c r="XEW30" s="78"/>
      <c r="XFA30" s="78"/>
    </row>
    <row r="31" spans="1:1021 1025:2045 2049:3069 3073:4093 4097:5117 5121:6141 6145:7165 7169:8189 8193:9213 9217:10237 10241:11261 11265:12285 12289:13309 13313:14333 14337:15357 15361:16381" outlineLevel="1">
      <c r="C31" s="63" t="s">
        <v>124</v>
      </c>
      <c r="D31" s="4" t="s">
        <v>0</v>
      </c>
      <c r="E31" s="48">
        <v>303.10000000000002</v>
      </c>
      <c r="F31" s="48">
        <v>340.40699999999998</v>
      </c>
      <c r="G31" s="48">
        <v>459.00400000000002</v>
      </c>
      <c r="H31" s="48">
        <v>657.17600000000004</v>
      </c>
      <c r="I31" s="48">
        <v>762.6</v>
      </c>
      <c r="J31" s="18">
        <f t="shared" ref="J31:S31" si="11">J19*J32</f>
        <v>997.80153255230618</v>
      </c>
      <c r="K31" s="18">
        <f t="shared" si="11"/>
        <v>1225.7687171372318</v>
      </c>
      <c r="L31" s="18">
        <f t="shared" si="11"/>
        <v>1494.1209218057309</v>
      </c>
      <c r="M31" s="18">
        <f t="shared" si="11"/>
        <v>1799.0591534496193</v>
      </c>
      <c r="N31" s="18">
        <f t="shared" si="11"/>
        <v>2124.7354181167811</v>
      </c>
      <c r="O31" s="18">
        <f t="shared" si="11"/>
        <v>2452.7423500004766</v>
      </c>
      <c r="P31" s="18">
        <f t="shared" si="11"/>
        <v>2793.4579784761663</v>
      </c>
      <c r="Q31" s="18">
        <f t="shared" si="11"/>
        <v>3145.2542154065009</v>
      </c>
      <c r="R31" s="18">
        <f t="shared" si="11"/>
        <v>3508.2085190742168</v>
      </c>
      <c r="S31" s="18">
        <f t="shared" si="11"/>
        <v>3878.3128354618857</v>
      </c>
    </row>
    <row r="32" spans="1:1021 1025:2045 2049:3069 3073:4093 4097:5117 5121:6141 6145:7165 7169:8189 8193:9213 9217:10237 10241:11261 11265:12285 12289:13309 13313:14333 14337:15357 15361:16381" outlineLevel="1">
      <c r="C32" s="72" t="s">
        <v>123</v>
      </c>
      <c r="D32" s="4"/>
      <c r="E32" s="68">
        <f>E31/E$19</f>
        <v>9.2174755551392679E-2</v>
      </c>
      <c r="F32" s="68">
        <f>F31/F$19</f>
        <v>8.554452847940941E-2</v>
      </c>
      <c r="G32" s="68">
        <f>G31/G$19</f>
        <v>0.10427456093182026</v>
      </c>
      <c r="H32" s="68">
        <f>H31/H$19</f>
        <v>0.10503695527471156</v>
      </c>
      <c r="I32" s="68">
        <f>I31/I$19</f>
        <v>9.4026053576356045E-2</v>
      </c>
      <c r="J32" s="57">
        <f t="shared" ref="J32:S32" si="12">1-J30-J28</f>
        <v>9.9531504425533823E-2</v>
      </c>
      <c r="K32" s="57">
        <f t="shared" si="12"/>
        <v>9.9531504425533823E-2</v>
      </c>
      <c r="L32" s="57">
        <f t="shared" si="12"/>
        <v>9.9531504425533823E-2</v>
      </c>
      <c r="M32" s="57">
        <f t="shared" si="12"/>
        <v>9.9531504425533823E-2</v>
      </c>
      <c r="N32" s="57">
        <f t="shared" si="12"/>
        <v>9.9531504425533823E-2</v>
      </c>
      <c r="O32" s="57">
        <f t="shared" si="12"/>
        <v>9.9531504425533823E-2</v>
      </c>
      <c r="P32" s="57">
        <f t="shared" si="12"/>
        <v>9.9531504425533823E-2</v>
      </c>
      <c r="Q32" s="57">
        <f t="shared" si="12"/>
        <v>9.9531504425533823E-2</v>
      </c>
      <c r="R32" s="57">
        <f t="shared" si="12"/>
        <v>9.9531504425533823E-2</v>
      </c>
      <c r="S32" s="57">
        <f t="shared" si="12"/>
        <v>9.9531504425533823E-2</v>
      </c>
    </row>
    <row r="33" spans="3:19" outlineLevel="1">
      <c r="C33" s="72"/>
      <c r="D33" s="4"/>
      <c r="E33" s="68"/>
      <c r="F33" s="68"/>
      <c r="G33" s="68"/>
      <c r="H33" s="68"/>
      <c r="I33" s="68"/>
      <c r="J33" s="57"/>
      <c r="K33" s="57"/>
      <c r="L33" s="57"/>
      <c r="M33" s="57"/>
      <c r="N33" s="57"/>
      <c r="O33" s="57"/>
      <c r="P33" s="57"/>
      <c r="Q33" s="57"/>
      <c r="R33" s="57"/>
      <c r="S33" s="57"/>
    </row>
    <row r="34" spans="3:19" outlineLevel="1">
      <c r="C34" s="64" t="s">
        <v>122</v>
      </c>
      <c r="D34" s="4"/>
      <c r="E34" s="76">
        <v>2126.3629999999998</v>
      </c>
      <c r="F34" s="76">
        <v>2501.067</v>
      </c>
      <c r="G34" s="76">
        <v>1658.807</v>
      </c>
      <c r="H34" s="76">
        <v>2821.4969999999998</v>
      </c>
      <c r="I34" s="76">
        <v>3648.127</v>
      </c>
      <c r="J34" s="75">
        <f t="shared" ref="J34:S34" si="13">SUM(J35:J38)</f>
        <v>4515.0716618040478</v>
      </c>
      <c r="K34" s="75">
        <f t="shared" si="13"/>
        <v>5546.627679069129</v>
      </c>
      <c r="L34" s="75">
        <f t="shared" si="13"/>
        <v>6760.9267106431907</v>
      </c>
      <c r="M34" s="75">
        <f t="shared" si="13"/>
        <v>8140.7782376038222</v>
      </c>
      <c r="N34" s="75">
        <f t="shared" si="13"/>
        <v>9614.4697739954208</v>
      </c>
      <c r="O34" s="75">
        <f t="shared" si="13"/>
        <v>11098.707625620213</v>
      </c>
      <c r="P34" s="75">
        <f t="shared" si="13"/>
        <v>12640.452580580684</v>
      </c>
      <c r="Q34" s="75">
        <f t="shared" si="13"/>
        <v>14232.337507867256</v>
      </c>
      <c r="R34" s="75">
        <f t="shared" si="13"/>
        <v>15874.712907740697</v>
      </c>
      <c r="S34" s="75">
        <f t="shared" si="13"/>
        <v>17549.442256531031</v>
      </c>
    </row>
    <row r="35" spans="3:19" outlineLevel="1">
      <c r="C35" s="63" t="s">
        <v>119</v>
      </c>
      <c r="D35" s="4" t="s">
        <v>0</v>
      </c>
      <c r="E35" s="48">
        <f t="shared" ref="E35:S35" si="14">E41*E$62</f>
        <v>1377.3033068181819</v>
      </c>
      <c r="F35" s="48">
        <f t="shared" si="14"/>
        <v>1551.1460551536338</v>
      </c>
      <c r="G35" s="48">
        <f t="shared" si="14"/>
        <v>1001.8921429776376</v>
      </c>
      <c r="H35" s="48">
        <f t="shared" si="14"/>
        <v>1591.0666277373582</v>
      </c>
      <c r="I35" s="48">
        <f t="shared" si="14"/>
        <v>1947.7870737010485</v>
      </c>
      <c r="J35" s="75">
        <f t="shared" si="14"/>
        <v>2300.897626985713</v>
      </c>
      <c r="K35" s="75">
        <f t="shared" si="14"/>
        <v>2718.0084690006856</v>
      </c>
      <c r="L35" s="75">
        <f t="shared" si="14"/>
        <v>3210.5809522128129</v>
      </c>
      <c r="M35" s="75">
        <f t="shared" si="14"/>
        <v>3757.6054840069182</v>
      </c>
      <c r="N35" s="75">
        <f t="shared" si="14"/>
        <v>4297.0356616102745</v>
      </c>
      <c r="O35" s="75">
        <f t="shared" si="14"/>
        <v>4845.2061282558525</v>
      </c>
      <c r="P35" s="75">
        <f t="shared" si="14"/>
        <v>5386.328440070939</v>
      </c>
      <c r="Q35" s="75">
        <f t="shared" si="14"/>
        <v>5902.8479959085653</v>
      </c>
      <c r="R35" s="75">
        <f t="shared" si="14"/>
        <v>6376.298344704147</v>
      </c>
      <c r="S35" s="75">
        <f t="shared" si="14"/>
        <v>6788.3325588568941</v>
      </c>
    </row>
    <row r="36" spans="3:19" outlineLevel="1">
      <c r="C36" s="63" t="s">
        <v>117</v>
      </c>
      <c r="D36" s="4" t="s">
        <v>0</v>
      </c>
      <c r="E36" s="48">
        <f t="shared" ref="E36:S36" si="15">E47*E$62</f>
        <v>309.28916363636364</v>
      </c>
      <c r="F36" s="48">
        <f t="shared" si="15"/>
        <v>320.40066057271781</v>
      </c>
      <c r="G36" s="48">
        <f t="shared" si="15"/>
        <v>174.93354877387324</v>
      </c>
      <c r="H36" s="48">
        <f t="shared" si="15"/>
        <v>309.37406650448634</v>
      </c>
      <c r="I36" s="48">
        <f t="shared" si="15"/>
        <v>383.99230881534959</v>
      </c>
      <c r="J36" s="75">
        <f t="shared" si="15"/>
        <v>457.78622832628184</v>
      </c>
      <c r="K36" s="75">
        <f t="shared" si="15"/>
        <v>540.77453555061709</v>
      </c>
      <c r="L36" s="75">
        <f t="shared" si="15"/>
        <v>632.94310200766881</v>
      </c>
      <c r="M36" s="75">
        <f t="shared" si="15"/>
        <v>730.59079102546036</v>
      </c>
      <c r="N36" s="75">
        <f t="shared" si="15"/>
        <v>831.5680614224184</v>
      </c>
      <c r="O36" s="75">
        <f t="shared" si="15"/>
        <v>933.22785900050042</v>
      </c>
      <c r="P36" s="75">
        <f t="shared" si="15"/>
        <v>1032.5123624040332</v>
      </c>
      <c r="Q36" s="75">
        <f t="shared" si="15"/>
        <v>1114.683319605846</v>
      </c>
      <c r="R36" s="75">
        <f t="shared" si="15"/>
        <v>1197.6836482759486</v>
      </c>
      <c r="S36" s="75">
        <f t="shared" si="15"/>
        <v>1280.7289970099173</v>
      </c>
    </row>
    <row r="37" spans="3:19" outlineLevel="1">
      <c r="C37" s="63" t="s">
        <v>115</v>
      </c>
      <c r="D37" s="4" t="s">
        <v>0</v>
      </c>
      <c r="E37" s="48">
        <f t="shared" ref="E37:S37" si="16">E53*E$62</f>
        <v>106.31815</v>
      </c>
      <c r="F37" s="48">
        <f t="shared" si="16"/>
        <v>193.25754129782979</v>
      </c>
      <c r="G37" s="48">
        <f t="shared" si="16"/>
        <v>197.19781861782076</v>
      </c>
      <c r="H37" s="48">
        <f t="shared" si="16"/>
        <v>422.32015427596548</v>
      </c>
      <c r="I37" s="48">
        <f t="shared" si="16"/>
        <v>651.11739320863626</v>
      </c>
      <c r="J37" s="75">
        <f t="shared" si="16"/>
        <v>928.65985329321995</v>
      </c>
      <c r="K37" s="75">
        <f t="shared" si="16"/>
        <v>1258.0378147252088</v>
      </c>
      <c r="L37" s="75">
        <f t="shared" si="16"/>
        <v>1642.0930608236245</v>
      </c>
      <c r="M37" s="75">
        <f t="shared" si="16"/>
        <v>2080.5628110716107</v>
      </c>
      <c r="N37" s="75">
        <f t="shared" si="16"/>
        <v>2557.1291975385589</v>
      </c>
      <c r="O37" s="75">
        <f t="shared" si="16"/>
        <v>2964.9447409883924</v>
      </c>
      <c r="P37" s="75">
        <f t="shared" si="16"/>
        <v>3358.8580944517294</v>
      </c>
      <c r="Q37" s="75">
        <f t="shared" si="16"/>
        <v>3751.7418710898014</v>
      </c>
      <c r="R37" s="75">
        <f t="shared" si="16"/>
        <v>4131.3506178641237</v>
      </c>
      <c r="S37" s="75">
        <f t="shared" si="16"/>
        <v>4484.558590511072</v>
      </c>
    </row>
    <row r="38" spans="3:19" outlineLevel="1">
      <c r="C38" s="63" t="s">
        <v>121</v>
      </c>
      <c r="D38" s="4" t="s">
        <v>0</v>
      </c>
      <c r="E38" s="48">
        <f t="shared" ref="E38:S38" si="17">E59*E$62</f>
        <v>333.45237954545456</v>
      </c>
      <c r="F38" s="48">
        <f t="shared" si="17"/>
        <v>432.28660553461924</v>
      </c>
      <c r="G38" s="48">
        <f t="shared" si="17"/>
        <v>283.07428801590396</v>
      </c>
      <c r="H38" s="48">
        <f t="shared" si="17"/>
        <v>495.98064630084315</v>
      </c>
      <c r="I38" s="48">
        <f t="shared" si="17"/>
        <v>662.2476050583565</v>
      </c>
      <c r="J38" s="75">
        <f t="shared" si="17"/>
        <v>827.72795319883301</v>
      </c>
      <c r="K38" s="75">
        <f t="shared" si="17"/>
        <v>1029.8068597926176</v>
      </c>
      <c r="L38" s="75">
        <f t="shared" si="17"/>
        <v>1275.3095955990846</v>
      </c>
      <c r="M38" s="75">
        <f t="shared" si="17"/>
        <v>1572.0191514998335</v>
      </c>
      <c r="N38" s="75">
        <f t="shared" si="17"/>
        <v>1928.7368534241687</v>
      </c>
      <c r="O38" s="75">
        <f t="shared" si="17"/>
        <v>2355.3288973754688</v>
      </c>
      <c r="P38" s="75">
        <f t="shared" si="17"/>
        <v>2862.7536836539821</v>
      </c>
      <c r="Q38" s="75">
        <f t="shared" si="17"/>
        <v>3463.0643212630434</v>
      </c>
      <c r="R38" s="75">
        <f t="shared" si="17"/>
        <v>4169.3802968964774</v>
      </c>
      <c r="S38" s="75">
        <f t="shared" si="17"/>
        <v>4995.8221101531462</v>
      </c>
    </row>
    <row r="39" spans="3:19" outlineLevel="1">
      <c r="C39" s="72"/>
      <c r="D39" s="4"/>
      <c r="E39" s="68"/>
      <c r="F39" s="68"/>
      <c r="G39" s="68"/>
      <c r="H39" s="68"/>
      <c r="I39" s="68"/>
    </row>
    <row r="40" spans="3:19" outlineLevel="1">
      <c r="C40" s="64" t="s">
        <v>120</v>
      </c>
      <c r="D40" s="4"/>
      <c r="E40" s="74">
        <f>SUM(E41:E59)</f>
        <v>440</v>
      </c>
      <c r="F40" s="74">
        <f>SUM(F41:F59)</f>
        <v>491.78182316586924</v>
      </c>
      <c r="G40" s="74">
        <f>SUM(G41:G59)</f>
        <v>521.5373817056302</v>
      </c>
      <c r="H40" s="74">
        <f>SUM(H41:H59)</f>
        <v>574.56112274821953</v>
      </c>
      <c r="I40" s="74">
        <f>SUM(I41:I59)</f>
        <v>655.53595012509743</v>
      </c>
      <c r="J40" s="73">
        <f t="shared" ref="J40:S40" si="18">J41+J47+J53+J59</f>
        <v>745.18676687771369</v>
      </c>
      <c r="K40" s="73">
        <f t="shared" si="18"/>
        <v>844.69999075168732</v>
      </c>
      <c r="L40" s="73">
        <f t="shared" si="18"/>
        <v>954.46718780119181</v>
      </c>
      <c r="M40" s="73">
        <f t="shared" si="18"/>
        <v>1070.3347875545767</v>
      </c>
      <c r="N40" s="73">
        <f t="shared" si="18"/>
        <v>1182.7829507534216</v>
      </c>
      <c r="O40" s="73">
        <f t="shared" si="18"/>
        <v>1283.555622908769</v>
      </c>
      <c r="P40" s="73">
        <f t="shared" si="18"/>
        <v>1380.7454847520182</v>
      </c>
      <c r="Q40" s="73">
        <f t="shared" si="18"/>
        <v>1475.3389667412557</v>
      </c>
      <c r="R40" s="73">
        <f t="shared" si="18"/>
        <v>1569.1037276593502</v>
      </c>
      <c r="S40" s="73">
        <f t="shared" si="18"/>
        <v>1661.9378690839744</v>
      </c>
    </row>
    <row r="41" spans="3:19" outlineLevel="1">
      <c r="C41" s="72" t="s">
        <v>119</v>
      </c>
      <c r="D41" s="4" t="s">
        <v>112</v>
      </c>
      <c r="E41" s="66">
        <v>285</v>
      </c>
      <c r="F41" s="66">
        <v>305</v>
      </c>
      <c r="G41" s="66">
        <v>315</v>
      </c>
      <c r="H41" s="66">
        <v>324</v>
      </c>
      <c r="I41" s="66">
        <v>350</v>
      </c>
      <c r="J41" s="73">
        <f t="shared" ref="J41:S41" si="19">I41*(1+J42)</f>
        <v>379.75</v>
      </c>
      <c r="K41" s="73">
        <f t="shared" si="19"/>
        <v>413.92750000000001</v>
      </c>
      <c r="L41" s="73">
        <f t="shared" si="19"/>
        <v>453.25061249999999</v>
      </c>
      <c r="M41" s="73">
        <f t="shared" si="19"/>
        <v>494.04316762500002</v>
      </c>
      <c r="N41" s="73">
        <f t="shared" si="19"/>
        <v>528.62618935875003</v>
      </c>
      <c r="O41" s="73">
        <f t="shared" si="19"/>
        <v>560.3437607202751</v>
      </c>
      <c r="P41" s="73">
        <f t="shared" si="19"/>
        <v>588.36094875628885</v>
      </c>
      <c r="Q41" s="73">
        <f t="shared" si="19"/>
        <v>611.89538670654042</v>
      </c>
      <c r="R41" s="73">
        <f t="shared" si="19"/>
        <v>630.25224830773664</v>
      </c>
      <c r="S41" s="73">
        <f t="shared" si="19"/>
        <v>642.8572932738914</v>
      </c>
    </row>
    <row r="42" spans="3:19" outlineLevel="1">
      <c r="C42" s="70" t="s">
        <v>118</v>
      </c>
      <c r="D42" s="4" t="s">
        <v>74</v>
      </c>
      <c r="E42" s="69" t="str">
        <f>IFERROR(E41/D41-1,"NA")</f>
        <v>NA</v>
      </c>
      <c r="F42" s="68">
        <f>IFERROR(F41/E41-1,"NA")</f>
        <v>7.0175438596491224E-2</v>
      </c>
      <c r="G42" s="68">
        <f>IFERROR(G41/F41-1,"NA")</f>
        <v>3.2786885245901676E-2</v>
      </c>
      <c r="H42" s="68">
        <f>IFERROR(H41/G41-1,"NA")</f>
        <v>2.857142857142847E-2</v>
      </c>
      <c r="I42" s="68">
        <f>IFERROR(I41/H41-1,"NA")</f>
        <v>8.0246913580246826E-2</v>
      </c>
      <c r="J42" s="57">
        <f t="shared" ref="J42:S42" si="20">INDEX(J43:J45,MATCH(Cases,$C$43:$C$45,0))</f>
        <v>8.5000000000000006E-2</v>
      </c>
      <c r="K42" s="57">
        <f t="shared" si="20"/>
        <v>0.09</v>
      </c>
      <c r="L42" s="57">
        <f t="shared" si="20"/>
        <v>9.5000000000000001E-2</v>
      </c>
      <c r="M42" s="57">
        <f t="shared" si="20"/>
        <v>0.09</v>
      </c>
      <c r="N42" s="57">
        <f t="shared" si="20"/>
        <v>7.0000000000000007E-2</v>
      </c>
      <c r="O42" s="57">
        <f t="shared" si="20"/>
        <v>0.06</v>
      </c>
      <c r="P42" s="57">
        <f t="shared" si="20"/>
        <v>0.05</v>
      </c>
      <c r="Q42" s="57">
        <f t="shared" si="20"/>
        <v>0.04</v>
      </c>
      <c r="R42" s="57">
        <f t="shared" si="20"/>
        <v>0.03</v>
      </c>
      <c r="S42" s="57">
        <f t="shared" si="20"/>
        <v>0.02</v>
      </c>
    </row>
    <row r="43" spans="3:19" outlineLevel="1">
      <c r="C43" s="67" t="s">
        <v>108</v>
      </c>
      <c r="D43" s="4" t="s">
        <v>74</v>
      </c>
      <c r="E43" s="66"/>
      <c r="F43" s="66"/>
      <c r="G43" s="66"/>
      <c r="H43" s="66"/>
      <c r="I43" s="66"/>
      <c r="J43" s="56">
        <f>I42+2%</f>
        <v>0.10024691358024683</v>
      </c>
      <c r="K43" s="56">
        <f>J43+2%</f>
        <v>0.12024691358024683</v>
      </c>
      <c r="L43" s="56">
        <f>K43+2%</f>
        <v>0.14024691358024682</v>
      </c>
      <c r="M43" s="56">
        <f>L43+2%</f>
        <v>0.16024691358024681</v>
      </c>
      <c r="N43" s="56">
        <f>M43-0.01</f>
        <v>0.1502469135802468</v>
      </c>
      <c r="O43" s="56">
        <f>N43-0.01</f>
        <v>0.1402469135802468</v>
      </c>
      <c r="P43" s="56">
        <f>O43-0.01</f>
        <v>0.13024691358024679</v>
      </c>
      <c r="Q43" s="56">
        <v>0.12</v>
      </c>
      <c r="R43" s="56">
        <v>0.1</v>
      </c>
      <c r="S43" s="56">
        <f>R43-0.03</f>
        <v>7.0000000000000007E-2</v>
      </c>
    </row>
    <row r="44" spans="3:19" outlineLevel="1">
      <c r="C44" s="67" t="s">
        <v>107</v>
      </c>
      <c r="D44" s="4" t="s">
        <v>74</v>
      </c>
      <c r="E44" s="66"/>
      <c r="F44" s="66"/>
      <c r="G44" s="66"/>
      <c r="H44" s="66"/>
      <c r="I44" s="66"/>
      <c r="J44" s="56">
        <v>8.5000000000000006E-2</v>
      </c>
      <c r="K44" s="56">
        <v>0.09</v>
      </c>
      <c r="L44" s="56">
        <v>9.5000000000000001E-2</v>
      </c>
      <c r="M44" s="56">
        <v>0.09</v>
      </c>
      <c r="N44" s="56">
        <v>7.0000000000000007E-2</v>
      </c>
      <c r="O44" s="56">
        <v>0.06</v>
      </c>
      <c r="P44" s="56">
        <v>0.05</v>
      </c>
      <c r="Q44" s="56">
        <v>0.04</v>
      </c>
      <c r="R44" s="56">
        <v>0.03</v>
      </c>
      <c r="S44" s="56">
        <v>0.02</v>
      </c>
    </row>
    <row r="45" spans="3:19" outlineLevel="1">
      <c r="C45" s="67" t="s">
        <v>106</v>
      </c>
      <c r="D45" s="4" t="s">
        <v>74</v>
      </c>
      <c r="E45" s="66"/>
      <c r="F45" s="66"/>
      <c r="G45" s="66"/>
      <c r="H45" s="66"/>
      <c r="I45" s="66"/>
      <c r="J45" s="56">
        <v>7.4999999999999997E-2</v>
      </c>
      <c r="K45" s="56">
        <v>7.0000000000000007E-2</v>
      </c>
      <c r="L45" s="56">
        <v>0.06</v>
      </c>
      <c r="M45" s="56">
        <v>0.05</v>
      </c>
      <c r="N45" s="56">
        <v>0.04</v>
      </c>
      <c r="O45" s="56">
        <v>0.03</v>
      </c>
      <c r="P45" s="56">
        <v>0.02</v>
      </c>
      <c r="Q45" s="56">
        <v>1.7000000000000001E-2</v>
      </c>
      <c r="R45" s="56">
        <v>1.7000000000000001E-2</v>
      </c>
      <c r="S45" s="56">
        <v>1.7000000000000001E-2</v>
      </c>
    </row>
    <row r="46" spans="3:19" outlineLevel="1">
      <c r="C46" s="67"/>
      <c r="D46" s="4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</row>
    <row r="47" spans="3:19" outlineLevel="1">
      <c r="C47" s="72" t="s">
        <v>117</v>
      </c>
      <c r="D47" s="4" t="s">
        <v>112</v>
      </c>
      <c r="E47" s="66">
        <v>64</v>
      </c>
      <c r="F47" s="66">
        <v>63</v>
      </c>
      <c r="G47" s="66">
        <v>55</v>
      </c>
      <c r="H47" s="66">
        <v>63</v>
      </c>
      <c r="I47" s="66">
        <v>69</v>
      </c>
      <c r="J47" s="73">
        <f t="shared" ref="J47:S47" si="21">I47*(1+J48)</f>
        <v>75.554999999999993</v>
      </c>
      <c r="K47" s="73">
        <f t="shared" si="21"/>
        <v>82.354950000000002</v>
      </c>
      <c r="L47" s="73">
        <f t="shared" si="21"/>
        <v>89.355120749999998</v>
      </c>
      <c r="M47" s="73">
        <f t="shared" si="21"/>
        <v>96.056754806249998</v>
      </c>
      <c r="N47" s="73">
        <f t="shared" si="21"/>
        <v>102.30044386865625</v>
      </c>
      <c r="O47" s="73">
        <f t="shared" si="21"/>
        <v>107.92696828143234</v>
      </c>
      <c r="P47" s="73">
        <f t="shared" si="21"/>
        <v>112.78368185409678</v>
      </c>
      <c r="Q47" s="73">
        <f t="shared" si="21"/>
        <v>115.54923680540503</v>
      </c>
      <c r="R47" s="73">
        <f t="shared" si="21"/>
        <v>118.38260559345784</v>
      </c>
      <c r="S47" s="73">
        <f t="shared" si="21"/>
        <v>121.28545107310171</v>
      </c>
    </row>
    <row r="48" spans="3:19" outlineLevel="1">
      <c r="C48" s="70" t="s">
        <v>116</v>
      </c>
      <c r="D48" s="4" t="s">
        <v>74</v>
      </c>
      <c r="E48" s="69" t="str">
        <f>IFERROR(E47/D47-1,"NA")</f>
        <v>NA</v>
      </c>
      <c r="F48" s="68">
        <f>IFERROR(F47/E47-1,"NA")</f>
        <v>-1.5625E-2</v>
      </c>
      <c r="G48" s="68">
        <f>IFERROR(G47/F47-1,"NA")</f>
        <v>-0.12698412698412698</v>
      </c>
      <c r="H48" s="68">
        <f>IFERROR(H47/G47-1,"NA")</f>
        <v>0.1454545454545455</v>
      </c>
      <c r="I48" s="68">
        <f>IFERROR(I47/H47-1,"NA")</f>
        <v>9.5238095238095344E-2</v>
      </c>
      <c r="J48" s="57">
        <f t="shared" ref="J48:S48" si="22">INDEX(J49:J51,MATCH(Cases,$C$43:$C$45,0))</f>
        <v>9.5000000000000001E-2</v>
      </c>
      <c r="K48" s="57">
        <f t="shared" si="22"/>
        <v>0.09</v>
      </c>
      <c r="L48" s="57">
        <f t="shared" si="22"/>
        <v>8.5000000000000006E-2</v>
      </c>
      <c r="M48" s="57">
        <f t="shared" si="22"/>
        <v>7.4999999999999997E-2</v>
      </c>
      <c r="N48" s="57">
        <f t="shared" si="22"/>
        <v>6.5000000000000002E-2</v>
      </c>
      <c r="O48" s="57">
        <f t="shared" si="22"/>
        <v>5.5E-2</v>
      </c>
      <c r="P48" s="57">
        <f t="shared" si="22"/>
        <v>4.4999999999999998E-2</v>
      </c>
      <c r="Q48" s="57">
        <f t="shared" si="22"/>
        <v>2.4520878427128467E-2</v>
      </c>
      <c r="R48" s="57">
        <f t="shared" si="22"/>
        <v>2.4520878427128467E-2</v>
      </c>
      <c r="S48" s="57">
        <f t="shared" si="22"/>
        <v>2.4520878427128467E-2</v>
      </c>
    </row>
    <row r="49" spans="3:19" outlineLevel="1">
      <c r="C49" s="67" t="s">
        <v>108</v>
      </c>
      <c r="D49" s="4" t="s">
        <v>74</v>
      </c>
      <c r="E49" s="66"/>
      <c r="F49" s="66"/>
      <c r="G49" s="66"/>
      <c r="H49" s="66"/>
      <c r="I49" s="66"/>
      <c r="J49" s="56">
        <v>0.1</v>
      </c>
      <c r="K49" s="56">
        <v>0.105</v>
      </c>
      <c r="L49" s="56">
        <v>0.115</v>
      </c>
      <c r="M49" s="56">
        <v>0.12</v>
      </c>
      <c r="N49" s="56">
        <v>0.115</v>
      </c>
      <c r="O49" s="56">
        <v>0.105</v>
      </c>
      <c r="P49" s="56">
        <v>0.09</v>
      </c>
      <c r="Q49" s="56">
        <v>7.4999999999999997E-2</v>
      </c>
      <c r="R49" s="56">
        <v>0.06</v>
      </c>
      <c r="S49" s="56">
        <v>0.05</v>
      </c>
    </row>
    <row r="50" spans="3:19" outlineLevel="1">
      <c r="C50" s="67" t="s">
        <v>107</v>
      </c>
      <c r="D50" s="4" t="s">
        <v>74</v>
      </c>
      <c r="E50" s="66"/>
      <c r="F50" s="66"/>
      <c r="G50" s="66"/>
      <c r="H50" s="66"/>
      <c r="I50" s="66"/>
      <c r="J50" s="56">
        <v>9.5000000000000001E-2</v>
      </c>
      <c r="K50" s="56">
        <v>0.09</v>
      </c>
      <c r="L50" s="56">
        <v>8.5000000000000006E-2</v>
      </c>
      <c r="M50" s="56">
        <v>7.4999999999999997E-2</v>
      </c>
      <c r="N50" s="56">
        <v>6.5000000000000002E-2</v>
      </c>
      <c r="O50" s="56">
        <v>5.5E-2</v>
      </c>
      <c r="P50" s="56">
        <v>4.4999999999999998E-2</v>
      </c>
      <c r="Q50" s="56">
        <v>2.4520878427128467E-2</v>
      </c>
      <c r="R50" s="56">
        <v>2.4520878427128467E-2</v>
      </c>
      <c r="S50" s="56">
        <v>2.4520878427128467E-2</v>
      </c>
    </row>
    <row r="51" spans="3:19" outlineLevel="1">
      <c r="C51" s="67" t="s">
        <v>106</v>
      </c>
      <c r="D51" s="4" t="s">
        <v>74</v>
      </c>
      <c r="E51" s="66"/>
      <c r="F51" s="66"/>
      <c r="G51" s="66"/>
      <c r="H51" s="66"/>
      <c r="I51" s="66"/>
      <c r="J51" s="56">
        <v>2.4520878427128467E-2</v>
      </c>
      <c r="K51" s="56">
        <v>2.4520878427128467E-2</v>
      </c>
      <c r="L51" s="56">
        <v>2.4520878427128467E-2</v>
      </c>
      <c r="M51" s="56">
        <v>2.4520878427128467E-2</v>
      </c>
      <c r="N51" s="56">
        <v>2.4520878427128467E-2</v>
      </c>
      <c r="O51" s="56">
        <v>0.02</v>
      </c>
      <c r="P51" s="56">
        <v>0.02</v>
      </c>
      <c r="Q51" s="56">
        <v>1.7000000000000001E-2</v>
      </c>
      <c r="R51" s="56">
        <v>1.7000000000000001E-2</v>
      </c>
      <c r="S51" s="56">
        <v>1.7000000000000001E-2</v>
      </c>
    </row>
    <row r="52" spans="3:19" outlineLevel="1">
      <c r="C52" s="72"/>
      <c r="D52" s="4"/>
      <c r="E52" s="66"/>
      <c r="F52" s="66"/>
      <c r="G52" s="66"/>
      <c r="H52" s="66"/>
      <c r="I52" s="66"/>
    </row>
    <row r="53" spans="3:19" outlineLevel="1">
      <c r="C53" s="72" t="s">
        <v>115</v>
      </c>
      <c r="D53" s="4" t="s">
        <v>112</v>
      </c>
      <c r="E53" s="66">
        <v>22</v>
      </c>
      <c r="F53" s="66">
        <v>38</v>
      </c>
      <c r="G53" s="66">
        <v>62</v>
      </c>
      <c r="H53" s="66">
        <v>86</v>
      </c>
      <c r="I53" s="66">
        <v>117</v>
      </c>
      <c r="J53" s="73">
        <f t="shared" ref="J53:S53" si="23">I53*(1+J54)</f>
        <v>153.27000000000001</v>
      </c>
      <c r="K53" s="73">
        <f t="shared" si="23"/>
        <v>191.58750000000001</v>
      </c>
      <c r="L53" s="73">
        <f t="shared" si="23"/>
        <v>231.820875</v>
      </c>
      <c r="M53" s="73">
        <f t="shared" si="23"/>
        <v>273.5486325</v>
      </c>
      <c r="N53" s="73">
        <f t="shared" si="23"/>
        <v>314.58092737499999</v>
      </c>
      <c r="O53" s="73">
        <f t="shared" si="23"/>
        <v>342.89321083875001</v>
      </c>
      <c r="P53" s="73">
        <f t="shared" si="23"/>
        <v>366.89573559746253</v>
      </c>
      <c r="Q53" s="73">
        <f t="shared" si="23"/>
        <v>388.90947973331032</v>
      </c>
      <c r="R53" s="73">
        <f t="shared" si="23"/>
        <v>408.35495371997587</v>
      </c>
      <c r="S53" s="73">
        <f t="shared" si="23"/>
        <v>424.6891518687749</v>
      </c>
    </row>
    <row r="54" spans="3:19" outlineLevel="1">
      <c r="C54" s="70" t="s">
        <v>114</v>
      </c>
      <c r="D54" s="4" t="s">
        <v>74</v>
      </c>
      <c r="E54" s="69" t="str">
        <f>IFERROR(E53/D53-1,"NA")</f>
        <v>NA</v>
      </c>
      <c r="F54" s="68">
        <f>IFERROR(F53/E53-1,"NA")</f>
        <v>0.72727272727272729</v>
      </c>
      <c r="G54" s="68">
        <f>IFERROR(G53/F53-1,"NA")</f>
        <v>0.63157894736842102</v>
      </c>
      <c r="H54" s="68">
        <f>IFERROR(H53/G53-1,"NA")</f>
        <v>0.38709677419354849</v>
      </c>
      <c r="I54" s="68">
        <f>IFERROR(I53/H53-1,"NA")</f>
        <v>0.36046511627906974</v>
      </c>
      <c r="J54" s="57">
        <f t="shared" ref="J54:S54" si="24">INDEX(J55:J57,MATCH(Cases,$C$43:$C$45,0))</f>
        <v>0.31</v>
      </c>
      <c r="K54" s="57">
        <f t="shared" si="24"/>
        <v>0.25</v>
      </c>
      <c r="L54" s="57">
        <f t="shared" si="24"/>
        <v>0.21</v>
      </c>
      <c r="M54" s="57">
        <f t="shared" si="24"/>
        <v>0.18</v>
      </c>
      <c r="N54" s="57">
        <f t="shared" si="24"/>
        <v>0.15</v>
      </c>
      <c r="O54" s="57">
        <f t="shared" si="24"/>
        <v>0.09</v>
      </c>
      <c r="P54" s="57">
        <f t="shared" si="24"/>
        <v>7.0000000000000007E-2</v>
      </c>
      <c r="Q54" s="57">
        <f t="shared" si="24"/>
        <v>0.06</v>
      </c>
      <c r="R54" s="57">
        <f t="shared" si="24"/>
        <v>0.05</v>
      </c>
      <c r="S54" s="57">
        <f t="shared" si="24"/>
        <v>0.04</v>
      </c>
    </row>
    <row r="55" spans="3:19" outlineLevel="1">
      <c r="C55" s="67" t="s">
        <v>108</v>
      </c>
      <c r="D55" s="4" t="s">
        <v>74</v>
      </c>
      <c r="E55" s="66"/>
      <c r="F55" s="66"/>
      <c r="G55" s="66"/>
      <c r="H55" s="66"/>
      <c r="I55" s="66"/>
      <c r="J55" s="56">
        <v>0.52660339127844158</v>
      </c>
      <c r="K55" s="56">
        <f>J55-5%</f>
        <v>0.47660339127844159</v>
      </c>
      <c r="L55" s="56">
        <f>K55-6%</f>
        <v>0.41660339127844159</v>
      </c>
      <c r="M55" s="56">
        <f>L55-6%</f>
        <v>0.35660339127844159</v>
      </c>
      <c r="N55" s="56">
        <f>M55-6%</f>
        <v>0.2966033912784416</v>
      </c>
      <c r="O55" s="56">
        <f>N55-6%</f>
        <v>0.2366033912784416</v>
      </c>
      <c r="P55" s="56">
        <f>O55-7%</f>
        <v>0.16660339127844159</v>
      </c>
      <c r="Q55" s="56">
        <f>P55-7%</f>
        <v>9.6603391278441586E-2</v>
      </c>
      <c r="R55" s="56">
        <v>0.05</v>
      </c>
      <c r="S55" s="56">
        <v>0.05</v>
      </c>
    </row>
    <row r="56" spans="3:19" outlineLevel="1">
      <c r="C56" s="67" t="s">
        <v>107</v>
      </c>
      <c r="D56" s="4" t="s">
        <v>74</v>
      </c>
      <c r="E56" s="66"/>
      <c r="F56" s="66"/>
      <c r="G56" s="66"/>
      <c r="H56" s="66"/>
      <c r="I56" s="66"/>
      <c r="J56" s="56">
        <v>0.31</v>
      </c>
      <c r="K56" s="56">
        <v>0.25</v>
      </c>
      <c r="L56" s="56">
        <v>0.21</v>
      </c>
      <c r="M56" s="56">
        <v>0.18</v>
      </c>
      <c r="N56" s="56">
        <v>0.15</v>
      </c>
      <c r="O56" s="56">
        <v>0.09</v>
      </c>
      <c r="P56" s="56">
        <v>7.0000000000000007E-2</v>
      </c>
      <c r="Q56" s="56">
        <v>0.06</v>
      </c>
      <c r="R56" s="56">
        <v>0.05</v>
      </c>
      <c r="S56" s="56">
        <v>0.04</v>
      </c>
    </row>
    <row r="57" spans="3:19" outlineLevel="1">
      <c r="C57" s="67" t="s">
        <v>106</v>
      </c>
      <c r="D57" s="4" t="s">
        <v>74</v>
      </c>
      <c r="E57" s="66"/>
      <c r="F57" s="66"/>
      <c r="G57" s="66"/>
      <c r="H57" s="66"/>
      <c r="I57" s="66"/>
      <c r="J57" s="56">
        <v>0.3</v>
      </c>
      <c r="K57" s="56">
        <v>0.2</v>
      </c>
      <c r="L57" s="56">
        <v>0.15</v>
      </c>
      <c r="M57" s="56">
        <v>0.1</v>
      </c>
      <c r="N57" s="56">
        <v>0.05</v>
      </c>
      <c r="O57" s="56">
        <v>0.04</v>
      </c>
      <c r="P57" s="56">
        <v>0.03</v>
      </c>
      <c r="Q57" s="56">
        <v>0.03</v>
      </c>
      <c r="R57" s="56">
        <v>0.03</v>
      </c>
      <c r="S57" s="56">
        <v>0.03</v>
      </c>
    </row>
    <row r="58" spans="3:19" outlineLevel="1">
      <c r="C58" s="72"/>
      <c r="D58" s="4"/>
      <c r="E58" s="66"/>
      <c r="F58" s="66"/>
      <c r="G58" s="66"/>
      <c r="H58" s="66"/>
      <c r="I58" s="66"/>
    </row>
    <row r="59" spans="3:19" outlineLevel="1">
      <c r="C59" s="72" t="s">
        <v>113</v>
      </c>
      <c r="D59" s="4" t="s">
        <v>112</v>
      </c>
      <c r="E59" s="66">
        <v>69</v>
      </c>
      <c r="F59" s="66">
        <v>85</v>
      </c>
      <c r="G59" s="66">
        <v>89</v>
      </c>
      <c r="H59" s="66">
        <v>101</v>
      </c>
      <c r="I59" s="66">
        <v>119</v>
      </c>
      <c r="J59" s="73">
        <f t="shared" ref="J59:S59" si="25">I59*(1+J60)</f>
        <v>136.61176687771368</v>
      </c>
      <c r="K59" s="73">
        <f t="shared" si="25"/>
        <v>156.83004075168728</v>
      </c>
      <c r="L59" s="73">
        <f t="shared" si="25"/>
        <v>180.04057955119191</v>
      </c>
      <c r="M59" s="73">
        <f t="shared" si="25"/>
        <v>206.68623262332684</v>
      </c>
      <c r="N59" s="73">
        <f t="shared" si="25"/>
        <v>237.27539015101536</v>
      </c>
      <c r="O59" s="73">
        <f t="shared" si="25"/>
        <v>272.39168306831152</v>
      </c>
      <c r="P59" s="73">
        <f t="shared" si="25"/>
        <v>312.70511854417009</v>
      </c>
      <c r="Q59" s="73">
        <f t="shared" si="25"/>
        <v>358.98486349599989</v>
      </c>
      <c r="R59" s="73">
        <f t="shared" si="25"/>
        <v>412.11392003817986</v>
      </c>
      <c r="S59" s="73">
        <f t="shared" si="25"/>
        <v>473.10597286820638</v>
      </c>
    </row>
    <row r="60" spans="3:19" outlineLevel="1">
      <c r="C60" s="70" t="s">
        <v>111</v>
      </c>
      <c r="D60" s="4" t="s">
        <v>74</v>
      </c>
      <c r="E60" s="69" t="str">
        <f>IFERROR(E59/D59-1,"NA")</f>
        <v>NA</v>
      </c>
      <c r="F60" s="68">
        <f>IFERROR(F59/E59-1,"NA")</f>
        <v>0.23188405797101441</v>
      </c>
      <c r="G60" s="68">
        <f>IFERROR(G59/F59-1,"NA")</f>
        <v>4.705882352941182E-2</v>
      </c>
      <c r="H60" s="68">
        <f>IFERROR(H59/G59-1,"NA")</f>
        <v>0.13483146067415741</v>
      </c>
      <c r="I60" s="68">
        <f>IFERROR(I59/H59-1,"NA")</f>
        <v>0.17821782178217815</v>
      </c>
      <c r="J60" s="68">
        <f t="shared" ref="J60:S60" si="26">Rest_world_Growth</f>
        <v>0.14799804098919045</v>
      </c>
      <c r="K60" s="68">
        <f t="shared" si="26"/>
        <v>0.14799804098919045</v>
      </c>
      <c r="L60" s="68">
        <f t="shared" si="26"/>
        <v>0.14799804098919045</v>
      </c>
      <c r="M60" s="68">
        <f t="shared" si="26"/>
        <v>0.14799804098919045</v>
      </c>
      <c r="N60" s="68">
        <f t="shared" si="26"/>
        <v>0.14799804098919045</v>
      </c>
      <c r="O60" s="68">
        <f t="shared" si="26"/>
        <v>0.14799804098919045</v>
      </c>
      <c r="P60" s="68">
        <f t="shared" si="26"/>
        <v>0.14799804098919045</v>
      </c>
      <c r="Q60" s="68">
        <f t="shared" si="26"/>
        <v>0.14799804098919045</v>
      </c>
      <c r="R60" s="68">
        <f t="shared" si="26"/>
        <v>0.14799804098919045</v>
      </c>
      <c r="S60" s="68">
        <f t="shared" si="26"/>
        <v>0.14799804098919045</v>
      </c>
    </row>
    <row r="61" spans="3:19" outlineLevel="1">
      <c r="C61" s="72"/>
      <c r="D61" s="4"/>
      <c r="E61" s="66"/>
      <c r="F61" s="66"/>
      <c r="G61" s="66"/>
      <c r="H61" s="66"/>
      <c r="I61" s="66"/>
    </row>
    <row r="62" spans="3:19" s="2" customFormat="1" outlineLevel="1">
      <c r="C62" s="65" t="s">
        <v>110</v>
      </c>
      <c r="D62" s="4"/>
      <c r="E62" s="71">
        <f>E27/E40</f>
        <v>4.8326431818181819</v>
      </c>
      <c r="F62" s="71">
        <f>F27/F40</f>
        <v>5.0857247709955207</v>
      </c>
      <c r="G62" s="71">
        <f>G27/G40</f>
        <v>3.1806099777067862</v>
      </c>
      <c r="H62" s="71">
        <f>H27/H40</f>
        <v>4.9106994683251797</v>
      </c>
      <c r="I62" s="71">
        <f>I27/I40</f>
        <v>5.5651059248601387</v>
      </c>
      <c r="J62" s="41">
        <f t="shared" ref="J62:S62" si="27">I62*(1+J63)</f>
        <v>6.0589799262296591</v>
      </c>
      <c r="K62" s="41">
        <f t="shared" si="27"/>
        <v>6.5663877587275206</v>
      </c>
      <c r="L62" s="41">
        <f t="shared" si="27"/>
        <v>7.0834564006525484</v>
      </c>
      <c r="M62" s="41">
        <f t="shared" si="27"/>
        <v>7.6058242077726739</v>
      </c>
      <c r="N62" s="41">
        <f t="shared" si="27"/>
        <v>8.1286847835193203</v>
      </c>
      <c r="O62" s="41">
        <f t="shared" si="27"/>
        <v>8.646845861240152</v>
      </c>
      <c r="P62" s="41">
        <f t="shared" si="27"/>
        <v>9.1548027642841845</v>
      </c>
      <c r="Q62" s="41">
        <f t="shared" si="27"/>
        <v>9.6468254609337638</v>
      </c>
      <c r="R62" s="41">
        <f t="shared" si="27"/>
        <v>10.117057673058483</v>
      </c>
      <c r="S62" s="41">
        <f t="shared" si="27"/>
        <v>10.559625954130233</v>
      </c>
    </row>
    <row r="63" spans="3:19" s="2" customFormat="1" outlineLevel="1">
      <c r="C63" s="70" t="s">
        <v>109</v>
      </c>
      <c r="D63" s="4" t="s">
        <v>74</v>
      </c>
      <c r="E63" s="69" t="str">
        <f>IFERROR(E62/D71-1,"NA")</f>
        <v>NA</v>
      </c>
      <c r="F63" s="68">
        <f>IFERROR(F62/E62-1,"NA")</f>
        <v>5.2369185900069226E-2</v>
      </c>
      <c r="G63" s="68">
        <f>IFERROR(G62/F62-1,"NA")</f>
        <v>-0.37460045108099937</v>
      </c>
      <c r="H63" s="68">
        <f>IFERROR(H62/G62-1,"NA")</f>
        <v>0.54394896033929463</v>
      </c>
      <c r="I63" s="68">
        <f>IFERROR(I62/H62-1,"NA")</f>
        <v>0.13326135324631205</v>
      </c>
      <c r="J63" s="57">
        <f t="shared" ref="J63:S63" si="28">INDEX(J64:J66,MATCH(Cases,$C$43:$C$45,0))</f>
        <v>8.8744762101169133E-2</v>
      </c>
      <c r="K63" s="57">
        <f t="shared" si="28"/>
        <v>8.3744762101169129E-2</v>
      </c>
      <c r="L63" s="57">
        <f t="shared" si="28"/>
        <v>7.8744762101169125E-2</v>
      </c>
      <c r="M63" s="57">
        <f t="shared" si="28"/>
        <v>7.374476210116912E-2</v>
      </c>
      <c r="N63" s="57">
        <f t="shared" si="28"/>
        <v>6.8744762101169116E-2</v>
      </c>
      <c r="O63" s="57">
        <f t="shared" si="28"/>
        <v>6.3744762101169111E-2</v>
      </c>
      <c r="P63" s="57">
        <f t="shared" si="28"/>
        <v>5.8744762101169114E-2</v>
      </c>
      <c r="Q63" s="57">
        <f t="shared" si="28"/>
        <v>5.3744762101169116E-2</v>
      </c>
      <c r="R63" s="57">
        <f t="shared" si="28"/>
        <v>4.8744762101169119E-2</v>
      </c>
      <c r="S63" s="57">
        <f t="shared" si="28"/>
        <v>4.3744762101169121E-2</v>
      </c>
    </row>
    <row r="64" spans="3:19" outlineLevel="1">
      <c r="C64" s="67" t="s">
        <v>108</v>
      </c>
      <c r="D64" s="4" t="s">
        <v>74</v>
      </c>
      <c r="E64" s="66"/>
      <c r="F64" s="66"/>
      <c r="G64" s="66"/>
      <c r="H64" s="66"/>
      <c r="I64" s="66"/>
      <c r="J64" s="56">
        <v>0.12</v>
      </c>
      <c r="K64" s="56">
        <v>0.11</v>
      </c>
      <c r="L64" s="56">
        <v>0.1</v>
      </c>
      <c r="M64" s="56">
        <v>0.09</v>
      </c>
      <c r="N64" s="56">
        <v>0.08</v>
      </c>
      <c r="O64" s="56">
        <v>7.0000000000000007E-2</v>
      </c>
      <c r="P64" s="56">
        <v>6.5000000000000002E-2</v>
      </c>
      <c r="Q64" s="56">
        <v>0.06</v>
      </c>
      <c r="R64" s="56">
        <v>5.5E-2</v>
      </c>
      <c r="S64" s="56">
        <v>5.2499999999999998E-2</v>
      </c>
    </row>
    <row r="65" spans="2:20" outlineLevel="1">
      <c r="C65" s="67" t="s">
        <v>107</v>
      </c>
      <c r="D65" s="4" t="s">
        <v>74</v>
      </c>
      <c r="E65" s="66"/>
      <c r="F65" s="66"/>
      <c r="G65" s="66"/>
      <c r="H65" s="66"/>
      <c r="I65" s="66"/>
      <c r="J65" s="56">
        <f>AVERAGE(F63:I63)</f>
        <v>8.8744762101169133E-2</v>
      </c>
      <c r="K65" s="56">
        <f t="shared" ref="K65:S65" si="29">J65-0.5%</f>
        <v>8.3744762101169129E-2</v>
      </c>
      <c r="L65" s="56">
        <f t="shared" si="29"/>
        <v>7.8744762101169125E-2</v>
      </c>
      <c r="M65" s="56">
        <f t="shared" si="29"/>
        <v>7.374476210116912E-2</v>
      </c>
      <c r="N65" s="56">
        <f t="shared" si="29"/>
        <v>6.8744762101169116E-2</v>
      </c>
      <c r="O65" s="56">
        <f t="shared" si="29"/>
        <v>6.3744762101169111E-2</v>
      </c>
      <c r="P65" s="56">
        <f t="shared" si="29"/>
        <v>5.8744762101169114E-2</v>
      </c>
      <c r="Q65" s="56">
        <f t="shared" si="29"/>
        <v>5.3744762101169116E-2</v>
      </c>
      <c r="R65" s="56">
        <f t="shared" si="29"/>
        <v>4.8744762101169119E-2</v>
      </c>
      <c r="S65" s="56">
        <f t="shared" si="29"/>
        <v>4.3744762101169121E-2</v>
      </c>
    </row>
    <row r="66" spans="2:20" outlineLevel="1">
      <c r="C66" s="67" t="s">
        <v>106</v>
      </c>
      <c r="D66" s="4" t="s">
        <v>74</v>
      </c>
      <c r="E66" s="66"/>
      <c r="F66" s="66"/>
      <c r="G66" s="66"/>
      <c r="H66" s="66"/>
      <c r="I66" s="66"/>
      <c r="J66" s="56">
        <f>US_GDP_Growth_Rate+US_Inflation_Rate</f>
        <v>4.2000000000000003E-2</v>
      </c>
      <c r="K66" s="56">
        <v>3.5000000000000003E-2</v>
      </c>
      <c r="L66" s="56">
        <v>0.03</v>
      </c>
      <c r="M66" s="56">
        <v>2.5000000000000001E-2</v>
      </c>
      <c r="N66" s="56">
        <v>0.02</v>
      </c>
      <c r="O66" s="56">
        <f>US_GDP_Growth_Rate</f>
        <v>1.7000000000000001E-2</v>
      </c>
      <c r="P66" s="56">
        <f>US_GDP_Growth_Rate</f>
        <v>1.7000000000000001E-2</v>
      </c>
      <c r="Q66" s="56">
        <f>US_GDP_Growth_Rate</f>
        <v>1.7000000000000001E-2</v>
      </c>
      <c r="R66" s="56">
        <f>US_GDP_Growth_Rate</f>
        <v>1.7000000000000001E-2</v>
      </c>
      <c r="S66" s="56">
        <f>US_GDP_Growth_Rate</f>
        <v>1.7000000000000001E-2</v>
      </c>
    </row>
    <row r="67" spans="2:20" outlineLevel="1">
      <c r="C67" s="63"/>
      <c r="D67" s="4"/>
    </row>
    <row r="68" spans="2:20" outlineLevel="1">
      <c r="C68" s="65" t="s">
        <v>105</v>
      </c>
      <c r="D68" s="4" t="s">
        <v>74</v>
      </c>
      <c r="E68" s="57">
        <f>-E111/E19</f>
        <v>0.44765486560154288</v>
      </c>
      <c r="F68" s="57">
        <f>-F111/F19</f>
        <v>0.44126146936543548</v>
      </c>
      <c r="G68" s="57">
        <f>-G111/G19</f>
        <v>0.44141331463222866</v>
      </c>
      <c r="H68" s="57">
        <f>-H111/H19</f>
        <v>0.42464386105142765</v>
      </c>
      <c r="I68" s="57">
        <f>-I111/I19</f>
        <v>0.44718845331457246</v>
      </c>
      <c r="J68" s="56">
        <f>AVERAGE(E68:I68)</f>
        <v>0.44043239279304147</v>
      </c>
      <c r="K68" s="56">
        <f t="shared" ref="K68:S68" si="30">J68</f>
        <v>0.44043239279304147</v>
      </c>
      <c r="L68" s="56">
        <f t="shared" si="30"/>
        <v>0.44043239279304147</v>
      </c>
      <c r="M68" s="56">
        <f t="shared" si="30"/>
        <v>0.44043239279304147</v>
      </c>
      <c r="N68" s="56">
        <f t="shared" si="30"/>
        <v>0.44043239279304147</v>
      </c>
      <c r="O68" s="56">
        <f t="shared" si="30"/>
        <v>0.44043239279304147</v>
      </c>
      <c r="P68" s="56">
        <f t="shared" si="30"/>
        <v>0.44043239279304147</v>
      </c>
      <c r="Q68" s="56">
        <f t="shared" si="30"/>
        <v>0.44043239279304147</v>
      </c>
      <c r="R68" s="56">
        <f t="shared" si="30"/>
        <v>0.44043239279304147</v>
      </c>
      <c r="S68" s="56">
        <f t="shared" si="30"/>
        <v>0.44043239279304147</v>
      </c>
    </row>
    <row r="69" spans="2:20" outlineLevel="1">
      <c r="C69" s="65" t="s">
        <v>104</v>
      </c>
      <c r="D69" s="4" t="s">
        <v>74</v>
      </c>
      <c r="E69" s="57">
        <f>-E114/E110</f>
        <v>0.33769564327548512</v>
      </c>
      <c r="F69" s="57">
        <f>-F114/F110</f>
        <v>0.33530453627978418</v>
      </c>
      <c r="G69" s="57">
        <f>-G114/G110</f>
        <v>0.36552640361082167</v>
      </c>
      <c r="H69" s="57">
        <f>-H114/H110</f>
        <v>0.35562892854077532</v>
      </c>
      <c r="I69" s="57">
        <f>-I114/I110</f>
        <v>0.33998407993176272</v>
      </c>
      <c r="J69" s="56">
        <f>AVERAGE(E69:I69)</f>
        <v>0.3468279183277258</v>
      </c>
      <c r="K69" s="56">
        <f t="shared" ref="K69:S69" si="31">J69</f>
        <v>0.3468279183277258</v>
      </c>
      <c r="L69" s="56">
        <f t="shared" si="31"/>
        <v>0.3468279183277258</v>
      </c>
      <c r="M69" s="56">
        <f t="shared" si="31"/>
        <v>0.3468279183277258</v>
      </c>
      <c r="N69" s="56">
        <f t="shared" si="31"/>
        <v>0.3468279183277258</v>
      </c>
      <c r="O69" s="56">
        <f t="shared" si="31"/>
        <v>0.3468279183277258</v>
      </c>
      <c r="P69" s="56">
        <f t="shared" si="31"/>
        <v>0.3468279183277258</v>
      </c>
      <c r="Q69" s="56">
        <f t="shared" si="31"/>
        <v>0.3468279183277258</v>
      </c>
      <c r="R69" s="56">
        <f t="shared" si="31"/>
        <v>0.3468279183277258</v>
      </c>
      <c r="S69" s="56">
        <f t="shared" si="31"/>
        <v>0.3468279183277258</v>
      </c>
    </row>
    <row r="70" spans="2:20" outlineLevel="1">
      <c r="C70" s="63"/>
      <c r="D70" s="4"/>
    </row>
    <row r="71" spans="2:20" s="2" customFormat="1" outlineLevel="1">
      <c r="C71" s="64" t="s">
        <v>103</v>
      </c>
      <c r="D71" s="4" t="s">
        <v>0</v>
      </c>
      <c r="G71" s="41">
        <f t="shared" ref="G71:S71" si="32">G96</f>
        <v>266.20999999999998</v>
      </c>
      <c r="H71" s="41">
        <f t="shared" si="32"/>
        <v>318.767</v>
      </c>
      <c r="I71" s="41">
        <f t="shared" si="32"/>
        <v>376.99799999999999</v>
      </c>
      <c r="J71" s="41">
        <f t="shared" si="32"/>
        <v>423.41495632158563</v>
      </c>
      <c r="K71" s="41">
        <f t="shared" si="32"/>
        <v>527.10236832164708</v>
      </c>
      <c r="L71" s="41">
        <f t="shared" si="32"/>
        <v>651.94526947287625</v>
      </c>
      <c r="M71" s="41">
        <f t="shared" si="32"/>
        <v>800.67530587114868</v>
      </c>
      <c r="N71" s="41">
        <f t="shared" si="32"/>
        <v>974.0456573067238</v>
      </c>
      <c r="O71" s="41">
        <f t="shared" si="32"/>
        <v>1168.4361424872068</v>
      </c>
      <c r="P71" s="41">
        <f t="shared" si="32"/>
        <v>1376.785780031378</v>
      </c>
      <c r="Q71" s="41">
        <f t="shared" si="32"/>
        <v>1597.2920260266653</v>
      </c>
      <c r="R71" s="41">
        <f t="shared" si="32"/>
        <v>1828.3884570581322</v>
      </c>
      <c r="S71" s="41">
        <f t="shared" si="32"/>
        <v>2069.0997872559255</v>
      </c>
    </row>
    <row r="72" spans="2:20" outlineLevel="1">
      <c r="C72" s="63"/>
    </row>
    <row r="73" spans="2:20" outlineLevel="1">
      <c r="B73" s="17" t="s">
        <v>102</v>
      </c>
      <c r="C73" s="16"/>
      <c r="D73" s="15"/>
      <c r="E73" s="15"/>
      <c r="F73" s="1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2:20" outlineLevel="1">
      <c r="C74" s="1" t="s">
        <v>101</v>
      </c>
      <c r="D74" s="4" t="s">
        <v>74</v>
      </c>
      <c r="G74" s="57">
        <f>G134/G110</f>
        <v>1.4175537310316799E-2</v>
      </c>
      <c r="H74" s="57">
        <f>H134/H110</f>
        <v>1.2307130195119823E-2</v>
      </c>
      <c r="I74" s="57">
        <f>I134/I110</f>
        <v>1.6386869494648799E-2</v>
      </c>
      <c r="J74" s="56">
        <f>I74</f>
        <v>1.6386869494648799E-2</v>
      </c>
      <c r="K74" s="56">
        <f>J74</f>
        <v>1.6386869494648799E-2</v>
      </c>
      <c r="L74" s="56">
        <f t="shared" ref="L74:S74" si="33">K74-0.05%</f>
        <v>1.5886869494648799E-2</v>
      </c>
      <c r="M74" s="56">
        <f t="shared" si="33"/>
        <v>1.5386869494648799E-2</v>
      </c>
      <c r="N74" s="56">
        <f t="shared" si="33"/>
        <v>1.4886869494648798E-2</v>
      </c>
      <c r="O74" s="56">
        <f t="shared" si="33"/>
        <v>1.4386869494648798E-2</v>
      </c>
      <c r="P74" s="56">
        <f t="shared" si="33"/>
        <v>1.3886869494648797E-2</v>
      </c>
      <c r="Q74" s="56">
        <f t="shared" si="33"/>
        <v>1.3386869494648797E-2</v>
      </c>
      <c r="R74" s="56">
        <f t="shared" si="33"/>
        <v>1.2886869494648796E-2</v>
      </c>
      <c r="S74" s="56">
        <f t="shared" si="33"/>
        <v>1.2386869494648796E-2</v>
      </c>
    </row>
    <row r="75" spans="2:20" outlineLevel="1">
      <c r="C75" s="1" t="s">
        <v>100</v>
      </c>
      <c r="D75" s="4" t="s">
        <v>74</v>
      </c>
      <c r="G75" s="57">
        <f>-G135/G111</f>
        <v>0.33310036602286719</v>
      </c>
      <c r="H75" s="57">
        <f>-H135/H111</f>
        <v>0.36377169217196104</v>
      </c>
      <c r="I75" s="57">
        <f>-I135/I111</f>
        <v>0.39906118949083663</v>
      </c>
      <c r="J75" s="56">
        <f>AVERAGE(G75:I75)</f>
        <v>0.36531108256188832</v>
      </c>
      <c r="K75" s="56">
        <f t="shared" ref="K75:S75" si="34">J75</f>
        <v>0.36531108256188832</v>
      </c>
      <c r="L75" s="56">
        <f t="shared" si="34"/>
        <v>0.36531108256188832</v>
      </c>
      <c r="M75" s="56">
        <f t="shared" si="34"/>
        <v>0.36531108256188832</v>
      </c>
      <c r="N75" s="56">
        <f t="shared" si="34"/>
        <v>0.36531108256188832</v>
      </c>
      <c r="O75" s="56">
        <f t="shared" si="34"/>
        <v>0.36531108256188832</v>
      </c>
      <c r="P75" s="56">
        <f t="shared" si="34"/>
        <v>0.36531108256188832</v>
      </c>
      <c r="Q75" s="56">
        <f t="shared" si="34"/>
        <v>0.36531108256188832</v>
      </c>
      <c r="R75" s="56">
        <f t="shared" si="34"/>
        <v>0.36531108256188832</v>
      </c>
      <c r="S75" s="56">
        <f t="shared" si="34"/>
        <v>0.36531108256188832</v>
      </c>
    </row>
    <row r="76" spans="2:20" outlineLevel="1">
      <c r="C76" s="1" t="s">
        <v>99</v>
      </c>
      <c r="D76" s="4" t="s">
        <v>74</v>
      </c>
      <c r="G76" s="57">
        <f>G136/G110</f>
        <v>6.0027320151235415E-2</v>
      </c>
      <c r="H76" s="57">
        <f>H136/H110</f>
        <v>4.9787289201176928E-2</v>
      </c>
      <c r="I76" s="57">
        <f>I136/I110</f>
        <v>5.2316387190066031E-2</v>
      </c>
      <c r="J76" s="56">
        <f>I76</f>
        <v>5.2316387190066031E-2</v>
      </c>
      <c r="K76" s="56">
        <f t="shared" ref="K76:R76" si="35">J76-0.5%</f>
        <v>4.7316387190066034E-2</v>
      </c>
      <c r="L76" s="56">
        <f t="shared" si="35"/>
        <v>4.2316387190066036E-2</v>
      </c>
      <c r="M76" s="56">
        <f t="shared" si="35"/>
        <v>3.7316387190066039E-2</v>
      </c>
      <c r="N76" s="56">
        <f t="shared" si="35"/>
        <v>3.2316387190066041E-2</v>
      </c>
      <c r="O76" s="56">
        <f t="shared" si="35"/>
        <v>2.731638719006604E-2</v>
      </c>
      <c r="P76" s="56">
        <f t="shared" si="35"/>
        <v>2.2316387190066039E-2</v>
      </c>
      <c r="Q76" s="56">
        <f t="shared" si="35"/>
        <v>1.7316387190066038E-2</v>
      </c>
      <c r="R76" s="56">
        <f t="shared" si="35"/>
        <v>1.2316387190066037E-2</v>
      </c>
      <c r="S76" s="56">
        <f>R76</f>
        <v>1.2316387190066037E-2</v>
      </c>
    </row>
    <row r="77" spans="2:20" outlineLevel="1">
      <c r="D77" s="4"/>
    </row>
    <row r="78" spans="2:20" outlineLevel="1">
      <c r="C78" s="1" t="s">
        <v>98</v>
      </c>
      <c r="D78" s="4" t="s">
        <v>74</v>
      </c>
      <c r="G78" s="57">
        <f>-G150/G111</f>
        <v>8.8647321116102129E-2</v>
      </c>
      <c r="H78" s="57">
        <f>-H150/H111</f>
        <v>0.10905009496265103</v>
      </c>
      <c r="I78" s="57">
        <f>-I150/I111</f>
        <v>4.762485076910776E-2</v>
      </c>
      <c r="J78" s="56">
        <f>AVERAGE(G78:I78)</f>
        <v>8.1774088949286963E-2</v>
      </c>
      <c r="K78" s="56">
        <f t="shared" ref="K78:S78" si="36">J78</f>
        <v>8.1774088949286963E-2</v>
      </c>
      <c r="L78" s="56">
        <f t="shared" si="36"/>
        <v>8.1774088949286963E-2</v>
      </c>
      <c r="M78" s="56">
        <f t="shared" si="36"/>
        <v>8.1774088949286963E-2</v>
      </c>
      <c r="N78" s="56">
        <f t="shared" si="36"/>
        <v>8.1774088949286963E-2</v>
      </c>
      <c r="O78" s="56">
        <f t="shared" si="36"/>
        <v>8.1774088949286963E-2</v>
      </c>
      <c r="P78" s="56">
        <f t="shared" si="36"/>
        <v>8.1774088949286963E-2</v>
      </c>
      <c r="Q78" s="56">
        <f t="shared" si="36"/>
        <v>8.1774088949286963E-2</v>
      </c>
      <c r="R78" s="56">
        <f t="shared" si="36"/>
        <v>8.1774088949286963E-2</v>
      </c>
      <c r="S78" s="56">
        <f t="shared" si="36"/>
        <v>8.1774088949286963E-2</v>
      </c>
    </row>
    <row r="79" spans="2:20" outlineLevel="1">
      <c r="C79" s="62" t="s">
        <v>97</v>
      </c>
      <c r="D79" s="4" t="s">
        <v>74</v>
      </c>
      <c r="G79" s="57">
        <f>-G151/G114</f>
        <v>0.22190014561812502</v>
      </c>
      <c r="H79" s="57">
        <f>-H151/H114</f>
        <v>0.24076980396704051</v>
      </c>
      <c r="I79" s="57">
        <f>-I151/I114</f>
        <v>0.23477876456011665</v>
      </c>
      <c r="J79" s="56">
        <f>AVERAGE(G79:I79)</f>
        <v>0.23248290471509403</v>
      </c>
      <c r="K79" s="56">
        <f t="shared" ref="K79:S79" si="37">J79</f>
        <v>0.23248290471509403</v>
      </c>
      <c r="L79" s="56">
        <f t="shared" si="37"/>
        <v>0.23248290471509403</v>
      </c>
      <c r="M79" s="56">
        <f t="shared" si="37"/>
        <v>0.23248290471509403</v>
      </c>
      <c r="N79" s="56">
        <f t="shared" si="37"/>
        <v>0.23248290471509403</v>
      </c>
      <c r="O79" s="56">
        <f t="shared" si="37"/>
        <v>0.23248290471509403</v>
      </c>
      <c r="P79" s="56">
        <f t="shared" si="37"/>
        <v>0.23248290471509403</v>
      </c>
      <c r="Q79" s="56">
        <f t="shared" si="37"/>
        <v>0.23248290471509403</v>
      </c>
      <c r="R79" s="56">
        <f t="shared" si="37"/>
        <v>0.23248290471509403</v>
      </c>
      <c r="S79" s="56">
        <f t="shared" si="37"/>
        <v>0.23248290471509403</v>
      </c>
    </row>
    <row r="80" spans="2:20" outlineLevel="1">
      <c r="C80" s="1" t="s">
        <v>96</v>
      </c>
      <c r="D80" s="4" t="s">
        <v>0</v>
      </c>
      <c r="G80" s="57"/>
      <c r="H80" s="18">
        <f>H152-G152</f>
        <v>120.41899999999998</v>
      </c>
      <c r="I80" s="18">
        <f>I152-H152</f>
        <v>30.850000000000023</v>
      </c>
      <c r="J80" s="18">
        <f t="shared" ref="J80:S80" si="38">-J81*J124</f>
        <v>44.126210660908846</v>
      </c>
      <c r="K80" s="18">
        <f t="shared" si="38"/>
        <v>41.04508688108136</v>
      </c>
      <c r="L80" s="18">
        <f t="shared" si="38"/>
        <v>39.27153948584705</v>
      </c>
      <c r="M80" s="18">
        <f t="shared" si="38"/>
        <v>34.864439245160412</v>
      </c>
      <c r="N80" s="18">
        <f t="shared" si="38"/>
        <v>26.99130648246237</v>
      </c>
      <c r="O80" s="18">
        <f t="shared" si="38"/>
        <v>15.312323233092895</v>
      </c>
      <c r="P80" s="18">
        <f t="shared" si="38"/>
        <v>0</v>
      </c>
      <c r="Q80" s="18">
        <f t="shared" si="38"/>
        <v>0</v>
      </c>
      <c r="R80" s="18">
        <f t="shared" si="38"/>
        <v>0</v>
      </c>
      <c r="S80" s="18">
        <f t="shared" si="38"/>
        <v>0</v>
      </c>
      <c r="T80" s="57"/>
    </row>
    <row r="81" spans="2:19" outlineLevel="1">
      <c r="C81" s="1" t="s">
        <v>95</v>
      </c>
      <c r="D81" s="4" t="s">
        <v>74</v>
      </c>
      <c r="H81" s="57">
        <f>-H80/H124</f>
        <v>0.33585276128373681</v>
      </c>
      <c r="I81" s="57">
        <f>-I80/I124</f>
        <v>6.4570683444579141E-2</v>
      </c>
      <c r="J81" s="56">
        <f>I81</f>
        <v>6.4570683444579141E-2</v>
      </c>
      <c r="K81" s="56">
        <v>0.05</v>
      </c>
      <c r="L81" s="56">
        <v>0.04</v>
      </c>
      <c r="M81" s="56">
        <v>0.03</v>
      </c>
      <c r="N81" s="56">
        <v>0.02</v>
      </c>
      <c r="O81" s="56">
        <v>0.01</v>
      </c>
      <c r="P81" s="56">
        <v>0</v>
      </c>
      <c r="Q81" s="56">
        <v>0</v>
      </c>
      <c r="R81" s="56">
        <v>0</v>
      </c>
      <c r="S81" s="56">
        <v>0</v>
      </c>
    </row>
    <row r="82" spans="2:19" outlineLevel="1">
      <c r="C82" s="1" t="s">
        <v>94</v>
      </c>
      <c r="D82" s="4" t="s">
        <v>74</v>
      </c>
      <c r="G82" s="57">
        <f>G153/G110</f>
        <v>3.7303387939559451E-2</v>
      </c>
      <c r="H82" s="57">
        <f>H153/H110</f>
        <v>4.1082425214776605E-2</v>
      </c>
      <c r="I82" s="57">
        <f>I153/I110</f>
        <v>3.5741613544289029E-2</v>
      </c>
      <c r="J82" s="56">
        <f>AVERAGE(G82:I82)</f>
        <v>3.8042475566208357E-2</v>
      </c>
      <c r="K82" s="56">
        <f t="shared" ref="K82:S82" si="39">J82</f>
        <v>3.8042475566208357E-2</v>
      </c>
      <c r="L82" s="56">
        <f t="shared" si="39"/>
        <v>3.8042475566208357E-2</v>
      </c>
      <c r="M82" s="56">
        <f t="shared" si="39"/>
        <v>3.8042475566208357E-2</v>
      </c>
      <c r="N82" s="56">
        <f t="shared" si="39"/>
        <v>3.8042475566208357E-2</v>
      </c>
      <c r="O82" s="56">
        <f t="shared" si="39"/>
        <v>3.8042475566208357E-2</v>
      </c>
      <c r="P82" s="56">
        <f t="shared" si="39"/>
        <v>3.8042475566208357E-2</v>
      </c>
      <c r="Q82" s="56">
        <f t="shared" si="39"/>
        <v>3.8042475566208357E-2</v>
      </c>
      <c r="R82" s="56">
        <f t="shared" si="39"/>
        <v>3.8042475566208357E-2</v>
      </c>
      <c r="S82" s="56">
        <f t="shared" si="39"/>
        <v>3.8042475566208357E-2</v>
      </c>
    </row>
    <row r="83" spans="2:19" outlineLevel="1">
      <c r="C83" s="62" t="s">
        <v>93</v>
      </c>
      <c r="D83" s="4" t="s">
        <v>0</v>
      </c>
      <c r="H83" s="18">
        <f>H158-G158</f>
        <v>-4.7630000000000052</v>
      </c>
      <c r="I83" s="18">
        <f>I158-H158</f>
        <v>1.4210000000000065</v>
      </c>
      <c r="J83" s="18">
        <f t="shared" ref="J83:S83" si="40">J84*J124</f>
        <v>-3.5227964441681046</v>
      </c>
      <c r="K83" s="18">
        <f t="shared" si="40"/>
        <v>-3.8212744845591469</v>
      </c>
      <c r="L83" s="18">
        <f t="shared" si="40"/>
        <v>-4.0793035319064019</v>
      </c>
      <c r="M83" s="18">
        <f t="shared" si="40"/>
        <v>-4.2476181396777486</v>
      </c>
      <c r="N83" s="18">
        <f t="shared" si="40"/>
        <v>-4.2578406144374306</v>
      </c>
      <c r="O83" s="18">
        <f t="shared" si="40"/>
        <v>-4.0653787222439099</v>
      </c>
      <c r="P83" s="18">
        <f t="shared" si="40"/>
        <v>-3.7014520496886165</v>
      </c>
      <c r="Q83" s="18">
        <f t="shared" si="40"/>
        <v>-3.1579639158286206</v>
      </c>
      <c r="R83" s="18">
        <f t="shared" si="40"/>
        <v>-2.4294322006275721</v>
      </c>
      <c r="S83" s="18">
        <f t="shared" si="40"/>
        <v>-1.5069433939611641</v>
      </c>
    </row>
    <row r="84" spans="2:19" outlineLevel="1">
      <c r="C84" s="62" t="s">
        <v>92</v>
      </c>
      <c r="D84" s="4" t="s">
        <v>74</v>
      </c>
      <c r="H84" s="57">
        <f>H83/H124</f>
        <v>1.3284171949563111E-2</v>
      </c>
      <c r="I84" s="57">
        <f>I83/I124</f>
        <v>-2.9742282390517768E-3</v>
      </c>
      <c r="J84" s="56">
        <f>AVERAGE(H84:I84)</f>
        <v>5.154971855255667E-3</v>
      </c>
      <c r="K84" s="56">
        <f t="shared" ref="K84:S84" si="41">J84-0.05%</f>
        <v>4.6549718552556674E-3</v>
      </c>
      <c r="L84" s="56">
        <f t="shared" si="41"/>
        <v>4.154971855255667E-3</v>
      </c>
      <c r="M84" s="56">
        <f t="shared" si="41"/>
        <v>3.654971855255667E-3</v>
      </c>
      <c r="N84" s="56">
        <f t="shared" si="41"/>
        <v>3.154971855255667E-3</v>
      </c>
      <c r="O84" s="56">
        <f t="shared" si="41"/>
        <v>2.654971855255667E-3</v>
      </c>
      <c r="P84" s="56">
        <f t="shared" si="41"/>
        <v>2.154971855255667E-3</v>
      </c>
      <c r="Q84" s="56">
        <f t="shared" si="41"/>
        <v>1.6549718552556669E-3</v>
      </c>
      <c r="R84" s="56">
        <f t="shared" si="41"/>
        <v>1.1549718552556669E-3</v>
      </c>
      <c r="S84" s="56">
        <f t="shared" si="41"/>
        <v>6.5497185525566692E-4</v>
      </c>
    </row>
    <row r="85" spans="2:19" outlineLevel="1"/>
    <row r="86" spans="2:19" outlineLevel="1">
      <c r="B86" s="17" t="s">
        <v>91</v>
      </c>
      <c r="C86" s="16"/>
      <c r="D86" s="15"/>
      <c r="E86" s="15"/>
      <c r="F86" s="1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2:19" outlineLevel="1">
      <c r="C87" s="1" t="s">
        <v>90</v>
      </c>
      <c r="D87" s="4" t="s">
        <v>74</v>
      </c>
      <c r="G87" s="57">
        <f>G174/G110</f>
        <v>4.2136096880445832E-2</v>
      </c>
      <c r="H87" s="57">
        <f>H174/H110</f>
        <v>3.5835020746834909E-2</v>
      </c>
      <c r="I87" s="57">
        <f>I174/I110</f>
        <v>3.5976863623260559E-2</v>
      </c>
      <c r="J87" s="56">
        <f>AVERAGE(H87:I87)</f>
        <v>3.5905942185047737E-2</v>
      </c>
      <c r="K87" s="56">
        <f>J87-0.5%</f>
        <v>3.0905942185047736E-2</v>
      </c>
      <c r="L87" s="56">
        <f>K87-0.5%</f>
        <v>2.5905942185047735E-2</v>
      </c>
      <c r="M87" s="56">
        <f>L87-0.5%</f>
        <v>2.0905942185047734E-2</v>
      </c>
      <c r="N87" s="56">
        <f>M87-0.5%</f>
        <v>1.5905942185047733E-2</v>
      </c>
      <c r="O87" s="56">
        <v>1.55E-2</v>
      </c>
      <c r="P87" s="56">
        <f>O87</f>
        <v>1.55E-2</v>
      </c>
      <c r="Q87" s="56">
        <f>P87</f>
        <v>1.55E-2</v>
      </c>
      <c r="R87" s="56">
        <f>Q87</f>
        <v>1.55E-2</v>
      </c>
      <c r="S87" s="56">
        <f>R87</f>
        <v>1.55E-2</v>
      </c>
    </row>
    <row r="88" spans="2:19" outlineLevel="1">
      <c r="C88" s="1" t="s">
        <v>89</v>
      </c>
      <c r="D88" s="4" t="s">
        <v>0</v>
      </c>
      <c r="H88" s="18">
        <f t="shared" ref="H88:S88" si="42">SUM(G134:G136)-SUM(H134:H136)</f>
        <v>-381.11999999999989</v>
      </c>
      <c r="I88" s="18">
        <f t="shared" si="42"/>
        <v>-649.60399999999981</v>
      </c>
      <c r="J88" s="18">
        <f t="shared" si="42"/>
        <v>-297.13071054953843</v>
      </c>
      <c r="K88" s="18">
        <f t="shared" si="42"/>
        <v>-464.29506966252438</v>
      </c>
      <c r="L88" s="18">
        <f t="shared" si="42"/>
        <v>-522.98745091329283</v>
      </c>
      <c r="M88" s="18">
        <f t="shared" si="42"/>
        <v>-571.84465740236101</v>
      </c>
      <c r="N88" s="18">
        <f t="shared" si="42"/>
        <v>-581.50214764575958</v>
      </c>
      <c r="O88" s="18">
        <f t="shared" si="42"/>
        <v>-550.2532460972734</v>
      </c>
      <c r="P88" s="18">
        <f t="shared" si="42"/>
        <v>-539.16915346660608</v>
      </c>
      <c r="Q88" s="18">
        <f t="shared" si="42"/>
        <v>-522.84418684636785</v>
      </c>
      <c r="R88" s="18">
        <f t="shared" si="42"/>
        <v>-504.82714089976071</v>
      </c>
      <c r="S88" s="18">
        <f t="shared" si="42"/>
        <v>-672.51621161528965</v>
      </c>
    </row>
    <row r="89" spans="2:19" outlineLevel="1">
      <c r="C89" s="1" t="s">
        <v>88</v>
      </c>
      <c r="D89" s="4" t="s">
        <v>0</v>
      </c>
      <c r="H89" s="18">
        <f t="shared" ref="H89:S89" si="43">SUM(H150:H153)-SUM(G150:G153)</f>
        <v>509.41600000000005</v>
      </c>
      <c r="I89" s="18">
        <f t="shared" si="43"/>
        <v>58.368999999999915</v>
      </c>
      <c r="J89" s="18">
        <f t="shared" si="43"/>
        <v>484.88561527671322</v>
      </c>
      <c r="K89" s="18">
        <f t="shared" si="43"/>
        <v>395.34740426728126</v>
      </c>
      <c r="L89" s="18">
        <f t="shared" si="43"/>
        <v>456.33949671337086</v>
      </c>
      <c r="M89" s="18">
        <f t="shared" si="43"/>
        <v>508.79371256489412</v>
      </c>
      <c r="N89" s="18">
        <f t="shared" si="43"/>
        <v>533.15124129654851</v>
      </c>
      <c r="O89" s="18">
        <f t="shared" si="43"/>
        <v>525.09453726853826</v>
      </c>
      <c r="P89" s="18">
        <f t="shared" si="43"/>
        <v>529.53383162768841</v>
      </c>
      <c r="Q89" s="18">
        <f t="shared" si="43"/>
        <v>546.75510521001524</v>
      </c>
      <c r="R89" s="18">
        <f t="shared" si="43"/>
        <v>564.09676300081719</v>
      </c>
      <c r="S89" s="18">
        <f t="shared" si="43"/>
        <v>575.20917850321621</v>
      </c>
    </row>
    <row r="90" spans="2:19" outlineLevel="1">
      <c r="C90" s="1" t="s">
        <v>87</v>
      </c>
      <c r="D90" s="4" t="s">
        <v>0</v>
      </c>
      <c r="H90" s="18">
        <f t="shared" ref="H90:S90" si="44">H89+H88</f>
        <v>128.29600000000016</v>
      </c>
      <c r="I90" s="18">
        <f t="shared" si="44"/>
        <v>-591.2349999999999</v>
      </c>
      <c r="J90" s="18">
        <f t="shared" si="44"/>
        <v>187.75490472717479</v>
      </c>
      <c r="K90" s="18">
        <f t="shared" si="44"/>
        <v>-68.947665395243121</v>
      </c>
      <c r="L90" s="18">
        <f t="shared" si="44"/>
        <v>-66.647954199921969</v>
      </c>
      <c r="M90" s="18">
        <f t="shared" si="44"/>
        <v>-63.050944837466886</v>
      </c>
      <c r="N90" s="18">
        <f t="shared" si="44"/>
        <v>-48.350906349211073</v>
      </c>
      <c r="O90" s="18">
        <f t="shared" si="44"/>
        <v>-25.158708828735143</v>
      </c>
      <c r="P90" s="18">
        <f t="shared" si="44"/>
        <v>-9.6353218389176618</v>
      </c>
      <c r="Q90" s="18">
        <f t="shared" si="44"/>
        <v>23.910918363647397</v>
      </c>
      <c r="R90" s="18">
        <f t="shared" si="44"/>
        <v>59.269622101056484</v>
      </c>
      <c r="S90" s="18">
        <f t="shared" si="44"/>
        <v>-97.307033112073441</v>
      </c>
    </row>
    <row r="91" spans="2:19" outlineLevel="1">
      <c r="C91" s="1" t="s">
        <v>86</v>
      </c>
      <c r="D91" s="4" t="s">
        <v>74</v>
      </c>
      <c r="G91" s="57">
        <f>-G184/G110</f>
        <v>5.2074579969144996E-2</v>
      </c>
      <c r="H91" s="57">
        <f>-H184/H110</f>
        <v>6.3053563930795184E-2</v>
      </c>
      <c r="I91" s="57">
        <f>-I184/I110</f>
        <v>7.8744292288112805E-2</v>
      </c>
      <c r="J91" s="56">
        <f t="shared" ref="J91:O91" si="45">I91-1%</f>
        <v>6.874429228811281E-2</v>
      </c>
      <c r="K91" s="56">
        <f t="shared" si="45"/>
        <v>5.8744292288112808E-2</v>
      </c>
      <c r="L91" s="56">
        <f t="shared" si="45"/>
        <v>4.8744292288112806E-2</v>
      </c>
      <c r="M91" s="56">
        <f t="shared" si="45"/>
        <v>3.8744292288112804E-2</v>
      </c>
      <c r="N91" s="56">
        <f t="shared" si="45"/>
        <v>2.8744292288112802E-2</v>
      </c>
      <c r="O91" s="56">
        <f t="shared" si="45"/>
        <v>1.87442922881128E-2</v>
      </c>
      <c r="P91" s="56">
        <f>P87+0.05%</f>
        <v>1.6E-2</v>
      </c>
      <c r="Q91" s="56">
        <f>Q87+0.05%</f>
        <v>1.6E-2</v>
      </c>
      <c r="R91" s="56">
        <f>R87+0.05%</f>
        <v>1.6E-2</v>
      </c>
      <c r="S91" s="56">
        <f>S87+0.05%</f>
        <v>1.6E-2</v>
      </c>
    </row>
    <row r="92" spans="2:19" outlineLevel="1"/>
    <row r="93" spans="2:19" outlineLevel="1">
      <c r="B93" s="17" t="s">
        <v>85</v>
      </c>
      <c r="C93" s="16"/>
      <c r="D93" s="15"/>
      <c r="E93" s="15"/>
      <c r="F93" s="1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2:19" s="2" customFormat="1" outlineLevel="1">
      <c r="C94" s="2" t="s">
        <v>84</v>
      </c>
      <c r="D94" s="4" t="s">
        <v>0</v>
      </c>
    </row>
    <row r="95" spans="2:19" s="2" customFormat="1" outlineLevel="1">
      <c r="C95" s="53" t="s">
        <v>83</v>
      </c>
      <c r="D95" s="4" t="s">
        <v>0</v>
      </c>
      <c r="G95" s="61">
        <f>F157</f>
        <v>739.96100000000001</v>
      </c>
      <c r="H95" s="61">
        <f t="shared" ref="H95:S95" si="46">G104</f>
        <v>798.68100000000004</v>
      </c>
      <c r="I95" s="61">
        <f t="shared" si="46"/>
        <v>881.05200000000002</v>
      </c>
      <c r="J95" s="35">
        <f t="shared" si="46"/>
        <v>1070.3340000000001</v>
      </c>
      <c r="K95" s="35">
        <f t="shared" si="46"/>
        <v>1332.441327052906</v>
      </c>
      <c r="L95" s="35">
        <f t="shared" si="46"/>
        <v>1648.0267823274523</v>
      </c>
      <c r="M95" s="35">
        <f t="shared" si="46"/>
        <v>2023.9955864558601</v>
      </c>
      <c r="N95" s="35">
        <f t="shared" si="46"/>
        <v>2462.251672980371</v>
      </c>
      <c r="O95" s="35">
        <f t="shared" si="46"/>
        <v>2953.6437281234171</v>
      </c>
      <c r="P95" s="35">
        <f t="shared" si="46"/>
        <v>3480.3225750128749</v>
      </c>
      <c r="Q95" s="35">
        <f t="shared" si="46"/>
        <v>4037.731633850809</v>
      </c>
      <c r="R95" s="35">
        <f t="shared" si="46"/>
        <v>4621.9112045501734</v>
      </c>
      <c r="S95" s="35">
        <f t="shared" si="46"/>
        <v>5230.3959003535147</v>
      </c>
    </row>
    <row r="96" spans="2:19" outlineLevel="1">
      <c r="C96" s="59" t="s">
        <v>82</v>
      </c>
      <c r="D96" s="4" t="s">
        <v>0</v>
      </c>
      <c r="G96" s="38">
        <f>-G115</f>
        <v>266.20999999999998</v>
      </c>
      <c r="H96" s="38">
        <f>-H115</f>
        <v>318.767</v>
      </c>
      <c r="I96" s="38">
        <f>-I115</f>
        <v>376.99799999999999</v>
      </c>
      <c r="J96" s="38">
        <f t="shared" ref="J96:S96" si="47">J97*J95</f>
        <v>423.41495632158563</v>
      </c>
      <c r="K96" s="38">
        <f t="shared" si="47"/>
        <v>527.10236832164708</v>
      </c>
      <c r="L96" s="38">
        <f t="shared" si="47"/>
        <v>651.94526947287625</v>
      </c>
      <c r="M96" s="38">
        <f t="shared" si="47"/>
        <v>800.67530587114868</v>
      </c>
      <c r="N96" s="38">
        <f t="shared" si="47"/>
        <v>974.0456573067238</v>
      </c>
      <c r="O96" s="38">
        <f t="shared" si="47"/>
        <v>1168.4361424872068</v>
      </c>
      <c r="P96" s="38">
        <f t="shared" si="47"/>
        <v>1376.785780031378</v>
      </c>
      <c r="Q96" s="38">
        <f t="shared" si="47"/>
        <v>1597.2920260266653</v>
      </c>
      <c r="R96" s="38">
        <f t="shared" si="47"/>
        <v>1828.3884570581322</v>
      </c>
      <c r="S96" s="38">
        <f t="shared" si="47"/>
        <v>2069.0997872559255</v>
      </c>
    </row>
    <row r="97" spans="2:19" outlineLevel="1">
      <c r="C97" s="58" t="s">
        <v>81</v>
      </c>
      <c r="D97" s="4" t="s">
        <v>74</v>
      </c>
      <c r="G97" s="57">
        <f>G96/G95</f>
        <v>0.35976220368370765</v>
      </c>
      <c r="H97" s="57">
        <f>H96/H95</f>
        <v>0.3991167938138005</v>
      </c>
      <c r="I97" s="57">
        <f>I96/I95</f>
        <v>0.4278952888138271</v>
      </c>
      <c r="J97" s="56">
        <f>AVERAGE(G97:I97)</f>
        <v>0.39559142877044512</v>
      </c>
      <c r="K97" s="56">
        <f t="shared" ref="K97:S97" si="48">J97</f>
        <v>0.39559142877044512</v>
      </c>
      <c r="L97" s="56">
        <f t="shared" si="48"/>
        <v>0.39559142877044512</v>
      </c>
      <c r="M97" s="56">
        <f t="shared" si="48"/>
        <v>0.39559142877044512</v>
      </c>
      <c r="N97" s="56">
        <f t="shared" si="48"/>
        <v>0.39559142877044512</v>
      </c>
      <c r="O97" s="56">
        <f t="shared" si="48"/>
        <v>0.39559142877044512</v>
      </c>
      <c r="P97" s="56">
        <f t="shared" si="48"/>
        <v>0.39559142877044512</v>
      </c>
      <c r="Q97" s="56">
        <f t="shared" si="48"/>
        <v>0.39559142877044512</v>
      </c>
      <c r="R97" s="56">
        <f t="shared" si="48"/>
        <v>0.39559142877044512</v>
      </c>
      <c r="S97" s="56">
        <f t="shared" si="48"/>
        <v>0.39559142877044512</v>
      </c>
    </row>
    <row r="98" spans="2:19" outlineLevel="1">
      <c r="C98" s="59" t="s">
        <v>80</v>
      </c>
      <c r="D98" s="4" t="s">
        <v>0</v>
      </c>
      <c r="G98" s="38">
        <f t="shared" ref="G98:S98" si="49">G95*Lease_Discount_Rate</f>
        <v>22.938791000000002</v>
      </c>
      <c r="H98" s="38">
        <f t="shared" si="49"/>
        <v>24.759111000000001</v>
      </c>
      <c r="I98" s="38">
        <f t="shared" si="49"/>
        <v>27.312612000000001</v>
      </c>
      <c r="J98" s="38">
        <f t="shared" si="49"/>
        <v>33.180354000000001</v>
      </c>
      <c r="K98" s="38">
        <f t="shared" si="49"/>
        <v>41.305681138640082</v>
      </c>
      <c r="L98" s="38">
        <f t="shared" si="49"/>
        <v>51.08883025215102</v>
      </c>
      <c r="M98" s="38">
        <f t="shared" si="49"/>
        <v>62.743863180131662</v>
      </c>
      <c r="N98" s="38">
        <f t="shared" si="49"/>
        <v>76.329801862391506</v>
      </c>
      <c r="O98" s="38">
        <f t="shared" si="49"/>
        <v>91.562955571825924</v>
      </c>
      <c r="P98" s="38">
        <f t="shared" si="49"/>
        <v>107.88999982539912</v>
      </c>
      <c r="Q98" s="38">
        <f t="shared" si="49"/>
        <v>125.16968064937508</v>
      </c>
      <c r="R98" s="38">
        <f t="shared" si="49"/>
        <v>143.27924734105537</v>
      </c>
      <c r="S98" s="38">
        <f t="shared" si="49"/>
        <v>162.14227291095895</v>
      </c>
    </row>
    <row r="99" spans="2:19" outlineLevel="1">
      <c r="C99" s="59" t="s">
        <v>79</v>
      </c>
      <c r="D99" s="4" t="s">
        <v>0</v>
      </c>
      <c r="G99" s="18">
        <f>-(G96-G98)</f>
        <v>-243.27120899999997</v>
      </c>
      <c r="H99" s="18">
        <f>-(H96-H98)</f>
        <v>-294.00788899999998</v>
      </c>
      <c r="I99" s="18">
        <f>-(I96-I98)</f>
        <v>-349.68538799999999</v>
      </c>
      <c r="J99" s="18">
        <f t="shared" ref="J99:S99" si="50">-J100*J95</f>
        <v>-390.23460232158556</v>
      </c>
      <c r="K99" s="18">
        <f t="shared" si="50"/>
        <v>-485.79668718300684</v>
      </c>
      <c r="L99" s="18">
        <f t="shared" si="50"/>
        <v>-600.85643922072506</v>
      </c>
      <c r="M99" s="18">
        <f t="shared" si="50"/>
        <v>-737.93144269101685</v>
      </c>
      <c r="N99" s="18">
        <f t="shared" si="50"/>
        <v>-897.71585544433208</v>
      </c>
      <c r="O99" s="18">
        <f t="shared" si="50"/>
        <v>-1076.8731869153805</v>
      </c>
      <c r="P99" s="18">
        <f t="shared" si="50"/>
        <v>-1268.8957802059786</v>
      </c>
      <c r="Q99" s="18">
        <f t="shared" si="50"/>
        <v>-1472.1223453772898</v>
      </c>
      <c r="R99" s="18">
        <f t="shared" si="50"/>
        <v>-1685.1092097170763</v>
      </c>
      <c r="S99" s="18">
        <f t="shared" si="50"/>
        <v>-1906.9575143449663</v>
      </c>
    </row>
    <row r="100" spans="2:19" outlineLevel="1">
      <c r="C100" s="58" t="s">
        <v>78</v>
      </c>
      <c r="D100" s="4" t="s">
        <v>74</v>
      </c>
      <c r="G100" s="57">
        <f>-G99/G95</f>
        <v>0.32876220368370762</v>
      </c>
      <c r="H100" s="57">
        <f>-H99/H95</f>
        <v>0.36811679381380047</v>
      </c>
      <c r="I100" s="57">
        <f>-I99/I95</f>
        <v>0.39689528881382707</v>
      </c>
      <c r="J100" s="56">
        <f>AVERAGE(G100:I100)</f>
        <v>0.36459142877044504</v>
      </c>
      <c r="K100" s="56">
        <f t="shared" ref="K100:S100" si="51">J100</f>
        <v>0.36459142877044504</v>
      </c>
      <c r="L100" s="56">
        <f t="shared" si="51"/>
        <v>0.36459142877044504</v>
      </c>
      <c r="M100" s="56">
        <f t="shared" si="51"/>
        <v>0.36459142877044504</v>
      </c>
      <c r="N100" s="56">
        <f t="shared" si="51"/>
        <v>0.36459142877044504</v>
      </c>
      <c r="O100" s="56">
        <f t="shared" si="51"/>
        <v>0.36459142877044504</v>
      </c>
      <c r="P100" s="56">
        <f t="shared" si="51"/>
        <v>0.36459142877044504</v>
      </c>
      <c r="Q100" s="56">
        <f t="shared" si="51"/>
        <v>0.36459142877044504</v>
      </c>
      <c r="R100" s="56">
        <f t="shared" si="51"/>
        <v>0.36459142877044504</v>
      </c>
      <c r="S100" s="56">
        <f t="shared" si="51"/>
        <v>0.36459142877044504</v>
      </c>
    </row>
    <row r="101" spans="2:19" s="2" customFormat="1" outlineLevel="1">
      <c r="C101" s="52" t="s">
        <v>77</v>
      </c>
      <c r="D101" s="4" t="s">
        <v>0</v>
      </c>
      <c r="G101" s="60">
        <f t="shared" ref="G101:S101" si="52">G95+G99</f>
        <v>496.68979100000001</v>
      </c>
      <c r="H101" s="60">
        <f t="shared" si="52"/>
        <v>504.67311100000006</v>
      </c>
      <c r="I101" s="60">
        <f t="shared" si="52"/>
        <v>531.36661200000003</v>
      </c>
      <c r="J101" s="35">
        <f t="shared" si="52"/>
        <v>680.09939767841456</v>
      </c>
      <c r="K101" s="35">
        <f t="shared" si="52"/>
        <v>846.64463986989915</v>
      </c>
      <c r="L101" s="35">
        <f t="shared" si="52"/>
        <v>1047.1703431067272</v>
      </c>
      <c r="M101" s="35">
        <f t="shared" si="52"/>
        <v>1286.0641437648433</v>
      </c>
      <c r="N101" s="35">
        <f t="shared" si="52"/>
        <v>1564.5358175360388</v>
      </c>
      <c r="O101" s="35">
        <f t="shared" si="52"/>
        <v>1876.7705412080365</v>
      </c>
      <c r="P101" s="35">
        <f t="shared" si="52"/>
        <v>2211.4267948068964</v>
      </c>
      <c r="Q101" s="35">
        <f t="shared" si="52"/>
        <v>2565.609288473519</v>
      </c>
      <c r="R101" s="35">
        <f t="shared" si="52"/>
        <v>2936.8019948330971</v>
      </c>
      <c r="S101" s="35">
        <f t="shared" si="52"/>
        <v>3323.4383860085482</v>
      </c>
    </row>
    <row r="102" spans="2:19" outlineLevel="1">
      <c r="C102" s="59" t="s">
        <v>76</v>
      </c>
      <c r="D102" s="4" t="s">
        <v>0</v>
      </c>
      <c r="G102" s="38">
        <f>G104-G101</f>
        <v>301.99120900000003</v>
      </c>
      <c r="H102" s="38">
        <f>H104-H101</f>
        <v>376.37888899999996</v>
      </c>
      <c r="I102" s="38">
        <f>I104-I101</f>
        <v>538.96738800000003</v>
      </c>
      <c r="J102" s="18">
        <f t="shared" ref="J102:S102" si="53">J103*J19</f>
        <v>652.34192937449143</v>
      </c>
      <c r="K102" s="18">
        <f t="shared" si="53"/>
        <v>801.38214245755319</v>
      </c>
      <c r="L102" s="18">
        <f t="shared" si="53"/>
        <v>976.82524334913285</v>
      </c>
      <c r="M102" s="18">
        <f t="shared" si="53"/>
        <v>1176.1875292155278</v>
      </c>
      <c r="N102" s="18">
        <f t="shared" si="53"/>
        <v>1389.1079105873782</v>
      </c>
      <c r="O102" s="18">
        <f t="shared" si="53"/>
        <v>1603.5520338048382</v>
      </c>
      <c r="P102" s="18">
        <f t="shared" si="53"/>
        <v>1826.3048390439126</v>
      </c>
      <c r="Q102" s="18">
        <f t="shared" si="53"/>
        <v>2056.3019160766539</v>
      </c>
      <c r="R102" s="18">
        <f t="shared" si="53"/>
        <v>2293.5939055204176</v>
      </c>
      <c r="S102" s="18">
        <f t="shared" si="53"/>
        <v>2535.5604248587738</v>
      </c>
    </row>
    <row r="103" spans="2:19" outlineLevel="1">
      <c r="C103" s="58" t="s">
        <v>75</v>
      </c>
      <c r="D103" s="4" t="s">
        <v>74</v>
      </c>
      <c r="G103" s="57">
        <f>G102/G19</f>
        <v>6.8605068199284899E-2</v>
      </c>
      <c r="H103" s="57">
        <f>H102/H19</f>
        <v>6.0156932892008567E-2</v>
      </c>
      <c r="I103" s="57">
        <f>I102/I19</f>
        <v>6.6452893391026321E-2</v>
      </c>
      <c r="J103" s="56">
        <f>AVERAGE(G103:I103)</f>
        <v>6.5071631494106594E-2</v>
      </c>
      <c r="K103" s="56">
        <f t="shared" ref="K103:S103" si="54">J103</f>
        <v>6.5071631494106594E-2</v>
      </c>
      <c r="L103" s="56">
        <f t="shared" si="54"/>
        <v>6.5071631494106594E-2</v>
      </c>
      <c r="M103" s="56">
        <f t="shared" si="54"/>
        <v>6.5071631494106594E-2</v>
      </c>
      <c r="N103" s="56">
        <f t="shared" si="54"/>
        <v>6.5071631494106594E-2</v>
      </c>
      <c r="O103" s="56">
        <f t="shared" si="54"/>
        <v>6.5071631494106594E-2</v>
      </c>
      <c r="P103" s="56">
        <f t="shared" si="54"/>
        <v>6.5071631494106594E-2</v>
      </c>
      <c r="Q103" s="56">
        <f t="shared" si="54"/>
        <v>6.5071631494106594E-2</v>
      </c>
      <c r="R103" s="56">
        <f t="shared" si="54"/>
        <v>6.5071631494106594E-2</v>
      </c>
      <c r="S103" s="56">
        <f t="shared" si="54"/>
        <v>6.5071631494106594E-2</v>
      </c>
    </row>
    <row r="104" spans="2:19" outlineLevel="1">
      <c r="C104" s="53" t="s">
        <v>73</v>
      </c>
      <c r="D104" s="4" t="s">
        <v>0</v>
      </c>
      <c r="G104" s="40">
        <f>G157</f>
        <v>798.68100000000004</v>
      </c>
      <c r="H104" s="40">
        <f>H157</f>
        <v>881.05200000000002</v>
      </c>
      <c r="I104" s="40">
        <f>I157</f>
        <v>1070.3340000000001</v>
      </c>
      <c r="J104" s="18">
        <f t="shared" ref="J104:S104" si="55">J101+J102</f>
        <v>1332.441327052906</v>
      </c>
      <c r="K104" s="18">
        <f t="shared" si="55"/>
        <v>1648.0267823274523</v>
      </c>
      <c r="L104" s="18">
        <f t="shared" si="55"/>
        <v>2023.9955864558601</v>
      </c>
      <c r="M104" s="18">
        <f t="shared" si="55"/>
        <v>2462.251672980371</v>
      </c>
      <c r="N104" s="18">
        <f t="shared" si="55"/>
        <v>2953.6437281234171</v>
      </c>
      <c r="O104" s="18">
        <f t="shared" si="55"/>
        <v>3480.3225750128749</v>
      </c>
      <c r="P104" s="18">
        <f t="shared" si="55"/>
        <v>4037.731633850809</v>
      </c>
      <c r="Q104" s="18">
        <f t="shared" si="55"/>
        <v>4621.9112045501734</v>
      </c>
      <c r="R104" s="18">
        <f t="shared" si="55"/>
        <v>5230.3959003535147</v>
      </c>
      <c r="S104" s="18">
        <f t="shared" si="55"/>
        <v>5858.9988108673224</v>
      </c>
    </row>
    <row r="105" spans="2:19" s="53" customFormat="1" outlineLevel="1">
      <c r="C105" s="52" t="s">
        <v>72</v>
      </c>
      <c r="D105" s="4" t="s">
        <v>0</v>
      </c>
      <c r="G105" s="55"/>
      <c r="H105" s="55"/>
      <c r="I105" s="55"/>
      <c r="J105" s="54">
        <f t="shared" ref="J105:S105" si="56">J102</f>
        <v>652.34192937449143</v>
      </c>
      <c r="K105" s="54">
        <f t="shared" si="56"/>
        <v>801.38214245755319</v>
      </c>
      <c r="L105" s="54">
        <f t="shared" si="56"/>
        <v>976.82524334913285</v>
      </c>
      <c r="M105" s="54">
        <f t="shared" si="56"/>
        <v>1176.1875292155278</v>
      </c>
      <c r="N105" s="54">
        <f t="shared" si="56"/>
        <v>1389.1079105873782</v>
      </c>
      <c r="O105" s="54">
        <f t="shared" si="56"/>
        <v>1603.5520338048382</v>
      </c>
      <c r="P105" s="54">
        <f t="shared" si="56"/>
        <v>1826.3048390439126</v>
      </c>
      <c r="Q105" s="54">
        <f t="shared" si="56"/>
        <v>2056.3019160766539</v>
      </c>
      <c r="R105" s="54">
        <f t="shared" si="56"/>
        <v>2293.5939055204176</v>
      </c>
      <c r="S105" s="54">
        <f t="shared" si="56"/>
        <v>2535.5604248587738</v>
      </c>
    </row>
    <row r="106" spans="2:19" s="2" customFormat="1" outlineLevel="1">
      <c r="C106" s="52" t="s">
        <v>71</v>
      </c>
      <c r="D106" s="4" t="s">
        <v>0</v>
      </c>
      <c r="G106" s="41"/>
      <c r="H106" s="41"/>
      <c r="I106" s="41"/>
      <c r="J106" s="41">
        <f t="shared" ref="J106:S106" si="57">J99</f>
        <v>-390.23460232158556</v>
      </c>
      <c r="K106" s="41">
        <f t="shared" si="57"/>
        <v>-485.79668718300684</v>
      </c>
      <c r="L106" s="41">
        <f t="shared" si="57"/>
        <v>-600.85643922072506</v>
      </c>
      <c r="M106" s="41">
        <f t="shared" si="57"/>
        <v>-737.93144269101685</v>
      </c>
      <c r="N106" s="41">
        <f t="shared" si="57"/>
        <v>-897.71585544433208</v>
      </c>
      <c r="O106" s="41">
        <f t="shared" si="57"/>
        <v>-1076.8731869153805</v>
      </c>
      <c r="P106" s="41">
        <f t="shared" si="57"/>
        <v>-1268.8957802059786</v>
      </c>
      <c r="Q106" s="41">
        <f t="shared" si="57"/>
        <v>-1472.1223453772898</v>
      </c>
      <c r="R106" s="41">
        <f t="shared" si="57"/>
        <v>-1685.1092097170763</v>
      </c>
      <c r="S106" s="41">
        <f t="shared" si="57"/>
        <v>-1906.9575143449663</v>
      </c>
    </row>
    <row r="108" spans="2:19">
      <c r="B108" s="33"/>
      <c r="C108" s="32"/>
      <c r="D108" s="31"/>
      <c r="E108" s="30"/>
      <c r="F108" s="30"/>
      <c r="G108" s="30" t="s">
        <v>23</v>
      </c>
      <c r="H108" s="30"/>
      <c r="I108" s="29"/>
      <c r="J108" s="29" t="s">
        <v>22</v>
      </c>
      <c r="K108" s="30"/>
      <c r="L108" s="30"/>
      <c r="M108" s="30"/>
      <c r="N108" s="30"/>
      <c r="O108" s="30"/>
      <c r="P108" s="30"/>
      <c r="Q108" s="30"/>
      <c r="R108" s="30"/>
      <c r="S108" s="29"/>
    </row>
    <row r="109" spans="2:19">
      <c r="B109" s="28" t="s">
        <v>70</v>
      </c>
      <c r="C109" s="27"/>
      <c r="D109" s="26" t="s">
        <v>20</v>
      </c>
      <c r="E109" s="24">
        <f>DATE(2018,12,31)</f>
        <v>43465</v>
      </c>
      <c r="F109" s="24">
        <f t="shared" ref="F109:S109" si="58">EDATE(E109,12)</f>
        <v>43830</v>
      </c>
      <c r="G109" s="24">
        <f t="shared" si="58"/>
        <v>44196</v>
      </c>
      <c r="H109" s="24">
        <f t="shared" si="58"/>
        <v>44561</v>
      </c>
      <c r="I109" s="25">
        <f t="shared" si="58"/>
        <v>44926</v>
      </c>
      <c r="J109" s="24">
        <f t="shared" si="58"/>
        <v>45291</v>
      </c>
      <c r="K109" s="24">
        <f t="shared" si="58"/>
        <v>45657</v>
      </c>
      <c r="L109" s="24">
        <f t="shared" si="58"/>
        <v>46022</v>
      </c>
      <c r="M109" s="24">
        <f t="shared" si="58"/>
        <v>46387</v>
      </c>
      <c r="N109" s="24">
        <f t="shared" si="58"/>
        <v>46752</v>
      </c>
      <c r="O109" s="24">
        <f t="shared" si="58"/>
        <v>47118</v>
      </c>
      <c r="P109" s="24">
        <f t="shared" si="58"/>
        <v>47483</v>
      </c>
      <c r="Q109" s="24">
        <f t="shared" si="58"/>
        <v>47848</v>
      </c>
      <c r="R109" s="24">
        <f t="shared" si="58"/>
        <v>48213</v>
      </c>
      <c r="S109" s="24">
        <f t="shared" si="58"/>
        <v>48579</v>
      </c>
    </row>
    <row r="110" spans="2:19" s="2" customFormat="1">
      <c r="C110" s="45" t="s">
        <v>69</v>
      </c>
      <c r="D110" s="4" t="s">
        <v>0</v>
      </c>
      <c r="E110" s="51">
        <f t="shared" ref="E110:S110" si="59">E19</f>
        <v>3288.319</v>
      </c>
      <c r="F110" s="51">
        <f t="shared" si="59"/>
        <v>3979.2960000000003</v>
      </c>
      <c r="G110" s="51">
        <f t="shared" si="59"/>
        <v>4401.8789999999999</v>
      </c>
      <c r="H110" s="51">
        <f t="shared" si="59"/>
        <v>6256.6170000000002</v>
      </c>
      <c r="I110" s="51">
        <f t="shared" si="59"/>
        <v>8110.518</v>
      </c>
      <c r="J110" s="51">
        <f t="shared" si="59"/>
        <v>10024.98192216946</v>
      </c>
      <c r="K110" s="51">
        <f t="shared" si="59"/>
        <v>12315.384201334075</v>
      </c>
      <c r="L110" s="51">
        <f t="shared" si="59"/>
        <v>15011.537607407337</v>
      </c>
      <c r="M110" s="51">
        <f t="shared" si="59"/>
        <v>18075.273390402894</v>
      </c>
      <c r="N110" s="51">
        <f t="shared" si="59"/>
        <v>21347.365644477301</v>
      </c>
      <c r="O110" s="51">
        <f t="shared" si="59"/>
        <v>24642.874275406306</v>
      </c>
      <c r="P110" s="51">
        <f t="shared" si="59"/>
        <v>28066.06807160379</v>
      </c>
      <c r="Q110" s="51">
        <f t="shared" si="59"/>
        <v>31600.589517459528</v>
      </c>
      <c r="R110" s="51">
        <f t="shared" si="59"/>
        <v>35247.21684176835</v>
      </c>
      <c r="S110" s="51">
        <f t="shared" si="59"/>
        <v>38965.680844938004</v>
      </c>
    </row>
    <row r="111" spans="2:19">
      <c r="C111" s="47" t="s">
        <v>68</v>
      </c>
      <c r="D111" s="11" t="s">
        <v>0</v>
      </c>
      <c r="E111" s="46">
        <v>-1472.0319999999999</v>
      </c>
      <c r="F111" s="46">
        <v>-1755.91</v>
      </c>
      <c r="G111" s="46">
        <v>-1943.048</v>
      </c>
      <c r="H111" s="46">
        <v>-2656.8340000000003</v>
      </c>
      <c r="I111" s="46">
        <v>-3626.93</v>
      </c>
      <c r="J111" s="39">
        <f t="shared" ref="J111:S111" si="60">-J110*J68</f>
        <v>-4415.3267756880796</v>
      </c>
      <c r="K111" s="39">
        <f t="shared" si="60"/>
        <v>-5424.0941319591866</v>
      </c>
      <c r="L111" s="39">
        <f t="shared" si="60"/>
        <v>-6611.5674279331424</v>
      </c>
      <c r="M111" s="39">
        <f t="shared" si="60"/>
        <v>-7960.9359097235374</v>
      </c>
      <c r="N111" s="39">
        <f t="shared" si="60"/>
        <v>-9402.0713306251055</v>
      </c>
      <c r="O111" s="39">
        <f t="shared" si="60"/>
        <v>-10853.520082415287</v>
      </c>
      <c r="P111" s="39">
        <f t="shared" si="60"/>
        <v>-12361.20551706884</v>
      </c>
      <c r="Q111" s="39">
        <f t="shared" si="60"/>
        <v>-13917.923254845404</v>
      </c>
      <c r="R111" s="39">
        <f t="shared" si="60"/>
        <v>-15524.016052915225</v>
      </c>
      <c r="S111" s="39">
        <f t="shared" si="60"/>
        <v>-17161.748051346029</v>
      </c>
    </row>
    <row r="112" spans="2:19" s="2" customFormat="1">
      <c r="C112" s="45" t="s">
        <v>67</v>
      </c>
      <c r="E112" s="41">
        <f t="shared" ref="E112:S112" si="61">E111+E110</f>
        <v>1816.287</v>
      </c>
      <c r="F112" s="41">
        <f t="shared" si="61"/>
        <v>2223.3860000000004</v>
      </c>
      <c r="G112" s="41">
        <f t="shared" si="61"/>
        <v>2458.8310000000001</v>
      </c>
      <c r="H112" s="41">
        <f t="shared" si="61"/>
        <v>3599.7829999999999</v>
      </c>
      <c r="I112" s="41">
        <f t="shared" si="61"/>
        <v>4483.5879999999997</v>
      </c>
      <c r="J112" s="41">
        <f t="shared" si="61"/>
        <v>5609.6551464813801</v>
      </c>
      <c r="K112" s="41">
        <f t="shared" si="61"/>
        <v>6891.2900693748879</v>
      </c>
      <c r="L112" s="41">
        <f t="shared" si="61"/>
        <v>8399.9701794741959</v>
      </c>
      <c r="M112" s="41">
        <f t="shared" si="61"/>
        <v>10114.337480679356</v>
      </c>
      <c r="N112" s="41">
        <f t="shared" si="61"/>
        <v>11945.294313852195</v>
      </c>
      <c r="O112" s="41">
        <f t="shared" si="61"/>
        <v>13789.354192991019</v>
      </c>
      <c r="P112" s="41">
        <f t="shared" si="61"/>
        <v>15704.86255453495</v>
      </c>
      <c r="Q112" s="41">
        <f t="shared" si="61"/>
        <v>17682.666262614126</v>
      </c>
      <c r="R112" s="41">
        <f t="shared" si="61"/>
        <v>19723.200788853123</v>
      </c>
      <c r="S112" s="41">
        <f t="shared" si="61"/>
        <v>21803.932793591975</v>
      </c>
    </row>
    <row r="113" spans="3:19" s="2" customFormat="1">
      <c r="C113" s="45"/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3:19">
      <c r="C114" s="49" t="s">
        <v>66</v>
      </c>
      <c r="D114" s="4" t="s">
        <v>0</v>
      </c>
      <c r="E114" s="48">
        <v>-1110.451</v>
      </c>
      <c r="F114" s="48">
        <v>-1334.2760000000001</v>
      </c>
      <c r="G114" s="48">
        <v>-1609.0029999999999</v>
      </c>
      <c r="H114" s="48">
        <v>-2225.0340000000001</v>
      </c>
      <c r="I114" s="48">
        <v>-2757.4470000000001</v>
      </c>
      <c r="J114" s="18">
        <f t="shared" ref="J114:S114" si="62">-J110*J69</f>
        <v>-3476.9436113391171</v>
      </c>
      <c r="K114" s="18">
        <f t="shared" si="62"/>
        <v>-4271.3190659548591</v>
      </c>
      <c r="L114" s="18">
        <f t="shared" si="62"/>
        <v>-5206.4203392754562</v>
      </c>
      <c r="M114" s="18">
        <f t="shared" si="62"/>
        <v>-6269.0094431979705</v>
      </c>
      <c r="N114" s="18">
        <f t="shared" si="62"/>
        <v>-7403.8623882548727</v>
      </c>
      <c r="O114" s="18">
        <f t="shared" si="62"/>
        <v>-8546.8367865510336</v>
      </c>
      <c r="P114" s="18">
        <f t="shared" si="62"/>
        <v>-9734.0959649185916</v>
      </c>
      <c r="Q114" s="18">
        <f t="shared" si="62"/>
        <v>-10959.966680269441</v>
      </c>
      <c r="R114" s="18">
        <f t="shared" si="62"/>
        <v>-12224.718844076475</v>
      </c>
      <c r="S114" s="18">
        <f t="shared" si="62"/>
        <v>-13514.385973672388</v>
      </c>
    </row>
    <row r="115" spans="3:19">
      <c r="C115" s="49" t="s">
        <v>65</v>
      </c>
      <c r="D115" s="4" t="s">
        <v>0</v>
      </c>
      <c r="E115" s="48">
        <v>0</v>
      </c>
      <c r="F115" s="48">
        <v>0</v>
      </c>
      <c r="G115" s="48">
        <v>-266.20999999999998</v>
      </c>
      <c r="H115" s="48">
        <v>-318.767</v>
      </c>
      <c r="I115" s="48">
        <v>-376.99799999999999</v>
      </c>
      <c r="J115" s="18">
        <f t="shared" ref="J115:S115" si="63">-J96</f>
        <v>-423.41495632158563</v>
      </c>
      <c r="K115" s="18">
        <f t="shared" si="63"/>
        <v>-527.10236832164708</v>
      </c>
      <c r="L115" s="18">
        <f t="shared" si="63"/>
        <v>-651.94526947287625</v>
      </c>
      <c r="M115" s="18">
        <f t="shared" si="63"/>
        <v>-800.67530587114868</v>
      </c>
      <c r="N115" s="18">
        <f t="shared" si="63"/>
        <v>-974.0456573067238</v>
      </c>
      <c r="O115" s="18">
        <f t="shared" si="63"/>
        <v>-1168.4361424872068</v>
      </c>
      <c r="P115" s="18">
        <f t="shared" si="63"/>
        <v>-1376.785780031378</v>
      </c>
      <c r="Q115" s="18">
        <f t="shared" si="63"/>
        <v>-1597.2920260266653</v>
      </c>
      <c r="R115" s="18">
        <f t="shared" si="63"/>
        <v>-1828.3884570581322</v>
      </c>
      <c r="S115" s="18">
        <f t="shared" si="63"/>
        <v>-2069.0997872559255</v>
      </c>
    </row>
    <row r="116" spans="3:19">
      <c r="C116" s="47" t="s">
        <v>64</v>
      </c>
      <c r="D116" s="11" t="s">
        <v>0</v>
      </c>
      <c r="E116" s="46">
        <v>0</v>
      </c>
      <c r="F116" s="46">
        <v>0</v>
      </c>
      <c r="G116" s="9">
        <v>-29.841999999999999</v>
      </c>
      <c r="H116" s="46">
        <v>-41.393999999999998</v>
      </c>
      <c r="I116" s="46">
        <v>-397.733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</row>
    <row r="117" spans="3:19" s="2" customFormat="1">
      <c r="C117" s="45" t="s">
        <v>63</v>
      </c>
      <c r="E117" s="41">
        <f>E116+E114+E112</f>
        <v>705.83600000000001</v>
      </c>
      <c r="F117" s="41">
        <f>F116+F114+F112</f>
        <v>889.11000000000035</v>
      </c>
      <c r="G117" s="41">
        <f>G116+G114+G112+G115</f>
        <v>553.77600000000007</v>
      </c>
      <c r="H117" s="41">
        <f>H116+H114+H112+H115</f>
        <v>1014.588</v>
      </c>
      <c r="I117" s="41">
        <f>I116+I114+I112+I115</f>
        <v>951.4099999999994</v>
      </c>
      <c r="J117" s="41">
        <f t="shared" ref="J117:S117" si="64">SUM(J114:J116)+J112</f>
        <v>1709.2965788206775</v>
      </c>
      <c r="K117" s="41">
        <f t="shared" si="64"/>
        <v>2092.8686350983817</v>
      </c>
      <c r="L117" s="41">
        <f t="shared" si="64"/>
        <v>2541.6045707258636</v>
      </c>
      <c r="M117" s="41">
        <f t="shared" si="64"/>
        <v>3044.6527316102374</v>
      </c>
      <c r="N117" s="41">
        <f t="shared" si="64"/>
        <v>3567.3862682905983</v>
      </c>
      <c r="O117" s="41">
        <f t="shared" si="64"/>
        <v>4074.0812639527776</v>
      </c>
      <c r="P117" s="41">
        <f t="shared" si="64"/>
        <v>4593.9808095849803</v>
      </c>
      <c r="Q117" s="41">
        <f t="shared" si="64"/>
        <v>5125.4075563180195</v>
      </c>
      <c r="R117" s="41">
        <f t="shared" si="64"/>
        <v>5670.0934877185155</v>
      </c>
      <c r="S117" s="41">
        <f t="shared" si="64"/>
        <v>6220.447032663662</v>
      </c>
    </row>
    <row r="118" spans="3:19" s="2" customFormat="1">
      <c r="C118" s="45"/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3:19" s="2" customFormat="1">
      <c r="C119" s="45" t="s">
        <v>62</v>
      </c>
      <c r="D119" s="4" t="s">
        <v>0</v>
      </c>
      <c r="E119" s="41">
        <f t="shared" ref="E119:S119" si="65">E117-E116</f>
        <v>705.83600000000001</v>
      </c>
      <c r="F119" s="41">
        <f t="shared" si="65"/>
        <v>889.11000000000035</v>
      </c>
      <c r="G119" s="41">
        <f t="shared" si="65"/>
        <v>583.61800000000005</v>
      </c>
      <c r="H119" s="41">
        <f t="shared" si="65"/>
        <v>1055.982</v>
      </c>
      <c r="I119" s="41">
        <f t="shared" si="65"/>
        <v>1349.1429999999993</v>
      </c>
      <c r="J119" s="41">
        <f t="shared" si="65"/>
        <v>1709.2965788206775</v>
      </c>
      <c r="K119" s="41">
        <f t="shared" si="65"/>
        <v>2092.8686350983817</v>
      </c>
      <c r="L119" s="41">
        <f t="shared" si="65"/>
        <v>2541.6045707258636</v>
      </c>
      <c r="M119" s="41">
        <f t="shared" si="65"/>
        <v>3044.6527316102374</v>
      </c>
      <c r="N119" s="41">
        <f t="shared" si="65"/>
        <v>3567.3862682905983</v>
      </c>
      <c r="O119" s="41">
        <f t="shared" si="65"/>
        <v>4074.0812639527776</v>
      </c>
      <c r="P119" s="41">
        <f t="shared" si="65"/>
        <v>4593.9808095849803</v>
      </c>
      <c r="Q119" s="41">
        <f t="shared" si="65"/>
        <v>5125.4075563180195</v>
      </c>
      <c r="R119" s="41">
        <f t="shared" si="65"/>
        <v>5670.0934877185155</v>
      </c>
      <c r="S119" s="41">
        <f t="shared" si="65"/>
        <v>6220.447032663662</v>
      </c>
    </row>
    <row r="120" spans="3:19" s="2" customFormat="1">
      <c r="C120" s="45"/>
      <c r="G120" s="50"/>
      <c r="H120" s="50"/>
      <c r="I120" s="50"/>
      <c r="J120" s="50"/>
      <c r="K120" s="50"/>
      <c r="L120" s="50"/>
      <c r="M120" s="50"/>
      <c r="N120" s="50"/>
    </row>
    <row r="121" spans="3:19">
      <c r="C121" s="49" t="s">
        <v>61</v>
      </c>
      <c r="D121" s="4" t="s">
        <v>0</v>
      </c>
      <c r="E121" s="48">
        <v>0</v>
      </c>
      <c r="F121" s="48">
        <v>0</v>
      </c>
      <c r="G121" s="6">
        <v>0</v>
      </c>
      <c r="H121" s="6">
        <v>0</v>
      </c>
      <c r="I121" s="6">
        <v>0</v>
      </c>
      <c r="J121" s="18"/>
      <c r="K121" s="18"/>
      <c r="L121" s="18"/>
      <c r="M121" s="18"/>
      <c r="N121" s="18"/>
    </row>
    <row r="122" spans="3:19">
      <c r="C122" s="47" t="s">
        <v>60</v>
      </c>
      <c r="D122" s="11" t="s">
        <v>0</v>
      </c>
      <c r="E122" s="46">
        <v>9.4139999999999997</v>
      </c>
      <c r="F122" s="46">
        <v>8.2829999999999995</v>
      </c>
      <c r="G122" s="46">
        <v>265.57399999999996</v>
      </c>
      <c r="H122" s="46">
        <v>319.28100000000001</v>
      </c>
      <c r="I122" s="46">
        <v>381.161</v>
      </c>
      <c r="J122" s="5">
        <f>AVERAGE(E122:I122)</f>
        <v>196.74259999999998</v>
      </c>
      <c r="K122" s="5">
        <f t="shared" ref="K122:S122" si="66">J122</f>
        <v>196.74259999999998</v>
      </c>
      <c r="L122" s="5">
        <f t="shared" si="66"/>
        <v>196.74259999999998</v>
      </c>
      <c r="M122" s="5">
        <f t="shared" si="66"/>
        <v>196.74259999999998</v>
      </c>
      <c r="N122" s="5">
        <f t="shared" si="66"/>
        <v>196.74259999999998</v>
      </c>
      <c r="O122" s="5">
        <f t="shared" si="66"/>
        <v>196.74259999999998</v>
      </c>
      <c r="P122" s="5">
        <f t="shared" si="66"/>
        <v>196.74259999999998</v>
      </c>
      <c r="Q122" s="5">
        <f t="shared" si="66"/>
        <v>196.74259999999998</v>
      </c>
      <c r="R122" s="5">
        <f t="shared" si="66"/>
        <v>196.74259999999998</v>
      </c>
      <c r="S122" s="5">
        <f t="shared" si="66"/>
        <v>196.74259999999998</v>
      </c>
    </row>
    <row r="123" spans="3:19" s="2" customFormat="1">
      <c r="C123" s="45" t="s">
        <v>59</v>
      </c>
      <c r="D123" s="4" t="s">
        <v>0</v>
      </c>
      <c r="E123" s="41">
        <f>E117+SUM(E121:E122)</f>
        <v>715.25</v>
      </c>
      <c r="F123" s="41">
        <f>F117+SUM(F121:F122)</f>
        <v>897.39300000000037</v>
      </c>
      <c r="G123" s="41">
        <f>G117+SUM(G121:G122)</f>
        <v>819.35</v>
      </c>
      <c r="H123" s="41">
        <f>H117+SUM(H121:H122)</f>
        <v>1333.8689999999999</v>
      </c>
      <c r="I123" s="41">
        <f>I117+SUM(I121:I122)</f>
        <v>1332.5709999999995</v>
      </c>
      <c r="J123" s="41">
        <f t="shared" ref="J123:S123" si="67">J122+J121+J119</f>
        <v>1906.0391788206775</v>
      </c>
      <c r="K123" s="41">
        <f t="shared" si="67"/>
        <v>2289.6112350983817</v>
      </c>
      <c r="L123" s="41">
        <f t="shared" si="67"/>
        <v>2738.3471707258636</v>
      </c>
      <c r="M123" s="41">
        <f t="shared" si="67"/>
        <v>3241.3953316102375</v>
      </c>
      <c r="N123" s="41">
        <f t="shared" si="67"/>
        <v>3764.1288682905983</v>
      </c>
      <c r="O123" s="41">
        <f t="shared" si="67"/>
        <v>4270.8238639527772</v>
      </c>
      <c r="P123" s="41">
        <f t="shared" si="67"/>
        <v>4790.7234095849799</v>
      </c>
      <c r="Q123" s="41">
        <f t="shared" si="67"/>
        <v>5322.1501563180191</v>
      </c>
      <c r="R123" s="41">
        <f t="shared" si="67"/>
        <v>5866.836087718515</v>
      </c>
      <c r="S123" s="41">
        <f t="shared" si="67"/>
        <v>6417.1896326636615</v>
      </c>
    </row>
    <row r="124" spans="3:19">
      <c r="C124" s="47" t="s">
        <v>58</v>
      </c>
      <c r="D124" s="11" t="s">
        <v>0</v>
      </c>
      <c r="E124" s="46">
        <v>-231.44900000000001</v>
      </c>
      <c r="F124" s="46">
        <v>-251.797</v>
      </c>
      <c r="G124" s="46">
        <v>-230.43700000000001</v>
      </c>
      <c r="H124" s="46">
        <v>-358.54700000000003</v>
      </c>
      <c r="I124" s="46">
        <v>-477.77100000000002</v>
      </c>
      <c r="J124" s="39">
        <f t="shared" ref="J124:S124" si="68">-J123*Tax_Rate</f>
        <v>-683.37840498129879</v>
      </c>
      <c r="K124" s="39">
        <f t="shared" si="68"/>
        <v>-820.90173762162715</v>
      </c>
      <c r="L124" s="39">
        <f t="shared" si="68"/>
        <v>-981.78848714617618</v>
      </c>
      <c r="M124" s="39">
        <f t="shared" si="68"/>
        <v>-1162.1479748386805</v>
      </c>
      <c r="N124" s="39">
        <f t="shared" si="68"/>
        <v>-1349.5653241231184</v>
      </c>
      <c r="O124" s="39">
        <f t="shared" si="68"/>
        <v>-1531.2323233092895</v>
      </c>
      <c r="P124" s="39">
        <f t="shared" si="68"/>
        <v>-1717.6335925971871</v>
      </c>
      <c r="Q124" s="39">
        <f t="shared" si="68"/>
        <v>-1908.1677466598157</v>
      </c>
      <c r="R124" s="39">
        <f t="shared" si="68"/>
        <v>-2103.4557591793337</v>
      </c>
      <c r="S124" s="39">
        <f t="shared" si="68"/>
        <v>-2300.7757995539087</v>
      </c>
    </row>
    <row r="125" spans="3:19" s="2" customFormat="1">
      <c r="C125" s="45" t="s">
        <v>57</v>
      </c>
      <c r="D125" s="4" t="s">
        <v>0</v>
      </c>
      <c r="E125" s="3">
        <f>E123+E124</f>
        <v>483.80099999999999</v>
      </c>
      <c r="F125" s="3">
        <f>F123+F124</f>
        <v>645.59600000000034</v>
      </c>
      <c r="G125" s="3">
        <f>G123+G124</f>
        <v>588.91300000000001</v>
      </c>
      <c r="H125" s="3">
        <f>H123+H124</f>
        <v>975.32199999999989</v>
      </c>
      <c r="I125" s="3">
        <f>I123+I124</f>
        <v>854.7999999999995</v>
      </c>
      <c r="J125" s="3">
        <f t="shared" ref="J125:S125" si="69">J124+J123</f>
        <v>1222.6607738393786</v>
      </c>
      <c r="K125" s="3">
        <f t="shared" si="69"/>
        <v>1468.7094974767547</v>
      </c>
      <c r="L125" s="3">
        <f t="shared" si="69"/>
        <v>1756.5586835796876</v>
      </c>
      <c r="M125" s="3">
        <f t="shared" si="69"/>
        <v>2079.247356771557</v>
      </c>
      <c r="N125" s="3">
        <f t="shared" si="69"/>
        <v>2414.5635441674799</v>
      </c>
      <c r="O125" s="3">
        <f t="shared" si="69"/>
        <v>2739.5915406434879</v>
      </c>
      <c r="P125" s="3">
        <f t="shared" si="69"/>
        <v>3073.0898169877928</v>
      </c>
      <c r="Q125" s="3">
        <f t="shared" si="69"/>
        <v>3413.9824096582033</v>
      </c>
      <c r="R125" s="3">
        <f t="shared" si="69"/>
        <v>3763.3803285391814</v>
      </c>
      <c r="S125" s="3">
        <f t="shared" si="69"/>
        <v>4116.4138331097529</v>
      </c>
    </row>
    <row r="126" spans="3:19" s="2" customFormat="1">
      <c r="C126" s="45"/>
      <c r="D126" s="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3:19" s="2" customFormat="1">
      <c r="C127" s="45" t="s">
        <v>251</v>
      </c>
      <c r="D127" s="4" t="s">
        <v>0</v>
      </c>
      <c r="E127" s="3"/>
      <c r="F127" s="3"/>
      <c r="G127" s="41">
        <f>G119+G174</f>
        <v>769.096</v>
      </c>
      <c r="H127" s="41">
        <f>H119+H174</f>
        <v>1280.1879999999999</v>
      </c>
      <c r="I127" s="41">
        <f>I119+I174</f>
        <v>1640.9339999999993</v>
      </c>
      <c r="J127" s="41">
        <f t="shared" ref="J127:S127" si="70">J119+J174</f>
        <v>2069.253000124243</v>
      </c>
      <c r="K127" s="41">
        <f t="shared" si="70"/>
        <v>2473.4871872114627</v>
      </c>
      <c r="L127" s="41">
        <f t="shared" si="70"/>
        <v>2930.4925960920277</v>
      </c>
      <c r="M127" s="41">
        <f t="shared" si="70"/>
        <v>3422.5333520889321</v>
      </c>
      <c r="N127" s="41">
        <f t="shared" si="70"/>
        <v>3906.9362320347286</v>
      </c>
      <c r="O127" s="41">
        <f t="shared" si="70"/>
        <v>4456.0458152215751</v>
      </c>
      <c r="P127" s="41">
        <f t="shared" si="70"/>
        <v>5029.0048646948389</v>
      </c>
      <c r="Q127" s="41">
        <f t="shared" si="70"/>
        <v>5615.2166938386417</v>
      </c>
      <c r="R127" s="41">
        <f t="shared" si="70"/>
        <v>6216.4253487659253</v>
      </c>
      <c r="S127" s="41">
        <f t="shared" si="70"/>
        <v>6824.4150857602008</v>
      </c>
    </row>
    <row r="129" spans="2:19">
      <c r="B129" s="33"/>
      <c r="C129" s="32"/>
      <c r="D129" s="31"/>
      <c r="E129" s="30"/>
      <c r="F129" s="30"/>
      <c r="G129" s="30" t="s">
        <v>23</v>
      </c>
      <c r="H129" s="30"/>
      <c r="I129" s="29"/>
      <c r="J129" s="29" t="s">
        <v>22</v>
      </c>
      <c r="K129" s="30"/>
      <c r="L129" s="30"/>
      <c r="M129" s="30"/>
      <c r="N129" s="30"/>
      <c r="O129" s="30"/>
      <c r="P129" s="30"/>
      <c r="Q129" s="30"/>
      <c r="R129" s="30"/>
      <c r="S129" s="29"/>
    </row>
    <row r="130" spans="2:19">
      <c r="B130" s="28" t="s">
        <v>56</v>
      </c>
      <c r="C130" s="27"/>
      <c r="D130" s="26" t="s">
        <v>20</v>
      </c>
      <c r="E130" s="24">
        <f>DATE(2018,12,31)</f>
        <v>43465</v>
      </c>
      <c r="F130" s="24">
        <f t="shared" ref="F130:S130" si="71">EDATE(E130,12)</f>
        <v>43830</v>
      </c>
      <c r="G130" s="24">
        <f t="shared" si="71"/>
        <v>44196</v>
      </c>
      <c r="H130" s="24">
        <f t="shared" si="71"/>
        <v>44561</v>
      </c>
      <c r="I130" s="25">
        <f t="shared" si="71"/>
        <v>44926</v>
      </c>
      <c r="J130" s="24">
        <f t="shared" si="71"/>
        <v>45291</v>
      </c>
      <c r="K130" s="24">
        <f t="shared" si="71"/>
        <v>45657</v>
      </c>
      <c r="L130" s="24">
        <f t="shared" si="71"/>
        <v>46022</v>
      </c>
      <c r="M130" s="24">
        <f t="shared" si="71"/>
        <v>46387</v>
      </c>
      <c r="N130" s="24">
        <f t="shared" si="71"/>
        <v>46752</v>
      </c>
      <c r="O130" s="24">
        <f t="shared" si="71"/>
        <v>47118</v>
      </c>
      <c r="P130" s="24">
        <f t="shared" si="71"/>
        <v>47483</v>
      </c>
      <c r="Q130" s="24">
        <f t="shared" si="71"/>
        <v>47848</v>
      </c>
      <c r="R130" s="24">
        <f t="shared" si="71"/>
        <v>48213</v>
      </c>
      <c r="S130" s="24">
        <f t="shared" si="71"/>
        <v>48579</v>
      </c>
    </row>
    <row r="131" spans="2:19">
      <c r="B131" s="17" t="s">
        <v>55</v>
      </c>
      <c r="C131" s="16"/>
      <c r="D131" s="15"/>
      <c r="E131" s="15"/>
      <c r="F131" s="1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2:19">
      <c r="C132" s="2" t="s">
        <v>54</v>
      </c>
    </row>
    <row r="133" spans="2:19">
      <c r="C133" s="7" t="s">
        <v>53</v>
      </c>
      <c r="D133" s="4" t="s">
        <v>0</v>
      </c>
      <c r="G133" s="43">
        <v>1150.5170000000001</v>
      </c>
      <c r="H133" s="43">
        <v>1259.8710000000001</v>
      </c>
      <c r="I133" s="43">
        <v>1154.867</v>
      </c>
      <c r="J133" s="44">
        <f>Current_Cash+J194</f>
        <v>2039.6640159852864</v>
      </c>
      <c r="K133" s="44">
        <f t="shared" ref="K133:S133" si="72">J133+K194</f>
        <v>2894.6423743095224</v>
      </c>
      <c r="L133" s="44">
        <f t="shared" si="72"/>
        <v>4030.6381968422329</v>
      </c>
      <c r="M133" s="44">
        <f t="shared" si="72"/>
        <v>5520.8169109986648</v>
      </c>
      <c r="N133" s="44">
        <f t="shared" si="72"/>
        <v>7407.2213880254094</v>
      </c>
      <c r="O133" s="44">
        <f t="shared" si="72"/>
        <v>9835.0337398831653</v>
      </c>
      <c r="P133" s="44">
        <f t="shared" si="72"/>
        <v>12679.610813875675</v>
      </c>
      <c r="Q133" s="44">
        <f t="shared" si="72"/>
        <v>15896.800978025589</v>
      </c>
      <c r="R133" s="44">
        <f t="shared" si="72"/>
        <v>19497.566469866193</v>
      </c>
      <c r="S133" s="44">
        <f t="shared" si="72"/>
        <v>23294.110399898651</v>
      </c>
    </row>
    <row r="134" spans="2:19">
      <c r="C134" s="7" t="s">
        <v>52</v>
      </c>
      <c r="D134" s="4" t="s">
        <v>0</v>
      </c>
      <c r="G134" s="40">
        <v>62.399000000000001</v>
      </c>
      <c r="H134" s="40">
        <v>77.001000000000005</v>
      </c>
      <c r="I134" s="40">
        <v>132.90600000000001</v>
      </c>
      <c r="J134" s="38">
        <f t="shared" ref="J134:S134" si="73">J74*J110</f>
        <v>164.2780704448044</v>
      </c>
      <c r="K134" s="38">
        <f t="shared" si="73"/>
        <v>201.81059368372112</v>
      </c>
      <c r="L134" s="38">
        <f t="shared" si="73"/>
        <v>238.48633888289285</v>
      </c>
      <c r="M134" s="38">
        <f t="shared" si="73"/>
        <v>278.12187273822747</v>
      </c>
      <c r="N134" s="38">
        <f t="shared" si="73"/>
        <v>317.79544640388292</v>
      </c>
      <c r="O134" s="38">
        <f t="shared" si="73"/>
        <v>354.53381617330859</v>
      </c>
      <c r="P134" s="38">
        <f t="shared" si="73"/>
        <v>389.74982453829125</v>
      </c>
      <c r="Q134" s="38">
        <f t="shared" si="73"/>
        <v>423.0329678241975</v>
      </c>
      <c r="R134" s="38">
        <f t="shared" si="73"/>
        <v>454.22628348945585</v>
      </c>
      <c r="S134" s="38">
        <f t="shared" si="73"/>
        <v>482.66280339638348</v>
      </c>
    </row>
    <row r="135" spans="2:19">
      <c r="C135" s="7" t="s">
        <v>51</v>
      </c>
      <c r="D135" s="4" t="s">
        <v>0</v>
      </c>
      <c r="G135" s="40">
        <v>647.23</v>
      </c>
      <c r="H135" s="40">
        <v>966.48099999999999</v>
      </c>
      <c r="I135" s="40">
        <v>1447.367</v>
      </c>
      <c r="J135" s="38">
        <f t="shared" ref="J135:S135" si="74">-J111*J75</f>
        <v>1612.9678042911041</v>
      </c>
      <c r="K135" s="38">
        <f t="shared" si="74"/>
        <v>1981.4816992635963</v>
      </c>
      <c r="L135" s="38">
        <f t="shared" si="74"/>
        <v>2415.278854529176</v>
      </c>
      <c r="M135" s="38">
        <f t="shared" si="74"/>
        <v>2908.2181153869169</v>
      </c>
      <c r="N135" s="38">
        <f t="shared" si="74"/>
        <v>3434.6808561147509</v>
      </c>
      <c r="O135" s="38">
        <f t="shared" si="74"/>
        <v>3964.911170914324</v>
      </c>
      <c r="P135" s="38">
        <f t="shared" si="74"/>
        <v>4515.6853692104041</v>
      </c>
      <c r="Q135" s="38">
        <f t="shared" si="74"/>
        <v>5084.3716112408547</v>
      </c>
      <c r="R135" s="38">
        <f t="shared" si="74"/>
        <v>5671.0951099985932</v>
      </c>
      <c r="S135" s="38">
        <f t="shared" si="74"/>
        <v>6269.3767592915947</v>
      </c>
    </row>
    <row r="136" spans="2:19">
      <c r="C136" s="12" t="s">
        <v>50</v>
      </c>
      <c r="D136" s="11" t="s">
        <v>0</v>
      </c>
      <c r="E136" s="10"/>
      <c r="F136" s="10"/>
      <c r="G136" s="37">
        <v>264.233</v>
      </c>
      <c r="H136" s="37">
        <v>311.5</v>
      </c>
      <c r="I136" s="37">
        <v>424.31299999999999</v>
      </c>
      <c r="J136" s="42">
        <f t="shared" ref="J136:S136" si="75">J76*J110</f>
        <v>524.47083581362983</v>
      </c>
      <c r="K136" s="42">
        <f t="shared" si="75"/>
        <v>582.71948726474523</v>
      </c>
      <c r="L136" s="42">
        <f t="shared" si="75"/>
        <v>635.2340377132864</v>
      </c>
      <c r="M136" s="42">
        <f t="shared" si="75"/>
        <v>674.50390040257207</v>
      </c>
      <c r="N136" s="42">
        <f t="shared" si="75"/>
        <v>689.86973365484209</v>
      </c>
      <c r="O136" s="42">
        <f t="shared" si="75"/>
        <v>673.1542951831168</v>
      </c>
      <c r="P136" s="42">
        <f t="shared" si="75"/>
        <v>626.33324198866023</v>
      </c>
      <c r="Q136" s="42">
        <f t="shared" si="75"/>
        <v>547.20804351867127</v>
      </c>
      <c r="R136" s="42">
        <f t="shared" si="75"/>
        <v>434.11836999543561</v>
      </c>
      <c r="S136" s="42">
        <f t="shared" si="75"/>
        <v>479.916412410796</v>
      </c>
    </row>
    <row r="137" spans="2:19">
      <c r="C137" s="2" t="s">
        <v>49</v>
      </c>
      <c r="D137" s="4" t="s">
        <v>0</v>
      </c>
      <c r="E137" s="2"/>
      <c r="F137" s="2"/>
      <c r="G137" s="35">
        <f t="shared" ref="G137:S137" si="76">SUM(G133:G136)</f>
        <v>2124.3790000000004</v>
      </c>
      <c r="H137" s="35">
        <f t="shared" si="76"/>
        <v>2614.8530000000001</v>
      </c>
      <c r="I137" s="35">
        <f t="shared" si="76"/>
        <v>3159.453</v>
      </c>
      <c r="J137" s="35">
        <f t="shared" si="76"/>
        <v>4341.380726534825</v>
      </c>
      <c r="K137" s="35">
        <f t="shared" si="76"/>
        <v>5660.654154521585</v>
      </c>
      <c r="L137" s="35">
        <f t="shared" si="76"/>
        <v>7319.6374279675874</v>
      </c>
      <c r="M137" s="35">
        <f t="shared" si="76"/>
        <v>9381.6607995263803</v>
      </c>
      <c r="N137" s="35">
        <f t="shared" si="76"/>
        <v>11849.567424198885</v>
      </c>
      <c r="O137" s="35">
        <f t="shared" si="76"/>
        <v>14827.633022153914</v>
      </c>
      <c r="P137" s="35">
        <f t="shared" si="76"/>
        <v>18211.379249613034</v>
      </c>
      <c r="Q137" s="35">
        <f t="shared" si="76"/>
        <v>21951.413600609314</v>
      </c>
      <c r="R137" s="35">
        <f t="shared" si="76"/>
        <v>26057.006233349679</v>
      </c>
      <c r="S137" s="35">
        <f t="shared" si="76"/>
        <v>30526.066374997423</v>
      </c>
    </row>
    <row r="138" spans="2:19">
      <c r="G138" s="38"/>
      <c r="H138" s="38"/>
      <c r="I138" s="38"/>
      <c r="L138" s="2"/>
      <c r="M138" s="2"/>
    </row>
    <row r="139" spans="2:19">
      <c r="C139" s="2" t="s">
        <v>48</v>
      </c>
      <c r="G139" s="38"/>
      <c r="H139" s="38"/>
      <c r="I139" s="38"/>
      <c r="K139" s="2"/>
    </row>
    <row r="140" spans="2:19">
      <c r="C140" s="7" t="s">
        <v>47</v>
      </c>
      <c r="D140" s="4" t="s">
        <v>0</v>
      </c>
      <c r="G140" s="40">
        <v>745.68700000000001</v>
      </c>
      <c r="H140" s="40">
        <v>927.71</v>
      </c>
      <c r="I140" s="40">
        <v>1269.614</v>
      </c>
      <c r="J140" s="18">
        <f t="shared" ref="J140:S140" si="77">I140-J184-J174-J176</f>
        <v>1598.8178661370991</v>
      </c>
      <c r="K140" s="18">
        <f t="shared" si="77"/>
        <v>1941.6578431875935</v>
      </c>
      <c r="L140" s="18">
        <f t="shared" si="77"/>
        <v>2284.4965946508901</v>
      </c>
      <c r="M140" s="18">
        <f t="shared" si="77"/>
        <v>2606.9296495975127</v>
      </c>
      <c r="N140" s="18">
        <f t="shared" si="77"/>
        <v>2880.9946035194557</v>
      </c>
      <c r="O140" s="18">
        <f t="shared" si="77"/>
        <v>2960.94329048809</v>
      </c>
      <c r="P140" s="18">
        <f t="shared" si="77"/>
        <v>2974.9763245238919</v>
      </c>
      <c r="Q140" s="18">
        <f t="shared" si="77"/>
        <v>2990.7766192826216</v>
      </c>
      <c r="R140" s="18">
        <f t="shared" si="77"/>
        <v>3008.4002277035056</v>
      </c>
      <c r="S140" s="18">
        <f t="shared" si="77"/>
        <v>3027.8830681259751</v>
      </c>
    </row>
    <row r="141" spans="2:19">
      <c r="C141" s="7" t="s">
        <v>46</v>
      </c>
      <c r="D141" s="4" t="s">
        <v>0</v>
      </c>
      <c r="G141" s="40">
        <v>734.83500000000004</v>
      </c>
      <c r="H141" s="40">
        <v>803.54300000000001</v>
      </c>
      <c r="I141" s="40">
        <v>969.41899999999998</v>
      </c>
      <c r="J141" s="18">
        <f t="shared" ref="J141:S141" si="78">I141+J105+J106</f>
        <v>1231.5263270529058</v>
      </c>
      <c r="K141" s="18">
        <f t="shared" si="78"/>
        <v>1547.1117823274521</v>
      </c>
      <c r="L141" s="18">
        <f t="shared" si="78"/>
        <v>1923.0805864558602</v>
      </c>
      <c r="M141" s="18">
        <f t="shared" si="78"/>
        <v>2361.3366729803711</v>
      </c>
      <c r="N141" s="18">
        <f t="shared" si="78"/>
        <v>2852.7287281234171</v>
      </c>
      <c r="O141" s="18">
        <f t="shared" si="78"/>
        <v>3379.407575012875</v>
      </c>
      <c r="P141" s="18">
        <f t="shared" si="78"/>
        <v>3936.816633850809</v>
      </c>
      <c r="Q141" s="18">
        <f t="shared" si="78"/>
        <v>4520.9962045501734</v>
      </c>
      <c r="R141" s="18">
        <f t="shared" si="78"/>
        <v>5129.4809003535138</v>
      </c>
      <c r="S141" s="18">
        <f t="shared" si="78"/>
        <v>5758.0838108673206</v>
      </c>
    </row>
    <row r="142" spans="2:19">
      <c r="C142" s="7" t="s">
        <v>45</v>
      </c>
      <c r="D142" s="4" t="s">
        <v>0</v>
      </c>
      <c r="G142" s="40">
        <v>386.87700000000001</v>
      </c>
      <c r="H142" s="40">
        <v>386.88</v>
      </c>
      <c r="I142" s="40">
        <v>24.143999999999998</v>
      </c>
      <c r="J142" s="5">
        <f t="shared" ref="J142:S142" si="79">I142-J175</f>
        <v>24.143999999999998</v>
      </c>
      <c r="K142" s="5">
        <f t="shared" si="79"/>
        <v>24.143999999999998</v>
      </c>
      <c r="L142" s="5">
        <f t="shared" si="79"/>
        <v>24.143999999999998</v>
      </c>
      <c r="M142" s="5">
        <f t="shared" si="79"/>
        <v>24.143999999999998</v>
      </c>
      <c r="N142" s="5">
        <f t="shared" si="79"/>
        <v>24.143999999999998</v>
      </c>
      <c r="O142" s="5">
        <f t="shared" si="79"/>
        <v>24.143999999999998</v>
      </c>
      <c r="P142" s="5">
        <f t="shared" si="79"/>
        <v>24.143999999999998</v>
      </c>
      <c r="Q142" s="5">
        <f t="shared" si="79"/>
        <v>24.143999999999998</v>
      </c>
      <c r="R142" s="5">
        <f t="shared" si="79"/>
        <v>24.143999999999998</v>
      </c>
      <c r="S142" s="5">
        <f t="shared" si="79"/>
        <v>24.143999999999998</v>
      </c>
    </row>
    <row r="143" spans="2:19">
      <c r="C143" s="7" t="s">
        <v>44</v>
      </c>
      <c r="D143" s="4" t="s">
        <v>0</v>
      </c>
      <c r="G143" s="40">
        <v>80.08</v>
      </c>
      <c r="H143" s="40">
        <v>71.299000000000007</v>
      </c>
      <c r="I143" s="40">
        <v>21.960999999999999</v>
      </c>
      <c r="J143" s="5">
        <f t="shared" ref="J143:S143" si="80">I143</f>
        <v>21.960999999999999</v>
      </c>
      <c r="K143" s="5">
        <f t="shared" si="80"/>
        <v>21.960999999999999</v>
      </c>
      <c r="L143" s="5">
        <f t="shared" si="80"/>
        <v>21.960999999999999</v>
      </c>
      <c r="M143" s="5">
        <f t="shared" si="80"/>
        <v>21.960999999999999</v>
      </c>
      <c r="N143" s="5">
        <f t="shared" si="80"/>
        <v>21.960999999999999</v>
      </c>
      <c r="O143" s="5">
        <f t="shared" si="80"/>
        <v>21.960999999999999</v>
      </c>
      <c r="P143" s="5">
        <f t="shared" si="80"/>
        <v>21.960999999999999</v>
      </c>
      <c r="Q143" s="5">
        <f t="shared" si="80"/>
        <v>21.960999999999999</v>
      </c>
      <c r="R143" s="5">
        <f t="shared" si="80"/>
        <v>21.960999999999999</v>
      </c>
      <c r="S143" s="5">
        <f t="shared" si="80"/>
        <v>21.960999999999999</v>
      </c>
    </row>
    <row r="144" spans="2:19">
      <c r="C144" s="12" t="s">
        <v>43</v>
      </c>
      <c r="D144" s="11" t="s">
        <v>0</v>
      </c>
      <c r="E144" s="10"/>
      <c r="F144" s="10"/>
      <c r="G144" s="37">
        <v>106.626</v>
      </c>
      <c r="H144" s="37">
        <v>132.102</v>
      </c>
      <c r="I144" s="37">
        <v>156.04499999999999</v>
      </c>
      <c r="J144" s="42">
        <f t="shared" ref="J144:S144" si="81">I144</f>
        <v>156.04499999999999</v>
      </c>
      <c r="K144" s="42">
        <f t="shared" si="81"/>
        <v>156.04499999999999</v>
      </c>
      <c r="L144" s="42">
        <f t="shared" si="81"/>
        <v>156.04499999999999</v>
      </c>
      <c r="M144" s="42">
        <f t="shared" si="81"/>
        <v>156.04499999999999</v>
      </c>
      <c r="N144" s="42">
        <f t="shared" si="81"/>
        <v>156.04499999999999</v>
      </c>
      <c r="O144" s="42">
        <f t="shared" si="81"/>
        <v>156.04499999999999</v>
      </c>
      <c r="P144" s="42">
        <f t="shared" si="81"/>
        <v>156.04499999999999</v>
      </c>
      <c r="Q144" s="42">
        <f t="shared" si="81"/>
        <v>156.04499999999999</v>
      </c>
      <c r="R144" s="42">
        <f t="shared" si="81"/>
        <v>156.04499999999999</v>
      </c>
      <c r="S144" s="42">
        <f t="shared" si="81"/>
        <v>156.04499999999999</v>
      </c>
    </row>
    <row r="145" spans="2:19">
      <c r="C145" s="2" t="s">
        <v>42</v>
      </c>
      <c r="D145" s="4" t="s">
        <v>0</v>
      </c>
      <c r="E145" s="2"/>
      <c r="F145" s="2"/>
      <c r="G145" s="35">
        <f t="shared" ref="G145:S145" si="82">SUM(G140:G144)</f>
        <v>2054.105</v>
      </c>
      <c r="H145" s="35">
        <f t="shared" si="82"/>
        <v>2321.5340000000001</v>
      </c>
      <c r="I145" s="35">
        <f t="shared" si="82"/>
        <v>2441.1829999999995</v>
      </c>
      <c r="J145" s="35">
        <f t="shared" si="82"/>
        <v>3032.4941931900048</v>
      </c>
      <c r="K145" s="35">
        <f t="shared" si="82"/>
        <v>3690.9196255150455</v>
      </c>
      <c r="L145" s="35">
        <f t="shared" si="82"/>
        <v>4409.7271811067503</v>
      </c>
      <c r="M145" s="35">
        <f t="shared" si="82"/>
        <v>5170.4163225778839</v>
      </c>
      <c r="N145" s="35">
        <f t="shared" si="82"/>
        <v>5935.8733316428734</v>
      </c>
      <c r="O145" s="35">
        <f t="shared" si="82"/>
        <v>6542.5008655009651</v>
      </c>
      <c r="P145" s="35">
        <f t="shared" si="82"/>
        <v>7113.9429583747014</v>
      </c>
      <c r="Q145" s="35">
        <f t="shared" si="82"/>
        <v>7713.9228238327951</v>
      </c>
      <c r="R145" s="35">
        <f t="shared" si="82"/>
        <v>8340.0311280570186</v>
      </c>
      <c r="S145" s="35">
        <f t="shared" si="82"/>
        <v>8988.1168789932944</v>
      </c>
    </row>
    <row r="146" spans="2:19">
      <c r="C146" s="2" t="s">
        <v>41</v>
      </c>
      <c r="D146" s="4" t="s">
        <v>0</v>
      </c>
      <c r="G146" s="3">
        <f t="shared" ref="G146:S146" si="83">G145+G137</f>
        <v>4178.4840000000004</v>
      </c>
      <c r="H146" s="3">
        <f t="shared" si="83"/>
        <v>4936.3870000000006</v>
      </c>
      <c r="I146" s="3">
        <f t="shared" si="83"/>
        <v>5600.6359999999995</v>
      </c>
      <c r="J146" s="3">
        <f t="shared" si="83"/>
        <v>7373.8749197248299</v>
      </c>
      <c r="K146" s="3">
        <f t="shared" si="83"/>
        <v>9351.5737800366296</v>
      </c>
      <c r="L146" s="3">
        <f t="shared" si="83"/>
        <v>11729.364609074339</v>
      </c>
      <c r="M146" s="3">
        <f t="shared" si="83"/>
        <v>14552.077122104263</v>
      </c>
      <c r="N146" s="3">
        <f t="shared" si="83"/>
        <v>17785.440755841759</v>
      </c>
      <c r="O146" s="3">
        <f t="shared" si="83"/>
        <v>21370.13388765488</v>
      </c>
      <c r="P146" s="3">
        <f t="shared" si="83"/>
        <v>25325.322207987734</v>
      </c>
      <c r="Q146" s="3">
        <f t="shared" si="83"/>
        <v>29665.33642444211</v>
      </c>
      <c r="R146" s="3">
        <f t="shared" si="83"/>
        <v>34397.037361406699</v>
      </c>
      <c r="S146" s="3">
        <f t="shared" si="83"/>
        <v>39514.183253990719</v>
      </c>
    </row>
    <row r="147" spans="2:19">
      <c r="G147" s="38"/>
      <c r="H147" s="38"/>
      <c r="I147" s="38"/>
    </row>
    <row r="148" spans="2:19">
      <c r="B148" s="17" t="s">
        <v>40</v>
      </c>
      <c r="C148" s="16"/>
      <c r="D148" s="15"/>
      <c r="E148" s="15"/>
      <c r="F148" s="15"/>
      <c r="G148" s="14"/>
      <c r="H148" s="14"/>
      <c r="I148" s="14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2:19">
      <c r="C149" s="2" t="s">
        <v>39</v>
      </c>
      <c r="D149" s="4"/>
      <c r="G149" s="38"/>
      <c r="H149" s="38"/>
      <c r="I149" s="38"/>
    </row>
    <row r="150" spans="2:19">
      <c r="C150" s="7" t="s">
        <v>38</v>
      </c>
      <c r="D150" s="4" t="s">
        <v>0</v>
      </c>
      <c r="G150" s="43">
        <v>172.24600000000001</v>
      </c>
      <c r="H150" s="43">
        <v>289.72800000000001</v>
      </c>
      <c r="I150" s="43">
        <v>172.732</v>
      </c>
      <c r="J150" s="18">
        <f t="shared" ref="J150:S150" si="84">-J78*J111</f>
        <v>361.05932449528541</v>
      </c>
      <c r="K150" s="18">
        <f t="shared" si="84"/>
        <v>443.55035601613599</v>
      </c>
      <c r="L150" s="18">
        <f t="shared" si="84"/>
        <v>540.65490294601318</v>
      </c>
      <c r="M150" s="18">
        <f t="shared" si="84"/>
        <v>650.9982812013053</v>
      </c>
      <c r="N150" s="18">
        <f t="shared" si="84"/>
        <v>768.84581729807826</v>
      </c>
      <c r="O150" s="18">
        <f t="shared" si="84"/>
        <v>887.53671663230011</v>
      </c>
      <c r="P150" s="18">
        <f t="shared" si="84"/>
        <v>1010.8263194732041</v>
      </c>
      <c r="Q150" s="18">
        <f t="shared" si="84"/>
        <v>1138.1254942310775</v>
      </c>
      <c r="R150" s="18">
        <f t="shared" si="84"/>
        <v>1269.4622695612484</v>
      </c>
      <c r="S150" s="18">
        <f t="shared" si="84"/>
        <v>1403.3863116760224</v>
      </c>
    </row>
    <row r="151" spans="2:19">
      <c r="C151" s="7" t="s">
        <v>37</v>
      </c>
      <c r="D151" s="4" t="s">
        <v>0</v>
      </c>
      <c r="G151" s="40">
        <v>357.03800000000001</v>
      </c>
      <c r="H151" s="40">
        <v>535.721</v>
      </c>
      <c r="I151" s="40">
        <v>647.39</v>
      </c>
      <c r="J151" s="18">
        <f t="shared" ref="J151:S151" si="85">-J79*J114</f>
        <v>808.32995029470692</v>
      </c>
      <c r="K151" s="18">
        <f t="shared" si="85"/>
        <v>993.00866341814799</v>
      </c>
      <c r="L151" s="18">
        <f t="shared" si="85"/>
        <v>1210.4037236425033</v>
      </c>
      <c r="M151" s="18">
        <f t="shared" si="85"/>
        <v>1457.4375250410185</v>
      </c>
      <c r="N151" s="18">
        <f t="shared" si="85"/>
        <v>1721.271434132326</v>
      </c>
      <c r="O151" s="18">
        <f t="shared" si="85"/>
        <v>1986.9934422632043</v>
      </c>
      <c r="P151" s="18">
        <f t="shared" si="85"/>
        <v>2263.0109046997504</v>
      </c>
      <c r="Q151" s="18">
        <f t="shared" si="85"/>
        <v>2548.0048894096858</v>
      </c>
      <c r="R151" s="18">
        <f t="shared" si="85"/>
        <v>2842.0381461962456</v>
      </c>
      <c r="S151" s="18">
        <f t="shared" si="85"/>
        <v>3141.8637066002811</v>
      </c>
    </row>
    <row r="152" spans="2:19">
      <c r="C152" s="7" t="s">
        <v>36</v>
      </c>
      <c r="D152" s="4" t="s">
        <v>0</v>
      </c>
      <c r="G152" s="40">
        <v>51.506999999999998</v>
      </c>
      <c r="H152" s="40">
        <v>171.92599999999999</v>
      </c>
      <c r="I152" s="40">
        <v>202.77600000000001</v>
      </c>
      <c r="J152" s="18">
        <f t="shared" ref="J152:S152" si="86">J80+I152</f>
        <v>246.90221066090885</v>
      </c>
      <c r="K152" s="18">
        <f t="shared" si="86"/>
        <v>287.94729754199022</v>
      </c>
      <c r="L152" s="18">
        <f t="shared" si="86"/>
        <v>327.21883702783725</v>
      </c>
      <c r="M152" s="18">
        <f t="shared" si="86"/>
        <v>362.08327627299764</v>
      </c>
      <c r="N152" s="18">
        <f t="shared" si="86"/>
        <v>389.07458275546003</v>
      </c>
      <c r="O152" s="18">
        <f t="shared" si="86"/>
        <v>404.38690598855294</v>
      </c>
      <c r="P152" s="18">
        <f t="shared" si="86"/>
        <v>404.38690598855294</v>
      </c>
      <c r="Q152" s="18">
        <f t="shared" si="86"/>
        <v>404.38690598855294</v>
      </c>
      <c r="R152" s="18">
        <f t="shared" si="86"/>
        <v>404.38690598855294</v>
      </c>
      <c r="S152" s="18">
        <f t="shared" si="86"/>
        <v>404.38690598855294</v>
      </c>
    </row>
    <row r="153" spans="2:19">
      <c r="C153" s="12" t="s">
        <v>35</v>
      </c>
      <c r="D153" s="11" t="s">
        <v>0</v>
      </c>
      <c r="E153" s="10"/>
      <c r="F153" s="10"/>
      <c r="G153" s="37">
        <v>164.20500000000001</v>
      </c>
      <c r="H153" s="37">
        <v>257.03699999999998</v>
      </c>
      <c r="I153" s="37">
        <v>289.88299999999998</v>
      </c>
      <c r="J153" s="42">
        <f t="shared" ref="J153:S153" si="87">J82*J110</f>
        <v>381.37512982581217</v>
      </c>
      <c r="K153" s="42">
        <f t="shared" si="87"/>
        <v>468.50770256771995</v>
      </c>
      <c r="L153" s="42">
        <f t="shared" si="87"/>
        <v>571.07605264101153</v>
      </c>
      <c r="M153" s="42">
        <f t="shared" si="87"/>
        <v>687.62814630693822</v>
      </c>
      <c r="N153" s="42">
        <f t="shared" si="87"/>
        <v>812.10663593294339</v>
      </c>
      <c r="O153" s="42">
        <f t="shared" si="87"/>
        <v>937.47594250328882</v>
      </c>
      <c r="P153" s="42">
        <f t="shared" si="87"/>
        <v>1067.7027088535276</v>
      </c>
      <c r="Q153" s="42">
        <f t="shared" si="87"/>
        <v>1202.164654595734</v>
      </c>
      <c r="R153" s="42">
        <f t="shared" si="87"/>
        <v>1340.8913854798202</v>
      </c>
      <c r="S153" s="42">
        <f t="shared" si="87"/>
        <v>1482.3509614642271</v>
      </c>
    </row>
    <row r="154" spans="2:19" s="2" customFormat="1">
      <c r="C154" s="2" t="s">
        <v>34</v>
      </c>
      <c r="D154" s="4" t="s">
        <v>0</v>
      </c>
      <c r="G154" s="35">
        <f t="shared" ref="G154:S154" si="88">SUM(G150:G153)</f>
        <v>744.99599999999998</v>
      </c>
      <c r="H154" s="35">
        <f t="shared" si="88"/>
        <v>1254.412</v>
      </c>
      <c r="I154" s="35">
        <f t="shared" si="88"/>
        <v>1312.7809999999999</v>
      </c>
      <c r="J154" s="41">
        <f t="shared" si="88"/>
        <v>1797.6666152767132</v>
      </c>
      <c r="K154" s="41">
        <f t="shared" si="88"/>
        <v>2193.0140195439944</v>
      </c>
      <c r="L154" s="41">
        <f t="shared" si="88"/>
        <v>2649.3535162573653</v>
      </c>
      <c r="M154" s="41">
        <f t="shared" si="88"/>
        <v>3158.1472288222594</v>
      </c>
      <c r="N154" s="41">
        <f t="shared" si="88"/>
        <v>3691.2984701188079</v>
      </c>
      <c r="O154" s="41">
        <f t="shared" si="88"/>
        <v>4216.3930073873462</v>
      </c>
      <c r="P154" s="41">
        <f t="shared" si="88"/>
        <v>4745.9268390150346</v>
      </c>
      <c r="Q154" s="41">
        <f t="shared" si="88"/>
        <v>5292.6819442250498</v>
      </c>
      <c r="R154" s="41">
        <f t="shared" si="88"/>
        <v>5856.778707225867</v>
      </c>
      <c r="S154" s="41">
        <f t="shared" si="88"/>
        <v>6431.9878857290832</v>
      </c>
    </row>
    <row r="155" spans="2:19">
      <c r="G155" s="38"/>
      <c r="H155" s="38"/>
      <c r="I155" s="38"/>
    </row>
    <row r="156" spans="2:19">
      <c r="C156" s="2" t="s">
        <v>33</v>
      </c>
      <c r="G156" s="38"/>
      <c r="H156" s="38"/>
      <c r="I156" s="38"/>
      <c r="L156" s="19"/>
      <c r="M156" s="19"/>
    </row>
    <row r="157" spans="2:19">
      <c r="C157" s="7" t="s">
        <v>32</v>
      </c>
      <c r="D157" s="4" t="s">
        <v>0</v>
      </c>
      <c r="F157" s="38">
        <v>739.96100000000001</v>
      </c>
      <c r="G157" s="40">
        <v>798.68100000000004</v>
      </c>
      <c r="H157" s="40">
        <v>881.05200000000002</v>
      </c>
      <c r="I157" s="40">
        <v>1070.3340000000001</v>
      </c>
      <c r="J157" s="18">
        <f t="shared" ref="J157:S157" si="89">J104</f>
        <v>1332.441327052906</v>
      </c>
      <c r="K157" s="18">
        <f t="shared" si="89"/>
        <v>1648.0267823274523</v>
      </c>
      <c r="L157" s="18">
        <f t="shared" si="89"/>
        <v>2023.9955864558601</v>
      </c>
      <c r="M157" s="18">
        <f t="shared" si="89"/>
        <v>2462.251672980371</v>
      </c>
      <c r="N157" s="18">
        <f t="shared" si="89"/>
        <v>2953.6437281234171</v>
      </c>
      <c r="O157" s="18">
        <f t="shared" si="89"/>
        <v>3480.3225750128749</v>
      </c>
      <c r="P157" s="18">
        <f t="shared" si="89"/>
        <v>4037.731633850809</v>
      </c>
      <c r="Q157" s="18">
        <f t="shared" si="89"/>
        <v>4621.9112045501734</v>
      </c>
      <c r="R157" s="18">
        <f t="shared" si="89"/>
        <v>5230.3959003535147</v>
      </c>
      <c r="S157" s="18">
        <f t="shared" si="89"/>
        <v>5858.9988108673224</v>
      </c>
    </row>
    <row r="158" spans="2:19">
      <c r="C158" s="7" t="s">
        <v>31</v>
      </c>
      <c r="D158" s="4" t="s">
        <v>0</v>
      </c>
      <c r="G158" s="40">
        <v>52.024000000000001</v>
      </c>
      <c r="H158" s="40">
        <v>47.260999999999996</v>
      </c>
      <c r="I158" s="40">
        <v>48.682000000000002</v>
      </c>
      <c r="J158" s="38">
        <f t="shared" ref="J158:S158" si="90">I158+J83</f>
        <v>45.159203555831894</v>
      </c>
      <c r="K158" s="38">
        <f t="shared" si="90"/>
        <v>41.337929071272747</v>
      </c>
      <c r="L158" s="38">
        <f t="shared" si="90"/>
        <v>37.258625539366342</v>
      </c>
      <c r="M158" s="38">
        <f t="shared" si="90"/>
        <v>33.011007399688594</v>
      </c>
      <c r="N158" s="38">
        <f t="shared" si="90"/>
        <v>28.753166785251164</v>
      </c>
      <c r="O158" s="38">
        <f t="shared" si="90"/>
        <v>24.687788063007254</v>
      </c>
      <c r="P158" s="38">
        <f t="shared" si="90"/>
        <v>20.986336013318638</v>
      </c>
      <c r="Q158" s="38">
        <f t="shared" si="90"/>
        <v>17.828372097490018</v>
      </c>
      <c r="R158" s="38">
        <f t="shared" si="90"/>
        <v>15.398939896862446</v>
      </c>
      <c r="S158" s="38">
        <f t="shared" si="90"/>
        <v>13.891996502901282</v>
      </c>
    </row>
    <row r="159" spans="2:19">
      <c r="C159" s="12" t="s">
        <v>30</v>
      </c>
      <c r="D159" s="11" t="s">
        <v>0</v>
      </c>
      <c r="E159" s="10"/>
      <c r="F159" s="10"/>
      <c r="G159" s="37">
        <v>8.9760000000000009</v>
      </c>
      <c r="H159" s="37">
        <v>13.616</v>
      </c>
      <c r="I159" s="37">
        <v>20.04</v>
      </c>
      <c r="J159" s="39">
        <f t="shared" ref="J159:S159" si="91">I159+J178+J185</f>
        <v>-148.52000000000001</v>
      </c>
      <c r="K159" s="39">
        <f t="shared" si="91"/>
        <v>-322.31022222222225</v>
      </c>
      <c r="L159" s="39">
        <f t="shared" si="91"/>
        <v>-504.97507407407409</v>
      </c>
      <c r="M159" s="39">
        <f t="shared" si="91"/>
        <v>-679.9800987654321</v>
      </c>
      <c r="N159" s="39">
        <f t="shared" si="91"/>
        <v>-857.13346502057607</v>
      </c>
      <c r="O159" s="39">
        <f t="shared" si="91"/>
        <v>-1035.407879286694</v>
      </c>
      <c r="P159" s="39">
        <f t="shared" si="91"/>
        <v>-1212.2188143575672</v>
      </c>
      <c r="Q159" s="39">
        <f t="shared" si="91"/>
        <v>-1389.6317195549457</v>
      </c>
      <c r="R159" s="39">
        <f t="shared" si="91"/>
        <v>-1567.131137733069</v>
      </c>
      <c r="S159" s="39">
        <f t="shared" si="91"/>
        <v>-1744.3722238818607</v>
      </c>
    </row>
    <row r="160" spans="2:19">
      <c r="C160" s="2" t="s">
        <v>29</v>
      </c>
      <c r="D160" s="4" t="s">
        <v>0</v>
      </c>
      <c r="E160" s="2"/>
      <c r="F160" s="2"/>
      <c r="G160" s="35">
        <f t="shared" ref="G160:S160" si="92">SUM(G157:G159)</f>
        <v>859.68100000000004</v>
      </c>
      <c r="H160" s="35">
        <f t="shared" si="92"/>
        <v>941.92899999999997</v>
      </c>
      <c r="I160" s="35">
        <f t="shared" si="92"/>
        <v>1139.056</v>
      </c>
      <c r="J160" s="35">
        <f t="shared" si="92"/>
        <v>1229.0805306087379</v>
      </c>
      <c r="K160" s="35">
        <f t="shared" si="92"/>
        <v>1367.054489176503</v>
      </c>
      <c r="L160" s="35">
        <f t="shared" si="92"/>
        <v>1556.2791379211521</v>
      </c>
      <c r="M160" s="35">
        <f t="shared" si="92"/>
        <v>1815.2825816146274</v>
      </c>
      <c r="N160" s="35">
        <f t="shared" si="92"/>
        <v>2125.2634298880921</v>
      </c>
      <c r="O160" s="35">
        <f t="shared" si="92"/>
        <v>2469.6024837891882</v>
      </c>
      <c r="P160" s="35">
        <f t="shared" si="92"/>
        <v>2846.4991555065603</v>
      </c>
      <c r="Q160" s="35">
        <f t="shared" si="92"/>
        <v>3250.1078570927175</v>
      </c>
      <c r="R160" s="35">
        <f t="shared" si="92"/>
        <v>3678.6637025173081</v>
      </c>
      <c r="S160" s="35">
        <f t="shared" si="92"/>
        <v>4128.5185834883623</v>
      </c>
    </row>
    <row r="161" spans="2:19">
      <c r="G161" s="38"/>
      <c r="H161" s="38"/>
      <c r="I161" s="38"/>
    </row>
    <row r="162" spans="2:19">
      <c r="C162" s="2" t="s">
        <v>28</v>
      </c>
      <c r="G162" s="38"/>
      <c r="H162" s="38"/>
      <c r="I162" s="38"/>
    </row>
    <row r="163" spans="2:19">
      <c r="C163" s="12" t="s">
        <v>27</v>
      </c>
      <c r="D163" s="11" t="s">
        <v>0</v>
      </c>
      <c r="E163" s="10"/>
      <c r="F163" s="10"/>
      <c r="G163" s="37">
        <v>2573.8070000000002</v>
      </c>
      <c r="H163" s="37">
        <v>2740.0459999999998</v>
      </c>
      <c r="I163" s="37">
        <v>3148.799</v>
      </c>
      <c r="J163" s="36">
        <f t="shared" ref="J163:S163" si="93">I163+J172+J177+J189+J190</f>
        <v>4347.1277738393783</v>
      </c>
      <c r="K163" s="36">
        <f t="shared" si="93"/>
        <v>5791.5052713161331</v>
      </c>
      <c r="L163" s="36">
        <f t="shared" si="93"/>
        <v>7523.7319548958203</v>
      </c>
      <c r="M163" s="36">
        <f t="shared" si="93"/>
        <v>9578.6473116673769</v>
      </c>
      <c r="N163" s="36">
        <f t="shared" si="93"/>
        <v>11968.878855834857</v>
      </c>
      <c r="O163" s="36">
        <f t="shared" si="93"/>
        <v>14684.138396478344</v>
      </c>
      <c r="P163" s="36">
        <f t="shared" si="93"/>
        <v>17732.896213466138</v>
      </c>
      <c r="Q163" s="36">
        <f t="shared" si="93"/>
        <v>21122.546623124344</v>
      </c>
      <c r="R163" s="36">
        <f t="shared" si="93"/>
        <v>24861.594951663526</v>
      </c>
      <c r="S163" s="36">
        <f t="shared" si="93"/>
        <v>28953.676784773281</v>
      </c>
    </row>
    <row r="164" spans="2:19">
      <c r="C164" s="2" t="s">
        <v>26</v>
      </c>
      <c r="D164" s="4" t="s">
        <v>0</v>
      </c>
      <c r="E164" s="2"/>
      <c r="F164" s="2"/>
      <c r="G164" s="35">
        <f t="shared" ref="G164:S164" si="94">G163</f>
        <v>2573.8070000000002</v>
      </c>
      <c r="H164" s="35">
        <f t="shared" si="94"/>
        <v>2740.0459999999998</v>
      </c>
      <c r="I164" s="35">
        <f t="shared" si="94"/>
        <v>3148.799</v>
      </c>
      <c r="J164" s="35">
        <f t="shared" si="94"/>
        <v>4347.1277738393783</v>
      </c>
      <c r="K164" s="35">
        <f t="shared" si="94"/>
        <v>5791.5052713161331</v>
      </c>
      <c r="L164" s="35">
        <f t="shared" si="94"/>
        <v>7523.7319548958203</v>
      </c>
      <c r="M164" s="35">
        <f t="shared" si="94"/>
        <v>9578.6473116673769</v>
      </c>
      <c r="N164" s="35">
        <f t="shared" si="94"/>
        <v>11968.878855834857</v>
      </c>
      <c r="O164" s="35">
        <f t="shared" si="94"/>
        <v>14684.138396478344</v>
      </c>
      <c r="P164" s="35">
        <f t="shared" si="94"/>
        <v>17732.896213466138</v>
      </c>
      <c r="Q164" s="35">
        <f t="shared" si="94"/>
        <v>21122.546623124344</v>
      </c>
      <c r="R164" s="35">
        <f t="shared" si="94"/>
        <v>24861.594951663526</v>
      </c>
      <c r="S164" s="35">
        <f t="shared" si="94"/>
        <v>28953.676784773281</v>
      </c>
    </row>
    <row r="165" spans="2:19" s="2" customFormat="1">
      <c r="C165" s="2" t="s">
        <v>25</v>
      </c>
      <c r="D165" s="4" t="s">
        <v>0</v>
      </c>
      <c r="G165" s="3">
        <f t="shared" ref="G165:S165" si="95">G164+G160+G154</f>
        <v>4178.4840000000004</v>
      </c>
      <c r="H165" s="3">
        <f t="shared" si="95"/>
        <v>4936.3869999999997</v>
      </c>
      <c r="I165" s="3">
        <f t="shared" si="95"/>
        <v>5600.6359999999995</v>
      </c>
      <c r="J165" s="3">
        <f t="shared" si="95"/>
        <v>7373.8749197248289</v>
      </c>
      <c r="K165" s="3">
        <f t="shared" si="95"/>
        <v>9351.5737800366296</v>
      </c>
      <c r="L165" s="3">
        <f t="shared" si="95"/>
        <v>11729.364609074339</v>
      </c>
      <c r="M165" s="3">
        <f t="shared" si="95"/>
        <v>14552.077122104263</v>
      </c>
      <c r="N165" s="3">
        <f t="shared" si="95"/>
        <v>17785.440755841755</v>
      </c>
      <c r="O165" s="3">
        <f t="shared" si="95"/>
        <v>21370.133887654876</v>
      </c>
      <c r="P165" s="3">
        <f t="shared" si="95"/>
        <v>25325.322207987734</v>
      </c>
      <c r="Q165" s="3">
        <f t="shared" si="95"/>
        <v>29665.33642444211</v>
      </c>
      <c r="R165" s="3">
        <f t="shared" si="95"/>
        <v>34397.037361406699</v>
      </c>
      <c r="S165" s="3">
        <f t="shared" si="95"/>
        <v>39514.183253990726</v>
      </c>
    </row>
    <row r="167" spans="2:19" s="2" customFormat="1">
      <c r="C167" s="2" t="s">
        <v>24</v>
      </c>
      <c r="G167" s="34">
        <f t="shared" ref="G167:S167" si="96">G165-G146</f>
        <v>0</v>
      </c>
      <c r="H167" s="34">
        <f t="shared" si="96"/>
        <v>0</v>
      </c>
      <c r="I167" s="34">
        <f t="shared" si="96"/>
        <v>0</v>
      </c>
      <c r="J167" s="34">
        <f t="shared" si="96"/>
        <v>0</v>
      </c>
      <c r="K167" s="34">
        <f t="shared" si="96"/>
        <v>0</v>
      </c>
      <c r="L167" s="34">
        <f t="shared" si="96"/>
        <v>0</v>
      </c>
      <c r="M167" s="34">
        <f t="shared" si="96"/>
        <v>0</v>
      </c>
      <c r="N167" s="34">
        <f t="shared" si="96"/>
        <v>0</v>
      </c>
      <c r="O167" s="34">
        <f t="shared" si="96"/>
        <v>0</v>
      </c>
      <c r="P167" s="34">
        <f t="shared" si="96"/>
        <v>0</v>
      </c>
      <c r="Q167" s="34">
        <f t="shared" si="96"/>
        <v>0</v>
      </c>
      <c r="R167" s="34">
        <f t="shared" si="96"/>
        <v>0</v>
      </c>
      <c r="S167" s="34">
        <f t="shared" si="96"/>
        <v>0</v>
      </c>
    </row>
    <row r="168" spans="2:19" s="2" customFormat="1">
      <c r="G168" s="34"/>
      <c r="H168" s="34"/>
      <c r="I168" s="34"/>
    </row>
    <row r="169" spans="2:19">
      <c r="B169" s="33"/>
      <c r="C169" s="32"/>
      <c r="D169" s="31"/>
      <c r="E169" s="30"/>
      <c r="F169" s="30"/>
      <c r="G169" s="30" t="s">
        <v>23</v>
      </c>
      <c r="H169" s="30"/>
      <c r="I169" s="29"/>
      <c r="J169" s="29" t="s">
        <v>22</v>
      </c>
      <c r="K169" s="30"/>
      <c r="L169" s="30"/>
      <c r="M169" s="30"/>
      <c r="N169" s="30"/>
      <c r="O169" s="30"/>
      <c r="P169" s="30"/>
      <c r="Q169" s="30"/>
      <c r="R169" s="30"/>
      <c r="S169" s="29"/>
    </row>
    <row r="170" spans="2:19">
      <c r="B170" s="28" t="s">
        <v>21</v>
      </c>
      <c r="C170" s="27"/>
      <c r="D170" s="26" t="s">
        <v>20</v>
      </c>
      <c r="E170" s="24">
        <f>DATE(2018,12,31)</f>
        <v>43465</v>
      </c>
      <c r="F170" s="24">
        <f t="shared" ref="F170:S170" si="97">EDATE(E170,12)</f>
        <v>43830</v>
      </c>
      <c r="G170" s="24">
        <f t="shared" si="97"/>
        <v>44196</v>
      </c>
      <c r="H170" s="24">
        <f t="shared" si="97"/>
        <v>44561</v>
      </c>
      <c r="I170" s="25">
        <f t="shared" si="97"/>
        <v>44926</v>
      </c>
      <c r="J170" s="24">
        <f t="shared" si="97"/>
        <v>45291</v>
      </c>
      <c r="K170" s="24">
        <f t="shared" si="97"/>
        <v>45657</v>
      </c>
      <c r="L170" s="24">
        <f t="shared" si="97"/>
        <v>46022</v>
      </c>
      <c r="M170" s="24">
        <f t="shared" si="97"/>
        <v>46387</v>
      </c>
      <c r="N170" s="24">
        <f t="shared" si="97"/>
        <v>46752</v>
      </c>
      <c r="O170" s="24">
        <f t="shared" si="97"/>
        <v>47118</v>
      </c>
      <c r="P170" s="24">
        <f t="shared" si="97"/>
        <v>47483</v>
      </c>
      <c r="Q170" s="24">
        <f t="shared" si="97"/>
        <v>47848</v>
      </c>
      <c r="R170" s="24">
        <f t="shared" si="97"/>
        <v>48213</v>
      </c>
      <c r="S170" s="24">
        <f t="shared" si="97"/>
        <v>48579</v>
      </c>
    </row>
    <row r="171" spans="2:19">
      <c r="B171" s="17" t="s">
        <v>19</v>
      </c>
      <c r="C171" s="16"/>
      <c r="D171" s="15"/>
      <c r="E171" s="15"/>
      <c r="F171" s="15"/>
      <c r="G171" s="13"/>
      <c r="H171" s="14"/>
      <c r="I171" s="14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2:19" s="2" customFormat="1">
      <c r="C172" s="2" t="s">
        <v>18</v>
      </c>
      <c r="D172" s="4" t="s">
        <v>0</v>
      </c>
      <c r="G172" s="23">
        <v>588.91300000000012</v>
      </c>
      <c r="H172" s="23">
        <v>975.32199999999989</v>
      </c>
      <c r="I172" s="23">
        <v>854.7999999999995</v>
      </c>
      <c r="J172" s="23">
        <f t="shared" ref="J172:S172" si="98">J125</f>
        <v>1222.6607738393786</v>
      </c>
      <c r="K172" s="23">
        <f t="shared" si="98"/>
        <v>1468.7094974767547</v>
      </c>
      <c r="L172" s="23">
        <f t="shared" si="98"/>
        <v>1756.5586835796876</v>
      </c>
      <c r="M172" s="23">
        <f t="shared" si="98"/>
        <v>2079.247356771557</v>
      </c>
      <c r="N172" s="23">
        <f t="shared" si="98"/>
        <v>2414.5635441674799</v>
      </c>
      <c r="O172" s="23">
        <f t="shared" si="98"/>
        <v>2739.5915406434879</v>
      </c>
      <c r="P172" s="23">
        <f t="shared" si="98"/>
        <v>3073.0898169877928</v>
      </c>
      <c r="Q172" s="23">
        <f t="shared" si="98"/>
        <v>3413.9824096582033</v>
      </c>
      <c r="R172" s="23">
        <f t="shared" si="98"/>
        <v>3763.3803285391814</v>
      </c>
      <c r="S172" s="23">
        <f t="shared" si="98"/>
        <v>4116.4138331097529</v>
      </c>
    </row>
    <row r="173" spans="2:19">
      <c r="C173" s="2" t="s">
        <v>17</v>
      </c>
      <c r="D173" s="2"/>
      <c r="E173" s="2"/>
      <c r="F173" s="2"/>
      <c r="G173" s="2"/>
      <c r="H173" s="2"/>
      <c r="I173" s="2"/>
    </row>
    <row r="174" spans="2:19">
      <c r="C174" s="7" t="s">
        <v>16</v>
      </c>
      <c r="D174" s="4" t="s">
        <v>0</v>
      </c>
      <c r="G174" s="6">
        <v>185.47800000000001</v>
      </c>
      <c r="H174" s="6">
        <v>224.20599999999999</v>
      </c>
      <c r="I174" s="6">
        <v>291.791</v>
      </c>
      <c r="J174" s="18">
        <f t="shared" ref="J174:S174" si="99">J110*J87</f>
        <v>359.95642130356538</v>
      </c>
      <c r="K174" s="18">
        <f t="shared" si="99"/>
        <v>380.61855211308119</v>
      </c>
      <c r="L174" s="18">
        <f t="shared" si="99"/>
        <v>388.8880253661643</v>
      </c>
      <c r="M174" s="18">
        <f t="shared" si="99"/>
        <v>377.88062047869465</v>
      </c>
      <c r="N174" s="18">
        <f t="shared" si="99"/>
        <v>339.5499637441302</v>
      </c>
      <c r="O174" s="18">
        <f t="shared" si="99"/>
        <v>381.96455126879772</v>
      </c>
      <c r="P174" s="18">
        <f t="shared" si="99"/>
        <v>435.02405510985875</v>
      </c>
      <c r="Q174" s="18">
        <f t="shared" si="99"/>
        <v>489.8091375206227</v>
      </c>
      <c r="R174" s="18">
        <f t="shared" si="99"/>
        <v>546.33186104740946</v>
      </c>
      <c r="S174" s="18">
        <f t="shared" si="99"/>
        <v>603.96805309653905</v>
      </c>
    </row>
    <row r="175" spans="2:19">
      <c r="C175" s="7" t="s">
        <v>15</v>
      </c>
      <c r="D175" s="4" t="s">
        <v>0</v>
      </c>
      <c r="G175" s="6">
        <v>0</v>
      </c>
      <c r="H175" s="6">
        <v>0</v>
      </c>
      <c r="I175" s="6">
        <v>407.91300000000001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</row>
    <row r="176" spans="2:19">
      <c r="C176" s="7" t="s">
        <v>14</v>
      </c>
      <c r="D176" s="4" t="s">
        <v>0</v>
      </c>
      <c r="G176" s="6">
        <v>0</v>
      </c>
      <c r="H176" s="6">
        <v>0</v>
      </c>
      <c r="I176" s="6">
        <v>-10.18</v>
      </c>
      <c r="J176" s="5"/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</row>
    <row r="177" spans="2:19">
      <c r="C177" s="7" t="s">
        <v>13</v>
      </c>
      <c r="D177" s="4" t="s">
        <v>0</v>
      </c>
      <c r="G177" s="6">
        <v>50.796999999999997</v>
      </c>
      <c r="H177" s="6">
        <v>69.137</v>
      </c>
      <c r="I177" s="6">
        <v>78.075000000000003</v>
      </c>
      <c r="J177" s="5">
        <v>0</v>
      </c>
      <c r="K177" s="5">
        <f t="shared" ref="K177:S177" si="100">J177</f>
        <v>0</v>
      </c>
      <c r="L177" s="5">
        <f t="shared" si="100"/>
        <v>0</v>
      </c>
      <c r="M177" s="5">
        <f t="shared" si="100"/>
        <v>0</v>
      </c>
      <c r="N177" s="5">
        <f t="shared" si="100"/>
        <v>0</v>
      </c>
      <c r="O177" s="5">
        <f t="shared" si="100"/>
        <v>0</v>
      </c>
      <c r="P177" s="5">
        <f t="shared" si="100"/>
        <v>0</v>
      </c>
      <c r="Q177" s="5">
        <f t="shared" si="100"/>
        <v>0</v>
      </c>
      <c r="R177" s="5">
        <f t="shared" si="100"/>
        <v>0</v>
      </c>
      <c r="S177" s="5">
        <f t="shared" si="100"/>
        <v>0</v>
      </c>
    </row>
    <row r="178" spans="2:19">
      <c r="C178" s="7" t="s">
        <v>4</v>
      </c>
      <c r="D178" s="4" t="s">
        <v>0</v>
      </c>
      <c r="G178" s="6">
        <v>-9.2110000000000003</v>
      </c>
      <c r="H178" s="6">
        <v>-3.508</v>
      </c>
      <c r="I178" s="6">
        <v>-61.985999999999997</v>
      </c>
      <c r="J178" s="5">
        <f>AVERAGE(G178:I178)</f>
        <v>-24.901666666666667</v>
      </c>
      <c r="K178" s="5">
        <f t="shared" ref="K178:S178" si="101">AVERAGE(H178:J178)</f>
        <v>-30.131888888888891</v>
      </c>
      <c r="L178" s="5">
        <f t="shared" si="101"/>
        <v>-39.006518518518519</v>
      </c>
      <c r="M178" s="5">
        <f t="shared" si="101"/>
        <v>-31.346691358024696</v>
      </c>
      <c r="N178" s="5">
        <f t="shared" si="101"/>
        <v>-33.495032921810704</v>
      </c>
      <c r="O178" s="5">
        <f t="shared" si="101"/>
        <v>-34.616080932784641</v>
      </c>
      <c r="P178" s="5">
        <f t="shared" si="101"/>
        <v>-33.152601737540017</v>
      </c>
      <c r="Q178" s="5">
        <f t="shared" si="101"/>
        <v>-33.754571864045118</v>
      </c>
      <c r="R178" s="5">
        <f t="shared" si="101"/>
        <v>-33.841084844789926</v>
      </c>
      <c r="S178" s="5">
        <f t="shared" si="101"/>
        <v>-33.582752815458349</v>
      </c>
    </row>
    <row r="179" spans="2:19">
      <c r="C179" s="7" t="s">
        <v>12</v>
      </c>
      <c r="D179" s="4" t="s">
        <v>0</v>
      </c>
      <c r="G179" s="6">
        <v>34.908000000000001</v>
      </c>
      <c r="H179" s="6">
        <v>-5.18</v>
      </c>
      <c r="I179" s="6">
        <v>3.0419999999999998</v>
      </c>
      <c r="J179" s="18">
        <f t="shared" ref="J179:S179" si="102">J158-I158</f>
        <v>-3.5227964441681081</v>
      </c>
      <c r="K179" s="18">
        <f t="shared" si="102"/>
        <v>-3.8212744845591473</v>
      </c>
      <c r="L179" s="18">
        <f t="shared" si="102"/>
        <v>-4.0793035319064046</v>
      </c>
      <c r="M179" s="18">
        <f t="shared" si="102"/>
        <v>-4.2476181396777477</v>
      </c>
      <c r="N179" s="18">
        <f t="shared" si="102"/>
        <v>-4.2578406144374306</v>
      </c>
      <c r="O179" s="18">
        <f t="shared" si="102"/>
        <v>-4.0653787222439099</v>
      </c>
      <c r="P179" s="18">
        <f t="shared" si="102"/>
        <v>-3.7014520496886156</v>
      </c>
      <c r="Q179" s="18">
        <f t="shared" si="102"/>
        <v>-3.1579639158286206</v>
      </c>
      <c r="R179" s="18">
        <f t="shared" si="102"/>
        <v>-2.4294322006275717</v>
      </c>
      <c r="S179" s="18">
        <f t="shared" si="102"/>
        <v>-1.5069433939611638</v>
      </c>
    </row>
    <row r="180" spans="2:19">
      <c r="C180" s="22" t="s">
        <v>11</v>
      </c>
      <c r="D180" s="11" t="s">
        <v>0</v>
      </c>
      <c r="E180" s="22"/>
      <c r="F180" s="22"/>
      <c r="G180" s="21">
        <v>-47.549000000000092</v>
      </c>
      <c r="H180" s="21">
        <v>129.13100000000031</v>
      </c>
      <c r="I180" s="21">
        <v>-596.99199999999928</v>
      </c>
      <c r="J180" s="20">
        <f t="shared" ref="J180:S180" si="103">J90</f>
        <v>187.75490472717479</v>
      </c>
      <c r="K180" s="20">
        <f t="shared" si="103"/>
        <v>-68.947665395243121</v>
      </c>
      <c r="L180" s="20">
        <f t="shared" si="103"/>
        <v>-66.647954199921969</v>
      </c>
      <c r="M180" s="20">
        <f t="shared" si="103"/>
        <v>-63.050944837466886</v>
      </c>
      <c r="N180" s="20">
        <f t="shared" si="103"/>
        <v>-48.350906349211073</v>
      </c>
      <c r="O180" s="20">
        <f t="shared" si="103"/>
        <v>-25.158708828735143</v>
      </c>
      <c r="P180" s="20">
        <f t="shared" si="103"/>
        <v>-9.6353218389176618</v>
      </c>
      <c r="Q180" s="20">
        <f t="shared" si="103"/>
        <v>23.910918363647397</v>
      </c>
      <c r="R180" s="20">
        <f t="shared" si="103"/>
        <v>59.269622101056484</v>
      </c>
      <c r="S180" s="20">
        <f t="shared" si="103"/>
        <v>-97.307033112073441</v>
      </c>
    </row>
    <row r="181" spans="2:19">
      <c r="C181" s="2" t="s">
        <v>10</v>
      </c>
      <c r="D181" s="4" t="s">
        <v>0</v>
      </c>
      <c r="E181" s="2"/>
      <c r="F181" s="2"/>
      <c r="G181" s="3">
        <f t="shared" ref="G181:S181" si="104">SUM(G172:G180)</f>
        <v>803.33600000000001</v>
      </c>
      <c r="H181" s="3">
        <f t="shared" si="104"/>
        <v>1389.1079999999999</v>
      </c>
      <c r="I181" s="3">
        <f t="shared" si="104"/>
        <v>966.46299999999997</v>
      </c>
      <c r="J181" s="3">
        <f t="shared" si="104"/>
        <v>1741.947636759284</v>
      </c>
      <c r="K181" s="3">
        <f t="shared" si="104"/>
        <v>1746.4272208211448</v>
      </c>
      <c r="L181" s="3">
        <f t="shared" si="104"/>
        <v>2035.7129326955046</v>
      </c>
      <c r="M181" s="3">
        <f t="shared" si="104"/>
        <v>2358.4827229150824</v>
      </c>
      <c r="N181" s="3">
        <f t="shared" si="104"/>
        <v>2668.0097280261507</v>
      </c>
      <c r="O181" s="3">
        <f t="shared" si="104"/>
        <v>3057.7159234285214</v>
      </c>
      <c r="P181" s="3">
        <f t="shared" si="104"/>
        <v>3461.6244964715052</v>
      </c>
      <c r="Q181" s="3">
        <f t="shared" si="104"/>
        <v>3890.7899297626</v>
      </c>
      <c r="R181" s="3">
        <f t="shared" si="104"/>
        <v>4332.7112946422303</v>
      </c>
      <c r="S181" s="3">
        <f t="shared" si="104"/>
        <v>4587.985156884798</v>
      </c>
    </row>
    <row r="182" spans="2:19">
      <c r="K182" s="19"/>
      <c r="L182" s="19"/>
      <c r="M182" s="19"/>
    </row>
    <row r="183" spans="2:19">
      <c r="B183" s="17" t="s">
        <v>9</v>
      </c>
      <c r="C183" s="16"/>
      <c r="D183" s="15"/>
      <c r="E183" s="15"/>
      <c r="F183" s="15"/>
      <c r="G183" s="13"/>
      <c r="H183" s="14"/>
      <c r="I183" s="14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2:19">
      <c r="C184" s="7" t="s">
        <v>8</v>
      </c>
      <c r="D184" s="4" t="s">
        <v>0</v>
      </c>
      <c r="G184" s="6">
        <v>-229.226</v>
      </c>
      <c r="H184" s="6">
        <v>-394.50200000000001</v>
      </c>
      <c r="I184" s="6">
        <v>-638.65700000000004</v>
      </c>
      <c r="J184" s="18">
        <f t="shared" ref="J184:S184" si="105">-J110*J91</f>
        <v>-689.16028744066432</v>
      </c>
      <c r="K184" s="18">
        <f t="shared" si="105"/>
        <v>-723.45852916357558</v>
      </c>
      <c r="L184" s="18">
        <f t="shared" si="105"/>
        <v>-731.72677682946085</v>
      </c>
      <c r="M184" s="18">
        <f t="shared" si="105"/>
        <v>-700.31367542531746</v>
      </c>
      <c r="N184" s="18">
        <f t="shared" si="105"/>
        <v>-613.6149176660731</v>
      </c>
      <c r="O184" s="18">
        <f t="shared" si="105"/>
        <v>-461.91323823743176</v>
      </c>
      <c r="P184" s="18">
        <f t="shared" si="105"/>
        <v>-449.05708914566065</v>
      </c>
      <c r="Q184" s="18">
        <f t="shared" si="105"/>
        <v>-505.60943227935246</v>
      </c>
      <c r="R184" s="18">
        <f t="shared" si="105"/>
        <v>-563.95546946829359</v>
      </c>
      <c r="S184" s="18">
        <f t="shared" si="105"/>
        <v>-623.4508935190081</v>
      </c>
    </row>
    <row r="185" spans="2:19">
      <c r="C185" s="12" t="s">
        <v>4</v>
      </c>
      <c r="D185" s="11" t="s">
        <v>0</v>
      </c>
      <c r="E185" s="10"/>
      <c r="F185" s="10"/>
      <c r="G185" s="9">
        <v>-466.30600000000004</v>
      </c>
      <c r="H185" s="9">
        <v>-33.38900000000001</v>
      </c>
      <c r="I185" s="9">
        <v>68.720000000000027</v>
      </c>
      <c r="J185" s="8">
        <f>AVERAGE(G185:I185)</f>
        <v>-143.65833333333333</v>
      </c>
      <c r="K185" s="8">
        <f t="shared" ref="K185:S185" si="106">J185</f>
        <v>-143.65833333333333</v>
      </c>
      <c r="L185" s="8">
        <f t="shared" si="106"/>
        <v>-143.65833333333333</v>
      </c>
      <c r="M185" s="8">
        <f t="shared" si="106"/>
        <v>-143.65833333333333</v>
      </c>
      <c r="N185" s="8">
        <f t="shared" si="106"/>
        <v>-143.65833333333333</v>
      </c>
      <c r="O185" s="8">
        <f t="shared" si="106"/>
        <v>-143.65833333333333</v>
      </c>
      <c r="P185" s="8">
        <f t="shared" si="106"/>
        <v>-143.65833333333333</v>
      </c>
      <c r="Q185" s="8">
        <f t="shared" si="106"/>
        <v>-143.65833333333333</v>
      </c>
      <c r="R185" s="8">
        <f t="shared" si="106"/>
        <v>-143.65833333333333</v>
      </c>
      <c r="S185" s="8">
        <f t="shared" si="106"/>
        <v>-143.65833333333333</v>
      </c>
    </row>
    <row r="186" spans="2:19">
      <c r="C186" s="2" t="s">
        <v>7</v>
      </c>
      <c r="D186" s="4" t="s">
        <v>0</v>
      </c>
      <c r="E186" s="2"/>
      <c r="F186" s="2"/>
      <c r="G186" s="3">
        <f>G184+G185</f>
        <v>-695.53200000000004</v>
      </c>
      <c r="H186" s="3">
        <f>H184+H185</f>
        <v>-427.89100000000002</v>
      </c>
      <c r="I186" s="3">
        <f>I184+I185</f>
        <v>-569.93700000000001</v>
      </c>
      <c r="J186" s="3">
        <f t="shared" ref="J186:S186" si="107">SUM(J184:J185)</f>
        <v>-832.81862077399762</v>
      </c>
      <c r="K186" s="3">
        <f t="shared" si="107"/>
        <v>-867.11686249690888</v>
      </c>
      <c r="L186" s="3">
        <f t="shared" si="107"/>
        <v>-875.38511016279415</v>
      </c>
      <c r="M186" s="3">
        <f t="shared" si="107"/>
        <v>-843.97200875865076</v>
      </c>
      <c r="N186" s="3">
        <f t="shared" si="107"/>
        <v>-757.2732509994064</v>
      </c>
      <c r="O186" s="3">
        <f t="shared" si="107"/>
        <v>-605.57157157076506</v>
      </c>
      <c r="P186" s="3">
        <f t="shared" si="107"/>
        <v>-592.71542247899401</v>
      </c>
      <c r="Q186" s="3">
        <f t="shared" si="107"/>
        <v>-649.26776561268582</v>
      </c>
      <c r="R186" s="3">
        <f t="shared" si="107"/>
        <v>-707.61380280162689</v>
      </c>
      <c r="S186" s="3">
        <f t="shared" si="107"/>
        <v>-767.10922685234141</v>
      </c>
    </row>
    <row r="188" spans="2:19">
      <c r="B188" s="17" t="s">
        <v>6</v>
      </c>
      <c r="C188" s="16"/>
      <c r="D188" s="15"/>
      <c r="E188" s="15"/>
      <c r="F188" s="15"/>
      <c r="G188" s="13"/>
      <c r="H188" s="14"/>
      <c r="I188" s="14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2:19">
      <c r="C189" s="7" t="s">
        <v>5</v>
      </c>
      <c r="D189" s="4" t="s">
        <v>0</v>
      </c>
      <c r="G189" s="6">
        <v>-63.662999999999997</v>
      </c>
      <c r="H189" s="6">
        <v>-812.60199999999998</v>
      </c>
      <c r="I189" s="6">
        <v>-444.00099999999998</v>
      </c>
      <c r="J189" s="5">
        <v>0</v>
      </c>
      <c r="K189" s="5">
        <f t="shared" ref="K189:S189" si="108">J189</f>
        <v>0</v>
      </c>
      <c r="L189" s="5">
        <f t="shared" si="108"/>
        <v>0</v>
      </c>
      <c r="M189" s="5">
        <f t="shared" si="108"/>
        <v>0</v>
      </c>
      <c r="N189" s="5">
        <f t="shared" si="108"/>
        <v>0</v>
      </c>
      <c r="O189" s="5">
        <f t="shared" si="108"/>
        <v>0</v>
      </c>
      <c r="P189" s="5">
        <f t="shared" si="108"/>
        <v>0</v>
      </c>
      <c r="Q189" s="5">
        <f t="shared" si="108"/>
        <v>0</v>
      </c>
      <c r="R189" s="5">
        <f t="shared" si="108"/>
        <v>0</v>
      </c>
      <c r="S189" s="5">
        <f t="shared" si="108"/>
        <v>0</v>
      </c>
    </row>
    <row r="190" spans="2:19">
      <c r="C190" s="12" t="s">
        <v>4</v>
      </c>
      <c r="D190" s="11" t="s">
        <v>0</v>
      </c>
      <c r="E190" s="10"/>
      <c r="F190" s="10"/>
      <c r="G190" s="9">
        <v>-17.125</v>
      </c>
      <c r="H190" s="9">
        <v>-32.384999999999991</v>
      </c>
      <c r="I190" s="9">
        <v>-23.486000000000047</v>
      </c>
      <c r="J190" s="8">
        <f>AVERAGE(G190:I190)</f>
        <v>-24.332000000000011</v>
      </c>
      <c r="K190" s="8">
        <f t="shared" ref="K190:S190" si="109">J190</f>
        <v>-24.332000000000011</v>
      </c>
      <c r="L190" s="8">
        <f t="shared" si="109"/>
        <v>-24.332000000000011</v>
      </c>
      <c r="M190" s="8">
        <f t="shared" si="109"/>
        <v>-24.332000000000011</v>
      </c>
      <c r="N190" s="8">
        <f t="shared" si="109"/>
        <v>-24.332000000000011</v>
      </c>
      <c r="O190" s="8">
        <f t="shared" si="109"/>
        <v>-24.332000000000011</v>
      </c>
      <c r="P190" s="8">
        <f t="shared" si="109"/>
        <v>-24.332000000000011</v>
      </c>
      <c r="Q190" s="8">
        <f t="shared" si="109"/>
        <v>-24.332000000000011</v>
      </c>
      <c r="R190" s="8">
        <f t="shared" si="109"/>
        <v>-24.332000000000011</v>
      </c>
      <c r="S190" s="8">
        <f t="shared" si="109"/>
        <v>-24.332000000000011</v>
      </c>
    </row>
    <row r="191" spans="2:19">
      <c r="C191" s="2" t="s">
        <v>3</v>
      </c>
      <c r="D191" s="4" t="s">
        <v>0</v>
      </c>
      <c r="E191" s="2"/>
      <c r="F191" s="2"/>
      <c r="G191" s="3">
        <f>G190+G189</f>
        <v>-80.787999999999997</v>
      </c>
      <c r="H191" s="3">
        <f>H190+H189</f>
        <v>-844.98699999999997</v>
      </c>
      <c r="I191" s="3">
        <f>I190+I189</f>
        <v>-467.48700000000002</v>
      </c>
      <c r="J191" s="3">
        <f t="shared" ref="J191:S191" si="110">SUM(J189:J190)</f>
        <v>-24.332000000000011</v>
      </c>
      <c r="K191" s="3">
        <f t="shared" si="110"/>
        <v>-24.332000000000011</v>
      </c>
      <c r="L191" s="3">
        <f t="shared" si="110"/>
        <v>-24.332000000000011</v>
      </c>
      <c r="M191" s="3">
        <f t="shared" si="110"/>
        <v>-24.332000000000011</v>
      </c>
      <c r="N191" s="3">
        <f t="shared" si="110"/>
        <v>-24.332000000000011</v>
      </c>
      <c r="O191" s="3">
        <f t="shared" si="110"/>
        <v>-24.332000000000011</v>
      </c>
      <c r="P191" s="3">
        <f t="shared" si="110"/>
        <v>-24.332000000000011</v>
      </c>
      <c r="Q191" s="3">
        <f t="shared" si="110"/>
        <v>-24.332000000000011</v>
      </c>
      <c r="R191" s="3">
        <f t="shared" si="110"/>
        <v>-24.332000000000011</v>
      </c>
      <c r="S191" s="3">
        <f t="shared" si="110"/>
        <v>-24.332000000000011</v>
      </c>
    </row>
    <row r="192" spans="2:19">
      <c r="C192" s="2"/>
      <c r="D192" s="2"/>
      <c r="E192" s="2"/>
      <c r="F192" s="2"/>
      <c r="G192" s="3"/>
      <c r="H192" s="3"/>
      <c r="I192" s="3"/>
    </row>
    <row r="193" spans="3:19">
      <c r="C193" s="7" t="s">
        <v>2</v>
      </c>
      <c r="D193" s="4" t="s">
        <v>0</v>
      </c>
      <c r="G193" s="6">
        <v>29.995999999999999</v>
      </c>
      <c r="H193" s="6">
        <v>-6.8760000000000003</v>
      </c>
      <c r="I193" s="6">
        <v>-34.042999999999999</v>
      </c>
      <c r="J193" s="5">
        <v>0</v>
      </c>
      <c r="K193" s="5">
        <f t="shared" ref="K193:S193" si="111">J193</f>
        <v>0</v>
      </c>
      <c r="L193" s="5">
        <f t="shared" si="111"/>
        <v>0</v>
      </c>
      <c r="M193" s="5">
        <f t="shared" si="111"/>
        <v>0</v>
      </c>
      <c r="N193" s="5">
        <f t="shared" si="111"/>
        <v>0</v>
      </c>
      <c r="O193" s="5">
        <f t="shared" si="111"/>
        <v>0</v>
      </c>
      <c r="P193" s="5">
        <f t="shared" si="111"/>
        <v>0</v>
      </c>
      <c r="Q193" s="5">
        <f t="shared" si="111"/>
        <v>0</v>
      </c>
      <c r="R193" s="5">
        <f t="shared" si="111"/>
        <v>0</v>
      </c>
      <c r="S193" s="5">
        <f t="shared" si="111"/>
        <v>0</v>
      </c>
    </row>
    <row r="194" spans="3:19">
      <c r="C194" s="2" t="s">
        <v>1</v>
      </c>
      <c r="D194" s="4" t="s">
        <v>0</v>
      </c>
      <c r="E194" s="2"/>
      <c r="F194" s="2"/>
      <c r="G194" s="3">
        <f>G193+G191+G186+G181</f>
        <v>57.011999999999944</v>
      </c>
      <c r="H194" s="3">
        <f>H193+H191+H186+H181</f>
        <v>109.35400000000004</v>
      </c>
      <c r="I194" s="3">
        <f>I193+I191+I186+I181</f>
        <v>-105.00400000000013</v>
      </c>
      <c r="J194" s="3">
        <f t="shared" ref="J194:S194" si="112">J191+J186+J181</f>
        <v>884.79701598528641</v>
      </c>
      <c r="K194" s="3">
        <f t="shared" si="112"/>
        <v>854.97835832423596</v>
      </c>
      <c r="L194" s="3">
        <f t="shared" si="112"/>
        <v>1135.9958225327105</v>
      </c>
      <c r="M194" s="3">
        <f t="shared" si="112"/>
        <v>1490.1787141564316</v>
      </c>
      <c r="N194" s="3">
        <f t="shared" si="112"/>
        <v>1886.4044770267442</v>
      </c>
      <c r="O194" s="3">
        <f t="shared" si="112"/>
        <v>2427.8123518577563</v>
      </c>
      <c r="P194" s="3">
        <f t="shared" si="112"/>
        <v>2844.577073992511</v>
      </c>
      <c r="Q194" s="3">
        <f t="shared" si="112"/>
        <v>3217.1901641499144</v>
      </c>
      <c r="R194" s="3">
        <f t="shared" si="112"/>
        <v>3600.7654918406033</v>
      </c>
      <c r="S194" s="3">
        <f t="shared" si="112"/>
        <v>3796.5439300324565</v>
      </c>
    </row>
    <row r="196" spans="3:19">
      <c r="J196" s="2"/>
      <c r="K196" s="2"/>
      <c r="L196" s="2"/>
      <c r="M196" s="2"/>
    </row>
    <row r="202" spans="3:19">
      <c r="J202" s="2"/>
      <c r="K202" s="2"/>
      <c r="L202" s="2"/>
      <c r="M202" s="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BE6B-AB52-4E55-9695-F5884A400D98}">
  <dimension ref="A1:R235"/>
  <sheetViews>
    <sheetView showGridLines="0" zoomScale="85" zoomScaleNormal="85" workbookViewId="0">
      <selection activeCell="D12" sqref="D12"/>
    </sheetView>
  </sheetViews>
  <sheetFormatPr defaultRowHeight="15.6" outlineLevelRow="1" outlineLevelCol="1"/>
  <cols>
    <col min="1" max="2" width="1.77734375" style="1" customWidth="1"/>
    <col min="3" max="3" width="45.21875" style="1" bestFit="1" customWidth="1"/>
    <col min="4" max="4" width="13.77734375" style="1" customWidth="1"/>
    <col min="5" max="7" width="15.77734375" style="1" customWidth="1" outlineLevel="1"/>
    <col min="8" max="8" width="16.6640625" style="1" bestFit="1" customWidth="1"/>
    <col min="9" max="17" width="15.77734375" style="1" customWidth="1"/>
    <col min="18" max="16384" width="8.88671875" style="1"/>
  </cols>
  <sheetData>
    <row r="1" spans="1:18" ht="18">
      <c r="A1" s="99" t="s">
        <v>153</v>
      </c>
    </row>
    <row r="2" spans="1:18" ht="18">
      <c r="A2" s="100" t="s">
        <v>154</v>
      </c>
    </row>
    <row r="3" spans="1:18">
      <c r="B3" s="33" t="s">
        <v>155</v>
      </c>
      <c r="C3" s="32"/>
      <c r="D3" s="32"/>
      <c r="E3" s="98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>
      <c r="C4" s="1" t="s">
        <v>149</v>
      </c>
      <c r="D4" s="96" t="s">
        <v>156</v>
      </c>
      <c r="H4" s="126" t="s">
        <v>242</v>
      </c>
      <c r="I4" s="127"/>
      <c r="J4" s="127"/>
    </row>
    <row r="5" spans="1:18">
      <c r="C5" s="1" t="s">
        <v>146</v>
      </c>
      <c r="D5" s="96" t="s">
        <v>157</v>
      </c>
      <c r="H5" s="128" t="s">
        <v>243</v>
      </c>
      <c r="I5" s="128"/>
      <c r="J5" s="129">
        <v>2781.0601200000001</v>
      </c>
    </row>
    <row r="6" spans="1:18">
      <c r="C6" s="92" t="s">
        <v>143</v>
      </c>
      <c r="D6" s="96">
        <f>-G82/G81</f>
        <v>0.28891955103541594</v>
      </c>
      <c r="H6" s="130" t="s">
        <v>244</v>
      </c>
      <c r="I6" s="131"/>
      <c r="J6" s="132">
        <v>-86.51</v>
      </c>
    </row>
    <row r="7" spans="1:18">
      <c r="C7" s="92" t="s">
        <v>141</v>
      </c>
      <c r="D7" s="101">
        <v>1000</v>
      </c>
      <c r="H7" s="130" t="s">
        <v>245</v>
      </c>
      <c r="I7" s="131"/>
      <c r="J7" s="132">
        <v>0</v>
      </c>
    </row>
    <row r="8" spans="1:18">
      <c r="C8" s="92" t="s">
        <v>139</v>
      </c>
      <c r="D8" s="102">
        <v>24.12</v>
      </c>
      <c r="H8" s="128" t="s">
        <v>246</v>
      </c>
      <c r="I8" s="131"/>
      <c r="J8" s="129">
        <v>2694.5501199999999</v>
      </c>
    </row>
    <row r="9" spans="1:18">
      <c r="C9" s="92" t="s">
        <v>138</v>
      </c>
      <c r="D9" s="103">
        <v>90.3</v>
      </c>
    </row>
    <row r="10" spans="1:18">
      <c r="C10" s="89" t="s">
        <v>137</v>
      </c>
      <c r="D10" s="90">
        <v>0.75</v>
      </c>
    </row>
    <row r="11" spans="1:18">
      <c r="C11" s="89"/>
      <c r="D11" s="89"/>
    </row>
    <row r="12" spans="1:18">
      <c r="C12" s="89" t="s">
        <v>136</v>
      </c>
      <c r="D12" s="56" t="str">
        <f>Merger_Model!$Q$7</f>
        <v>Base</v>
      </c>
    </row>
    <row r="13" spans="1:18">
      <c r="C13" s="89" t="s">
        <v>158</v>
      </c>
      <c r="D13" s="56">
        <v>1.7000000000000001E-2</v>
      </c>
    </row>
    <row r="14" spans="1:18">
      <c r="C14" s="89" t="s">
        <v>159</v>
      </c>
      <c r="D14" s="56">
        <v>0.02</v>
      </c>
    </row>
    <row r="16" spans="1:18">
      <c r="B16" s="33" t="s">
        <v>160</v>
      </c>
      <c r="C16" s="32"/>
      <c r="D16" s="31"/>
      <c r="E16" s="30" t="s">
        <v>23</v>
      </c>
      <c r="F16" s="30"/>
      <c r="G16" s="29"/>
      <c r="H16" s="29" t="s">
        <v>22</v>
      </c>
      <c r="I16" s="30"/>
      <c r="J16" s="30"/>
      <c r="K16" s="30"/>
      <c r="L16" s="30"/>
      <c r="M16" s="30"/>
      <c r="N16" s="30"/>
      <c r="O16" s="30"/>
      <c r="P16" s="30"/>
      <c r="Q16" s="29"/>
    </row>
    <row r="17" spans="1:17" s="88" customFormat="1">
      <c r="A17" s="1"/>
      <c r="B17" s="33" t="s">
        <v>133</v>
      </c>
      <c r="C17" s="32"/>
      <c r="D17" s="104" t="s">
        <v>20</v>
      </c>
      <c r="E17" s="105">
        <f>DATE(2020,12,31)</f>
        <v>44196</v>
      </c>
      <c r="F17" s="105">
        <f t="shared" ref="F17:Q17" si="0">EDATE(E17,12)</f>
        <v>44561</v>
      </c>
      <c r="G17" s="105">
        <f t="shared" si="0"/>
        <v>44926</v>
      </c>
      <c r="H17" s="105">
        <f t="shared" si="0"/>
        <v>45291</v>
      </c>
      <c r="I17" s="105">
        <f t="shared" si="0"/>
        <v>45657</v>
      </c>
      <c r="J17" s="105">
        <f t="shared" si="0"/>
        <v>46022</v>
      </c>
      <c r="K17" s="105">
        <f t="shared" si="0"/>
        <v>46387</v>
      </c>
      <c r="L17" s="105">
        <f t="shared" si="0"/>
        <v>46752</v>
      </c>
      <c r="M17" s="105">
        <f t="shared" si="0"/>
        <v>47118</v>
      </c>
      <c r="N17" s="105">
        <f t="shared" si="0"/>
        <v>47483</v>
      </c>
      <c r="O17" s="105">
        <f t="shared" si="0"/>
        <v>47848</v>
      </c>
      <c r="P17" s="105">
        <f t="shared" si="0"/>
        <v>48213</v>
      </c>
      <c r="Q17" s="105">
        <f t="shared" si="0"/>
        <v>48579</v>
      </c>
    </row>
    <row r="18" spans="1:17" outlineLevel="1">
      <c r="B18" s="17" t="s">
        <v>132</v>
      </c>
      <c r="C18" s="16"/>
      <c r="D18" s="15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s="2" customFormat="1" outlineLevel="1">
      <c r="C19" s="2" t="s">
        <v>131</v>
      </c>
      <c r="D19" s="4" t="s">
        <v>0</v>
      </c>
      <c r="E19" s="86">
        <v>857.32299999999998</v>
      </c>
      <c r="F19" s="86">
        <v>1494.63</v>
      </c>
      <c r="G19" s="86">
        <v>2195.63</v>
      </c>
      <c r="H19" s="3">
        <f>H20+H21</f>
        <v>2753.1460007999999</v>
      </c>
      <c r="I19" s="3">
        <f t="shared" ref="I19:Q19" si="1">I20+I21</f>
        <v>3330.9998374910397</v>
      </c>
      <c r="J19" s="3">
        <f t="shared" si="1"/>
        <v>3945.7586991113876</v>
      </c>
      <c r="K19" s="3">
        <f t="shared" si="1"/>
        <v>4330.0631796816579</v>
      </c>
      <c r="L19" s="3">
        <f t="shared" si="1"/>
        <v>4762.6334419915875</v>
      </c>
      <c r="M19" s="3">
        <f t="shared" si="1"/>
        <v>5238.3901230586198</v>
      </c>
      <c r="N19" s="3">
        <f t="shared" si="1"/>
        <v>5699.8922929000837</v>
      </c>
      <c r="O19" s="3">
        <f t="shared" si="1"/>
        <v>6127.7141548694926</v>
      </c>
      <c r="P19" s="3">
        <f t="shared" si="1"/>
        <v>6571.8400761671819</v>
      </c>
      <c r="Q19" s="3">
        <f t="shared" si="1"/>
        <v>6997.0701579186734</v>
      </c>
    </row>
    <row r="20" spans="1:17" outlineLevel="1">
      <c r="C20" s="7" t="s">
        <v>161</v>
      </c>
      <c r="D20" s="4" t="s">
        <v>0</v>
      </c>
      <c r="E20" s="6">
        <v>425.92899999999997</v>
      </c>
      <c r="F20" s="6">
        <v>564.34</v>
      </c>
      <c r="G20" s="6">
        <v>769.851</v>
      </c>
      <c r="H20" s="18">
        <f>H24*H30</f>
        <v>1847.8095839999999</v>
      </c>
      <c r="I20" s="18">
        <f t="shared" ref="I20:Q20" si="2">I24*I30</f>
        <v>2313.2728182095998</v>
      </c>
      <c r="J20" s="18">
        <f t="shared" si="2"/>
        <v>2759.2718175604109</v>
      </c>
      <c r="K20" s="18">
        <f t="shared" si="2"/>
        <v>3049.3402673814489</v>
      </c>
      <c r="L20" s="18">
        <f t="shared" si="2"/>
        <v>3377.7542141784311</v>
      </c>
      <c r="M20" s="18">
        <f t="shared" si="2"/>
        <v>3741.7072307561571</v>
      </c>
      <c r="N20" s="18">
        <f t="shared" si="2"/>
        <v>4085.9442959857233</v>
      </c>
      <c r="O20" s="18">
        <f t="shared" si="2"/>
        <v>4408.4274495463978</v>
      </c>
      <c r="P20" s="18">
        <f t="shared" si="2"/>
        <v>4745.0108853192651</v>
      </c>
      <c r="Q20" s="18">
        <f t="shared" si="2"/>
        <v>5070.3406941439662</v>
      </c>
    </row>
    <row r="21" spans="1:17" outlineLevel="1">
      <c r="C21" s="7" t="s">
        <v>162</v>
      </c>
      <c r="D21" s="4" t="s">
        <v>0</v>
      </c>
      <c r="E21" s="6">
        <v>431.39400000000001</v>
      </c>
      <c r="F21" s="6">
        <v>930.29000000000008</v>
      </c>
      <c r="G21" s="6">
        <v>1425.779</v>
      </c>
      <c r="H21" s="18">
        <f>H20*H22</f>
        <v>905.33641679999994</v>
      </c>
      <c r="I21" s="18">
        <f t="shared" ref="I21:Q21" si="3">I20*I22</f>
        <v>1017.7270192814399</v>
      </c>
      <c r="J21" s="18">
        <f t="shared" si="3"/>
        <v>1186.4868815509767</v>
      </c>
      <c r="K21" s="18">
        <f t="shared" si="3"/>
        <v>1280.7229123002085</v>
      </c>
      <c r="L21" s="18">
        <f t="shared" si="3"/>
        <v>1384.8792278131566</v>
      </c>
      <c r="M21" s="18">
        <f t="shared" si="3"/>
        <v>1496.682892302463</v>
      </c>
      <c r="N21" s="18">
        <f t="shared" si="3"/>
        <v>1613.9479969143608</v>
      </c>
      <c r="O21" s="18">
        <f t="shared" si="3"/>
        <v>1719.2867053230952</v>
      </c>
      <c r="P21" s="18">
        <f t="shared" si="3"/>
        <v>1826.8291908479171</v>
      </c>
      <c r="Q21" s="18">
        <f t="shared" si="3"/>
        <v>1926.7294637747073</v>
      </c>
    </row>
    <row r="22" spans="1:17" outlineLevel="1">
      <c r="C22" s="106" t="s">
        <v>163</v>
      </c>
      <c r="E22" s="57">
        <f>E20/E21</f>
        <v>0.98733176632034747</v>
      </c>
      <c r="F22" s="57">
        <f t="shared" ref="F22:G22" si="4">F20/F21</f>
        <v>0.60662804071848564</v>
      </c>
      <c r="G22" s="57">
        <f t="shared" si="4"/>
        <v>0.53995114249824128</v>
      </c>
      <c r="H22" s="56">
        <f>G22-0.05</f>
        <v>0.48995114249824129</v>
      </c>
      <c r="I22" s="56">
        <f t="shared" ref="I22" si="5">H22-0.05</f>
        <v>0.4399511424982413</v>
      </c>
      <c r="J22" s="56">
        <v>0.43</v>
      </c>
      <c r="K22" s="56">
        <v>0.42</v>
      </c>
      <c r="L22" s="56">
        <v>0.41</v>
      </c>
      <c r="M22" s="56">
        <v>0.4</v>
      </c>
      <c r="N22" s="56">
        <v>0.39500000000000002</v>
      </c>
      <c r="O22" s="56">
        <v>0.39</v>
      </c>
      <c r="P22" s="56">
        <v>0.38500000000000001</v>
      </c>
      <c r="Q22" s="56">
        <v>0.38</v>
      </c>
    </row>
    <row r="23" spans="1:17" outlineLevel="1">
      <c r="C23" s="7"/>
      <c r="E23" s="18"/>
      <c r="F23" s="18"/>
      <c r="G23" s="18"/>
    </row>
    <row r="24" spans="1:17" outlineLevel="1">
      <c r="C24" s="7" t="s">
        <v>164</v>
      </c>
      <c r="D24" s="4" t="s">
        <v>0</v>
      </c>
      <c r="E24" s="18">
        <f>E21/E30</f>
        <v>4.2712277227722772</v>
      </c>
      <c r="F24" s="18">
        <f>F21/F30</f>
        <v>8.7763207547169824</v>
      </c>
      <c r="G24" s="18">
        <f>G21/G30</f>
        <v>12.506833333333333</v>
      </c>
      <c r="H24" s="18">
        <f>G24*(1+H25)</f>
        <v>15.008199999999999</v>
      </c>
      <c r="I24" s="18">
        <f t="shared" ref="I24:Q24" si="6">H24*(1+I25)</f>
        <v>17.559593999999997</v>
      </c>
      <c r="J24" s="18">
        <f t="shared" si="6"/>
        <v>19.666745279999997</v>
      </c>
      <c r="K24" s="18">
        <f t="shared" si="6"/>
        <v>20.650082543999996</v>
      </c>
      <c r="L24" s="18">
        <f t="shared" si="6"/>
        <v>21.579336258479994</v>
      </c>
      <c r="M24" s="18">
        <f t="shared" si="6"/>
        <v>22.658303071403996</v>
      </c>
      <c r="N24" s="18">
        <f t="shared" si="6"/>
        <v>23.564635194260156</v>
      </c>
      <c r="O24" s="18">
        <f t="shared" si="6"/>
        <v>24.271574250087962</v>
      </c>
      <c r="P24" s="18">
        <f t="shared" si="6"/>
        <v>24.999721477590601</v>
      </c>
      <c r="Q24" s="18">
        <f t="shared" si="6"/>
        <v>25.624714514530364</v>
      </c>
    </row>
    <row r="25" spans="1:17" outlineLevel="1">
      <c r="C25" s="106" t="s">
        <v>165</v>
      </c>
      <c r="D25" s="1" t="s">
        <v>74</v>
      </c>
      <c r="E25" s="18"/>
      <c r="F25" s="57">
        <f>F24/E24-1</f>
        <v>1.0547536503206238</v>
      </c>
      <c r="G25" s="57">
        <f>G24/F24-1</f>
        <v>0.42506566052879546</v>
      </c>
      <c r="H25" s="57">
        <f t="shared" ref="H25:Q25" si="7">INDEX(H26:H28,MATCH(Cases,$C$32:$C$34,0))</f>
        <v>0.2</v>
      </c>
      <c r="I25" s="57">
        <f t="shared" si="7"/>
        <v>0.17</v>
      </c>
      <c r="J25" s="57">
        <f t="shared" si="7"/>
        <v>0.12000000000000001</v>
      </c>
      <c r="K25" s="57">
        <f t="shared" si="7"/>
        <v>0.05</v>
      </c>
      <c r="L25" s="57">
        <f t="shared" si="7"/>
        <v>4.4999999999999998E-2</v>
      </c>
      <c r="M25" s="57">
        <f t="shared" si="7"/>
        <v>0.05</v>
      </c>
      <c r="N25" s="57">
        <f t="shared" si="7"/>
        <v>0.04</v>
      </c>
      <c r="O25" s="57">
        <f t="shared" si="7"/>
        <v>0.03</v>
      </c>
      <c r="P25" s="57">
        <f t="shared" si="7"/>
        <v>0.03</v>
      </c>
      <c r="Q25" s="57">
        <f t="shared" si="7"/>
        <v>2.5000000000000001E-2</v>
      </c>
    </row>
    <row r="26" spans="1:17" outlineLevel="1">
      <c r="C26" s="59" t="s">
        <v>108</v>
      </c>
      <c r="D26" s="1" t="s">
        <v>74</v>
      </c>
      <c r="E26" s="18"/>
      <c r="F26" s="57"/>
      <c r="G26" s="57"/>
      <c r="H26" s="56">
        <v>0.45</v>
      </c>
      <c r="I26" s="56">
        <f>H26-8%</f>
        <v>0.37</v>
      </c>
      <c r="J26" s="56">
        <f t="shared" ref="J26:L26" si="8">I26-8%</f>
        <v>0.28999999999999998</v>
      </c>
      <c r="K26" s="56">
        <f t="shared" si="8"/>
        <v>0.20999999999999996</v>
      </c>
      <c r="L26" s="56">
        <f t="shared" si="8"/>
        <v>0.12999999999999995</v>
      </c>
      <c r="M26" s="56">
        <v>0.12</v>
      </c>
      <c r="N26" s="56">
        <v>0.1</v>
      </c>
      <c r="O26" s="56">
        <v>0.08</v>
      </c>
      <c r="P26" s="56">
        <v>7.0000000000000007E-2</v>
      </c>
      <c r="Q26" s="56">
        <v>0.06</v>
      </c>
    </row>
    <row r="27" spans="1:17" outlineLevel="1">
      <c r="C27" s="59" t="s">
        <v>107</v>
      </c>
      <c r="D27" s="1" t="s">
        <v>74</v>
      </c>
      <c r="E27" s="18"/>
      <c r="F27" s="57"/>
      <c r="G27" s="57"/>
      <c r="H27" s="56">
        <v>0.2</v>
      </c>
      <c r="I27" s="56">
        <v>0.17</v>
      </c>
      <c r="J27" s="56">
        <f t="shared" ref="J27" si="9">I27-5%</f>
        <v>0.12000000000000001</v>
      </c>
      <c r="K27" s="56">
        <f>J27-7%</f>
        <v>0.05</v>
      </c>
      <c r="L27" s="56">
        <v>4.4999999999999998E-2</v>
      </c>
      <c r="M27" s="56">
        <v>0.05</v>
      </c>
      <c r="N27" s="56">
        <v>0.04</v>
      </c>
      <c r="O27" s="56">
        <v>0.03</v>
      </c>
      <c r="P27" s="56">
        <v>0.03</v>
      </c>
      <c r="Q27" s="56">
        <v>2.5000000000000001E-2</v>
      </c>
    </row>
    <row r="28" spans="1:17" outlineLevel="1">
      <c r="C28" s="59" t="s">
        <v>106</v>
      </c>
      <c r="D28" s="1" t="s">
        <v>74</v>
      </c>
      <c r="E28" s="18"/>
      <c r="F28" s="57"/>
      <c r="G28" s="57"/>
      <c r="H28" s="56">
        <v>0.15</v>
      </c>
      <c r="I28" s="56">
        <v>0.1</v>
      </c>
      <c r="J28" s="56">
        <v>0.05</v>
      </c>
      <c r="K28" s="56">
        <v>2.5065660528795469E-2</v>
      </c>
      <c r="L28" s="56">
        <v>2.0065660528795468E-2</v>
      </c>
      <c r="M28" s="56">
        <v>2.0065660528795468E-2</v>
      </c>
      <c r="N28" s="56">
        <v>2.0065660528795468E-2</v>
      </c>
      <c r="O28" s="56">
        <v>2.0065660528795468E-2</v>
      </c>
      <c r="P28" s="56">
        <v>2.0065660528795468E-2</v>
      </c>
      <c r="Q28" s="56">
        <v>2.0065660528795468E-2</v>
      </c>
    </row>
    <row r="29" spans="1:17" outlineLevel="1">
      <c r="C29" s="7"/>
      <c r="E29" s="18"/>
      <c r="F29" s="18"/>
      <c r="G29" s="18"/>
    </row>
    <row r="30" spans="1:17" outlineLevel="1">
      <c r="C30" s="7" t="s">
        <v>166</v>
      </c>
      <c r="D30" s="1" t="s">
        <v>112</v>
      </c>
      <c r="E30" s="107">
        <v>101</v>
      </c>
      <c r="F30" s="107">
        <v>106</v>
      </c>
      <c r="G30" s="107">
        <v>114</v>
      </c>
      <c r="H30" s="107">
        <f>G30*(1+H31)</f>
        <v>123.12</v>
      </c>
      <c r="I30" s="107">
        <f t="shared" ref="I30:Q30" si="10">H30*(1+I31)</f>
        <v>131.73840000000001</v>
      </c>
      <c r="J30" s="107">
        <f t="shared" si="10"/>
        <v>140.30139600000001</v>
      </c>
      <c r="K30" s="107">
        <f t="shared" si="10"/>
        <v>147.66721929000002</v>
      </c>
      <c r="L30" s="107">
        <f t="shared" si="10"/>
        <v>156.52725244740003</v>
      </c>
      <c r="M30" s="107">
        <f t="shared" si="10"/>
        <v>165.13625133200702</v>
      </c>
      <c r="N30" s="107">
        <f t="shared" si="10"/>
        <v>173.39306389860738</v>
      </c>
      <c r="O30" s="107">
        <f t="shared" si="10"/>
        <v>181.62923443379125</v>
      </c>
      <c r="P30" s="107">
        <f t="shared" si="10"/>
        <v>189.80254998331185</v>
      </c>
      <c r="Q30" s="107">
        <f t="shared" si="10"/>
        <v>197.8691583576026</v>
      </c>
    </row>
    <row r="31" spans="1:17" outlineLevel="1">
      <c r="C31" s="106" t="s">
        <v>167</v>
      </c>
      <c r="D31" s="1" t="s">
        <v>74</v>
      </c>
      <c r="E31" s="18"/>
      <c r="F31" s="57">
        <f>F30/E30-1</f>
        <v>4.9504950495049549E-2</v>
      </c>
      <c r="G31" s="57">
        <f>G30/F30-1</f>
        <v>7.547169811320753E-2</v>
      </c>
      <c r="H31" s="57">
        <f t="shared" ref="H31:Q31" si="11">INDEX(H32:H34,MATCH(Cases,$C$32:$C$34,0))</f>
        <v>0.08</v>
      </c>
      <c r="I31" s="57">
        <f t="shared" si="11"/>
        <v>7.0000000000000007E-2</v>
      </c>
      <c r="J31" s="57">
        <f t="shared" si="11"/>
        <v>6.5000000000000002E-2</v>
      </c>
      <c r="K31" s="57">
        <f t="shared" si="11"/>
        <v>5.2499999999999998E-2</v>
      </c>
      <c r="L31" s="57">
        <f t="shared" si="11"/>
        <v>0.06</v>
      </c>
      <c r="M31" s="57">
        <f t="shared" si="11"/>
        <v>5.5E-2</v>
      </c>
      <c r="N31" s="57">
        <f t="shared" si="11"/>
        <v>0.05</v>
      </c>
      <c r="O31" s="57">
        <f t="shared" si="11"/>
        <v>4.7500000000000001E-2</v>
      </c>
      <c r="P31" s="57">
        <f t="shared" si="11"/>
        <v>4.4999999999999998E-2</v>
      </c>
      <c r="Q31" s="57">
        <f t="shared" si="11"/>
        <v>4.2500000000000003E-2</v>
      </c>
    </row>
    <row r="32" spans="1:17" outlineLevel="1">
      <c r="C32" s="59" t="s">
        <v>108</v>
      </c>
      <c r="D32" s="1" t="s">
        <v>74</v>
      </c>
      <c r="E32" s="18"/>
      <c r="F32" s="57"/>
      <c r="G32" s="57"/>
      <c r="H32" s="56">
        <f>G31+6%</f>
        <v>0.13547169811320753</v>
      </c>
      <c r="I32" s="56">
        <f>H32-0.8%</f>
        <v>0.12747169811320752</v>
      </c>
      <c r="J32" s="56">
        <f t="shared" ref="J32:Q32" si="12">I32-0.8%</f>
        <v>0.11947169811320751</v>
      </c>
      <c r="K32" s="56">
        <f t="shared" si="12"/>
        <v>0.11147169811320751</v>
      </c>
      <c r="L32" s="56">
        <f t="shared" si="12"/>
        <v>0.1034716981132075</v>
      </c>
      <c r="M32" s="56">
        <f t="shared" si="12"/>
        <v>9.5471698113207493E-2</v>
      </c>
      <c r="N32" s="56">
        <f t="shared" si="12"/>
        <v>8.7471698113207486E-2</v>
      </c>
      <c r="O32" s="56">
        <f t="shared" si="12"/>
        <v>7.9471698113207478E-2</v>
      </c>
      <c r="P32" s="56">
        <f t="shared" si="12"/>
        <v>7.1471698113207471E-2</v>
      </c>
      <c r="Q32" s="56">
        <f t="shared" si="12"/>
        <v>6.3471698113207464E-2</v>
      </c>
    </row>
    <row r="33" spans="2:17" outlineLevel="1">
      <c r="C33" s="59" t="s">
        <v>107</v>
      </c>
      <c r="D33" s="1" t="s">
        <v>74</v>
      </c>
      <c r="E33" s="18"/>
      <c r="F33" s="57"/>
      <c r="G33" s="57"/>
      <c r="H33" s="56">
        <v>0.08</v>
      </c>
      <c r="I33" s="56">
        <v>7.0000000000000007E-2</v>
      </c>
      <c r="J33" s="56">
        <v>6.5000000000000002E-2</v>
      </c>
      <c r="K33" s="56">
        <v>5.2499999999999998E-2</v>
      </c>
      <c r="L33" s="56">
        <v>0.06</v>
      </c>
      <c r="M33" s="56">
        <v>5.5E-2</v>
      </c>
      <c r="N33" s="56">
        <v>0.05</v>
      </c>
      <c r="O33" s="56">
        <v>4.7500000000000001E-2</v>
      </c>
      <c r="P33" s="56">
        <v>4.4999999999999998E-2</v>
      </c>
      <c r="Q33" s="56">
        <v>4.2500000000000003E-2</v>
      </c>
    </row>
    <row r="34" spans="2:17" outlineLevel="1">
      <c r="C34" s="59" t="s">
        <v>106</v>
      </c>
      <c r="D34" s="1" t="s">
        <v>74</v>
      </c>
      <c r="E34" s="18"/>
      <c r="F34" s="57"/>
      <c r="G34" s="57"/>
      <c r="H34" s="56">
        <v>0.05</v>
      </c>
      <c r="I34" s="56">
        <f>H34-0.5%</f>
        <v>4.5000000000000005E-2</v>
      </c>
      <c r="J34" s="56">
        <f t="shared" ref="J34:O34" si="13">I34-0.5%</f>
        <v>4.0000000000000008E-2</v>
      </c>
      <c r="K34" s="56">
        <f t="shared" si="13"/>
        <v>3.500000000000001E-2</v>
      </c>
      <c r="L34" s="56">
        <f t="shared" si="13"/>
        <v>3.0000000000000009E-2</v>
      </c>
      <c r="M34" s="56">
        <f t="shared" si="13"/>
        <v>2.5000000000000008E-2</v>
      </c>
      <c r="N34" s="56">
        <f t="shared" si="13"/>
        <v>2.0000000000000007E-2</v>
      </c>
      <c r="O34" s="56">
        <f t="shared" si="13"/>
        <v>1.5000000000000006E-2</v>
      </c>
      <c r="P34" s="56">
        <f>O34</f>
        <v>1.5000000000000006E-2</v>
      </c>
      <c r="Q34" s="56">
        <f>P34</f>
        <v>1.5000000000000006E-2</v>
      </c>
    </row>
    <row r="35" spans="2:17" outlineLevel="1">
      <c r="C35" s="106"/>
      <c r="E35" s="18"/>
      <c r="F35" s="57"/>
      <c r="G35" s="57"/>
    </row>
    <row r="36" spans="2:17" s="2" customFormat="1" outlineLevel="1">
      <c r="C36" s="108" t="s">
        <v>168</v>
      </c>
      <c r="D36" s="2" t="s">
        <v>74</v>
      </c>
      <c r="E36" s="109">
        <f>-E72/E71</f>
        <v>0.57548205285522491</v>
      </c>
      <c r="F36" s="109">
        <f>-F72/F71</f>
        <v>0.51743776051598056</v>
      </c>
      <c r="G36" s="109">
        <f>-G72/G71</f>
        <v>0.54443417151341522</v>
      </c>
      <c r="H36" s="56">
        <f>AVERAGE(E36:G36)</f>
        <v>0.54578466162820682</v>
      </c>
      <c r="I36" s="56">
        <f>H36-0.5%</f>
        <v>0.54078466162820682</v>
      </c>
      <c r="J36" s="56">
        <f t="shared" ref="J36:O36" si="14">I36-0.5%</f>
        <v>0.53578466162820682</v>
      </c>
      <c r="K36" s="56">
        <f t="shared" si="14"/>
        <v>0.53078466162820681</v>
      </c>
      <c r="L36" s="56">
        <f t="shared" si="14"/>
        <v>0.52578466162820681</v>
      </c>
      <c r="M36" s="56">
        <f t="shared" si="14"/>
        <v>0.5207846616282068</v>
      </c>
      <c r="N36" s="56">
        <f t="shared" si="14"/>
        <v>0.5157846616282068</v>
      </c>
      <c r="O36" s="56">
        <f t="shared" si="14"/>
        <v>0.51078466162820679</v>
      </c>
      <c r="P36" s="56">
        <v>0.505</v>
      </c>
      <c r="Q36" s="56">
        <v>0.505</v>
      </c>
    </row>
    <row r="37" spans="2:17" outlineLevel="1">
      <c r="C37" s="108" t="s">
        <v>169</v>
      </c>
      <c r="D37" s="2" t="s">
        <v>74</v>
      </c>
      <c r="E37" s="109">
        <f>-E75/E71</f>
        <v>0.2924522029620108</v>
      </c>
      <c r="F37" s="109">
        <f>-F75/F71</f>
        <v>0.26280885570341822</v>
      </c>
      <c r="G37" s="109">
        <f>-G75/G71</f>
        <v>0.27439459289588863</v>
      </c>
      <c r="H37" s="56">
        <f>AVERAGE(E37:G37)</f>
        <v>0.27655188385377255</v>
      </c>
      <c r="I37" s="56">
        <f>H37</f>
        <v>0.27655188385377255</v>
      </c>
      <c r="J37" s="56">
        <f t="shared" ref="J37:Q38" si="15">I37</f>
        <v>0.27655188385377255</v>
      </c>
      <c r="K37" s="56">
        <f t="shared" si="15"/>
        <v>0.27655188385377255</v>
      </c>
      <c r="L37" s="56">
        <f t="shared" si="15"/>
        <v>0.27655188385377255</v>
      </c>
      <c r="M37" s="56">
        <f t="shared" si="15"/>
        <v>0.27655188385377255</v>
      </c>
      <c r="N37" s="56">
        <f t="shared" si="15"/>
        <v>0.27655188385377255</v>
      </c>
      <c r="O37" s="56">
        <f t="shared" si="15"/>
        <v>0.27655188385377255</v>
      </c>
      <c r="P37" s="56">
        <f t="shared" si="15"/>
        <v>0.27655188385377255</v>
      </c>
      <c r="Q37" s="56">
        <f t="shared" si="15"/>
        <v>0.27655188385377255</v>
      </c>
    </row>
    <row r="38" spans="2:17" outlineLevel="1">
      <c r="C38" s="108" t="s">
        <v>170</v>
      </c>
      <c r="D38" s="2" t="s">
        <v>74</v>
      </c>
      <c r="E38" s="109">
        <f>-E77/E71</f>
        <v>1.2470212510337413E-2</v>
      </c>
      <c r="F38" s="109">
        <f>-F77/F71</f>
        <v>1.7483256725744831E-2</v>
      </c>
      <c r="G38" s="109">
        <f>-G77/G71</f>
        <v>1.1098864562790633E-2</v>
      </c>
      <c r="H38" s="56">
        <v>0</v>
      </c>
      <c r="I38" s="56">
        <f>H38</f>
        <v>0</v>
      </c>
      <c r="J38" s="56">
        <f t="shared" si="15"/>
        <v>0</v>
      </c>
      <c r="K38" s="56">
        <f t="shared" si="15"/>
        <v>0</v>
      </c>
      <c r="L38" s="56">
        <f t="shared" si="15"/>
        <v>0</v>
      </c>
      <c r="M38" s="56">
        <f t="shared" si="15"/>
        <v>0</v>
      </c>
      <c r="N38" s="56">
        <f t="shared" si="15"/>
        <v>0</v>
      </c>
      <c r="O38" s="56">
        <f t="shared" si="15"/>
        <v>0</v>
      </c>
      <c r="P38" s="56">
        <f t="shared" si="15"/>
        <v>0</v>
      </c>
      <c r="Q38" s="56">
        <f t="shared" si="15"/>
        <v>0</v>
      </c>
    </row>
    <row r="39" spans="2:17" outlineLevel="1"/>
    <row r="40" spans="2:17" outlineLevel="1">
      <c r="B40" s="17" t="s">
        <v>102</v>
      </c>
      <c r="C40" s="16"/>
      <c r="D40" s="1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 outlineLevel="1">
      <c r="C41" s="1" t="s">
        <v>101</v>
      </c>
      <c r="D41" s="2" t="s">
        <v>74</v>
      </c>
      <c r="E41" s="57">
        <f>E90/E71</f>
        <v>7.2341462902546652E-3</v>
      </c>
      <c r="F41" s="57">
        <f>F90/F71</f>
        <v>5.4508473669068599E-3</v>
      </c>
      <c r="G41" s="57">
        <f>G90/G71</f>
        <v>8.281905421223066E-3</v>
      </c>
      <c r="H41" s="56">
        <f>AVERAGE(E41:G41)</f>
        <v>6.9889663594615301E-3</v>
      </c>
      <c r="I41" s="56">
        <f t="shared" ref="I41:Q47" si="16">H41</f>
        <v>6.9889663594615301E-3</v>
      </c>
      <c r="J41" s="56">
        <f t="shared" si="16"/>
        <v>6.9889663594615301E-3</v>
      </c>
      <c r="K41" s="56">
        <f t="shared" si="16"/>
        <v>6.9889663594615301E-3</v>
      </c>
      <c r="L41" s="56">
        <f t="shared" si="16"/>
        <v>6.9889663594615301E-3</v>
      </c>
      <c r="M41" s="56">
        <f t="shared" si="16"/>
        <v>6.9889663594615301E-3</v>
      </c>
      <c r="N41" s="56">
        <f t="shared" si="16"/>
        <v>6.9889663594615301E-3</v>
      </c>
      <c r="O41" s="56">
        <f t="shared" si="16"/>
        <v>6.9889663594615301E-3</v>
      </c>
      <c r="P41" s="56">
        <f t="shared" si="16"/>
        <v>6.9889663594615301E-3</v>
      </c>
      <c r="Q41" s="56">
        <f t="shared" si="16"/>
        <v>6.9889663594615301E-3</v>
      </c>
    </row>
    <row r="42" spans="2:17" outlineLevel="1">
      <c r="C42" s="1" t="s">
        <v>100</v>
      </c>
      <c r="D42" s="2" t="s">
        <v>74</v>
      </c>
      <c r="E42" s="57">
        <f>E91/-E72</f>
        <v>0.34825710313068792</v>
      </c>
      <c r="F42" s="57">
        <f t="shared" ref="F42:G42" si="17">F91/-F72</f>
        <v>0.26911161165691289</v>
      </c>
      <c r="G42" s="57">
        <f t="shared" si="17"/>
        <v>0.3912024333766112</v>
      </c>
      <c r="H42" s="56">
        <f>AVERAGE(E42:G42)</f>
        <v>0.33619038272140395</v>
      </c>
      <c r="I42" s="56">
        <f t="shared" si="16"/>
        <v>0.33619038272140395</v>
      </c>
      <c r="J42" s="56">
        <f t="shared" si="16"/>
        <v>0.33619038272140395</v>
      </c>
      <c r="K42" s="56">
        <f t="shared" si="16"/>
        <v>0.33619038272140395</v>
      </c>
      <c r="L42" s="56">
        <f t="shared" si="16"/>
        <v>0.33619038272140395</v>
      </c>
      <c r="M42" s="56">
        <f t="shared" si="16"/>
        <v>0.33619038272140395</v>
      </c>
      <c r="N42" s="56">
        <f t="shared" si="16"/>
        <v>0.33619038272140395</v>
      </c>
      <c r="O42" s="56">
        <f t="shared" si="16"/>
        <v>0.33619038272140395</v>
      </c>
      <c r="P42" s="56">
        <f t="shared" si="16"/>
        <v>0.33619038272140395</v>
      </c>
      <c r="Q42" s="56">
        <f t="shared" si="16"/>
        <v>0.33619038272140395</v>
      </c>
    </row>
    <row r="43" spans="2:17" outlineLevel="1">
      <c r="C43" s="1" t="s">
        <v>171</v>
      </c>
      <c r="D43" s="2" t="s">
        <v>74</v>
      </c>
      <c r="E43" s="57">
        <f>E92/E71</f>
        <v>3.2859260745366679E-2</v>
      </c>
      <c r="F43" s="57">
        <f>F92/F71</f>
        <v>2.677518850819266E-2</v>
      </c>
      <c r="G43" s="57">
        <f>G92/G71</f>
        <v>1.7999389696806839E-2</v>
      </c>
      <c r="H43" s="56">
        <f>AVERAGE(E43:G43)</f>
        <v>2.587794631678873E-2</v>
      </c>
      <c r="I43" s="56">
        <f t="shared" si="16"/>
        <v>2.587794631678873E-2</v>
      </c>
      <c r="J43" s="56">
        <f t="shared" si="16"/>
        <v>2.587794631678873E-2</v>
      </c>
      <c r="K43" s="56">
        <f t="shared" si="16"/>
        <v>2.587794631678873E-2</v>
      </c>
      <c r="L43" s="56">
        <f t="shared" si="16"/>
        <v>2.587794631678873E-2</v>
      </c>
      <c r="M43" s="56">
        <f t="shared" si="16"/>
        <v>2.587794631678873E-2</v>
      </c>
      <c r="N43" s="56">
        <f t="shared" si="16"/>
        <v>2.587794631678873E-2</v>
      </c>
      <c r="O43" s="56">
        <f t="shared" si="16"/>
        <v>2.587794631678873E-2</v>
      </c>
      <c r="P43" s="56">
        <f t="shared" si="16"/>
        <v>2.587794631678873E-2</v>
      </c>
      <c r="Q43" s="56">
        <f t="shared" si="16"/>
        <v>2.587794631678873E-2</v>
      </c>
    </row>
    <row r="44" spans="2:17" outlineLevel="1">
      <c r="C44" s="1" t="s">
        <v>172</v>
      </c>
      <c r="D44" s="2" t="s">
        <v>74</v>
      </c>
      <c r="E44" s="57">
        <f>-E114/E82</f>
        <v>0.31412186379928303</v>
      </c>
      <c r="F44" s="57">
        <f t="shared" ref="F44:G44" si="18">-F114/F82</f>
        <v>-2.4759504171785008E-2</v>
      </c>
      <c r="G44" s="57">
        <f t="shared" si="18"/>
        <v>0.11544365578136685</v>
      </c>
      <c r="H44" s="56">
        <f>AVERAGE(E44:G44)</f>
        <v>0.13493533846962161</v>
      </c>
      <c r="I44" s="56">
        <f t="shared" si="16"/>
        <v>0.13493533846962161</v>
      </c>
      <c r="J44" s="56">
        <f t="shared" si="16"/>
        <v>0.13493533846962161</v>
      </c>
      <c r="K44" s="56">
        <f t="shared" si="16"/>
        <v>0.13493533846962161</v>
      </c>
      <c r="L44" s="56">
        <f t="shared" si="16"/>
        <v>0.13493533846962161</v>
      </c>
      <c r="M44" s="56">
        <f t="shared" si="16"/>
        <v>0.13493533846962161</v>
      </c>
      <c r="N44" s="56">
        <f t="shared" si="16"/>
        <v>0.13493533846962161</v>
      </c>
      <c r="O44" s="56">
        <f t="shared" si="16"/>
        <v>0.13493533846962161</v>
      </c>
      <c r="P44" s="56">
        <f t="shared" si="16"/>
        <v>0.13493533846962161</v>
      </c>
      <c r="Q44" s="56">
        <f t="shared" si="16"/>
        <v>0.13493533846962161</v>
      </c>
    </row>
    <row r="45" spans="2:17" outlineLevel="1">
      <c r="C45" s="1" t="s">
        <v>98</v>
      </c>
      <c r="D45" s="2" t="s">
        <v>74</v>
      </c>
      <c r="E45" s="57">
        <f>-E107/E72</f>
        <v>0.26732863912569371</v>
      </c>
      <c r="F45" s="57">
        <f t="shared" ref="F45:G45" si="19">-F107/F72</f>
        <v>0.23189695077956701</v>
      </c>
      <c r="G45" s="57">
        <f t="shared" si="19"/>
        <v>0.18547469582792359</v>
      </c>
      <c r="H45" s="56">
        <f>G45</f>
        <v>0.18547469582792359</v>
      </c>
      <c r="I45" s="56">
        <f t="shared" si="16"/>
        <v>0.18547469582792359</v>
      </c>
      <c r="J45" s="56">
        <f t="shared" si="16"/>
        <v>0.18547469582792359</v>
      </c>
      <c r="K45" s="56">
        <f t="shared" si="16"/>
        <v>0.18547469582792359</v>
      </c>
      <c r="L45" s="56">
        <f t="shared" si="16"/>
        <v>0.18547469582792359</v>
      </c>
      <c r="M45" s="56">
        <f t="shared" si="16"/>
        <v>0.18547469582792359</v>
      </c>
      <c r="N45" s="56">
        <f t="shared" si="16"/>
        <v>0.18547469582792359</v>
      </c>
      <c r="O45" s="56">
        <f t="shared" si="16"/>
        <v>0.18547469582792359</v>
      </c>
      <c r="P45" s="56">
        <f t="shared" si="16"/>
        <v>0.18547469582792359</v>
      </c>
      <c r="Q45" s="56">
        <f t="shared" si="16"/>
        <v>0.18547469582792359</v>
      </c>
    </row>
    <row r="46" spans="2:17" outlineLevel="1">
      <c r="C46" s="1" t="s">
        <v>173</v>
      </c>
      <c r="D46" s="4" t="s">
        <v>0</v>
      </c>
      <c r="E46" s="18">
        <f>E108</f>
        <v>8.2870000000000008</v>
      </c>
      <c r="F46" s="18">
        <f t="shared" ref="F46:G46" si="20">F108</f>
        <v>58.917000000000002</v>
      </c>
      <c r="G46" s="18">
        <f t="shared" si="20"/>
        <v>0</v>
      </c>
      <c r="H46" s="5">
        <f>G46</f>
        <v>0</v>
      </c>
      <c r="I46" s="5">
        <f t="shared" si="16"/>
        <v>0</v>
      </c>
      <c r="J46" s="5">
        <f t="shared" si="16"/>
        <v>0</v>
      </c>
      <c r="K46" s="5">
        <f t="shared" si="16"/>
        <v>0</v>
      </c>
      <c r="L46" s="5">
        <f t="shared" si="16"/>
        <v>0</v>
      </c>
      <c r="M46" s="5">
        <f t="shared" si="16"/>
        <v>0</v>
      </c>
      <c r="N46" s="5">
        <f t="shared" si="16"/>
        <v>0</v>
      </c>
      <c r="O46" s="5">
        <f t="shared" si="16"/>
        <v>0</v>
      </c>
      <c r="P46" s="5">
        <f t="shared" si="16"/>
        <v>0</v>
      </c>
      <c r="Q46" s="5">
        <f t="shared" si="16"/>
        <v>0</v>
      </c>
    </row>
    <row r="47" spans="2:17" outlineLevel="1">
      <c r="C47" s="1" t="s">
        <v>174</v>
      </c>
      <c r="D47" s="2" t="s">
        <v>74</v>
      </c>
      <c r="E47" s="57">
        <f>E109/E71</f>
        <v>4.3814291696361821E-2</v>
      </c>
      <c r="F47" s="57">
        <f>F109/F71</f>
        <v>3.7280798592293739E-2</v>
      </c>
      <c r="G47" s="57">
        <f>G109/G71</f>
        <v>3.2634369178777843E-2</v>
      </c>
      <c r="H47" s="56">
        <f>AVERAGE(E47:G47)</f>
        <v>3.7909819822477799E-2</v>
      </c>
      <c r="I47" s="56">
        <f t="shared" si="16"/>
        <v>3.7909819822477799E-2</v>
      </c>
      <c r="J47" s="56">
        <f t="shared" si="16"/>
        <v>3.7909819822477799E-2</v>
      </c>
      <c r="K47" s="56">
        <f t="shared" si="16"/>
        <v>3.7909819822477799E-2</v>
      </c>
      <c r="L47" s="56">
        <f t="shared" si="16"/>
        <v>3.7909819822477799E-2</v>
      </c>
      <c r="M47" s="56">
        <f t="shared" si="16"/>
        <v>3.7909819822477799E-2</v>
      </c>
      <c r="N47" s="56">
        <f t="shared" si="16"/>
        <v>3.7909819822477799E-2</v>
      </c>
      <c r="O47" s="56">
        <f t="shared" si="16"/>
        <v>3.7909819822477799E-2</v>
      </c>
      <c r="P47" s="56">
        <f t="shared" si="16"/>
        <v>3.7909819822477799E-2</v>
      </c>
      <c r="Q47" s="56">
        <f t="shared" si="16"/>
        <v>3.7909819822477799E-2</v>
      </c>
    </row>
    <row r="48" spans="2:17" outlineLevel="1">
      <c r="C48" s="1" t="s">
        <v>175</v>
      </c>
      <c r="D48" s="4" t="s">
        <v>0</v>
      </c>
      <c r="E48" s="18">
        <f>E115</f>
        <v>74.855000000000004</v>
      </c>
      <c r="F48" s="18">
        <f t="shared" ref="F48:G48" si="21">F115</f>
        <v>0</v>
      </c>
      <c r="G48" s="18">
        <f t="shared" si="21"/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2:17" outlineLevel="1"/>
    <row r="50" spans="2:17" outlineLevel="1">
      <c r="B50" s="17" t="s">
        <v>91</v>
      </c>
      <c r="C50" s="16"/>
      <c r="D50" s="15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2:17" outlineLevel="1">
      <c r="C51" s="1" t="s">
        <v>90</v>
      </c>
      <c r="D51" s="2" t="s">
        <v>74</v>
      </c>
      <c r="E51" s="57">
        <f>E130/E71</f>
        <v>4.5339971049417782E-2</v>
      </c>
      <c r="F51" s="57">
        <f>F130/F71</f>
        <v>2.9819420190950269E-2</v>
      </c>
      <c r="G51" s="57">
        <f>G130/G71</f>
        <v>2.4072817369046696E-2</v>
      </c>
      <c r="H51" s="56">
        <v>0.02</v>
      </c>
      <c r="I51" s="56">
        <v>1.4999999999999999E-2</v>
      </c>
      <c r="J51" s="56">
        <v>1.35E-2</v>
      </c>
      <c r="K51" s="56">
        <v>1.2999999999999999E-2</v>
      </c>
      <c r="L51" s="56">
        <v>1.2500000000000001E-2</v>
      </c>
      <c r="M51" s="56">
        <v>1.2E-2</v>
      </c>
      <c r="N51" s="56">
        <v>1.15E-2</v>
      </c>
      <c r="O51" s="56">
        <v>1.0999999999999999E-2</v>
      </c>
      <c r="P51" s="56">
        <v>1.0500000000000001E-2</v>
      </c>
      <c r="Q51" s="56">
        <v>1.03E-2</v>
      </c>
    </row>
    <row r="52" spans="2:17" outlineLevel="1">
      <c r="C52" s="1" t="s">
        <v>89</v>
      </c>
      <c r="D52" s="4" t="s">
        <v>0</v>
      </c>
      <c r="F52" s="18">
        <f>SUM(E90:E92)-SUM(F90:F92)</f>
        <v>-50.097000000000008</v>
      </c>
      <c r="G52" s="18">
        <f t="shared" ref="G52:Q52" si="22">SUM(F90:F92)-SUM(G90:G92)</f>
        <v>-269.04700000000008</v>
      </c>
      <c r="H52" s="18">
        <f t="shared" si="22"/>
        <v>-70.317435445515912</v>
      </c>
      <c r="I52" s="18">
        <f t="shared" si="22"/>
        <v>-119.42200826269698</v>
      </c>
      <c r="J52" s="18">
        <f t="shared" si="22"/>
        <v>-125.33981508945124</v>
      </c>
      <c r="K52" s="18">
        <f t="shared" si="22"/>
        <v>-74.575368349271798</v>
      </c>
      <c r="L52" s="18">
        <f t="shared" si="22"/>
        <v>-83.401361292849174</v>
      </c>
      <c r="M52" s="18">
        <f t="shared" si="22"/>
        <v>-90.927704815973243</v>
      </c>
      <c r="N52" s="18">
        <f t="shared" si="22"/>
        <v>-86.387996318728028</v>
      </c>
      <c r="O52" s="18">
        <f t="shared" si="22"/>
        <v>-77.945890196994242</v>
      </c>
      <c r="P52" s="18">
        <f t="shared" si="22"/>
        <v>-78.082176481393162</v>
      </c>
      <c r="Q52" s="18">
        <f t="shared" si="22"/>
        <v>-86.169923248228315</v>
      </c>
    </row>
    <row r="53" spans="2:17" outlineLevel="1">
      <c r="C53" s="1" t="s">
        <v>88</v>
      </c>
      <c r="D53" s="4" t="s">
        <v>0</v>
      </c>
      <c r="F53" s="18">
        <f>SUM(F107:F109)-SUM(E107:E109)</f>
        <v>116.23899999999998</v>
      </c>
      <c r="G53" s="18">
        <f t="shared" ref="G53:Q53" si="23">SUM(G107:G109)-SUM(F107:F109)</f>
        <v>-0.6169999999999618</v>
      </c>
      <c r="H53" s="18">
        <f t="shared" si="23"/>
        <v>89.705157401588963</v>
      </c>
      <c r="I53" s="18">
        <f t="shared" si="23"/>
        <v>77.312961014651535</v>
      </c>
      <c r="J53" s="18">
        <f t="shared" si="23"/>
        <v>81.307669508797687</v>
      </c>
      <c r="K53" s="18">
        <f t="shared" si="23"/>
        <v>48.743392366702437</v>
      </c>
      <c r="L53" s="18">
        <f t="shared" si="23"/>
        <v>54.567218867459815</v>
      </c>
      <c r="M53" s="18">
        <f t="shared" si="23"/>
        <v>59.573578672285294</v>
      </c>
      <c r="N53" s="18">
        <f t="shared" si="23"/>
        <v>56.787126600565898</v>
      </c>
      <c r="O53" s="18">
        <f t="shared" si="23"/>
        <v>51.463549914800979</v>
      </c>
      <c r="P53" s="18">
        <f t="shared" si="23"/>
        <v>51.861188617001403</v>
      </c>
      <c r="Q53" s="18">
        <f t="shared" si="23"/>
        <v>55.949452917515828</v>
      </c>
    </row>
    <row r="54" spans="2:17" outlineLevel="1">
      <c r="C54" s="1" t="s">
        <v>176</v>
      </c>
      <c r="D54" s="4" t="s">
        <v>0</v>
      </c>
      <c r="F54" s="18">
        <f>F53+F52</f>
        <v>66.141999999999967</v>
      </c>
      <c r="G54" s="18">
        <f t="shared" ref="G54:Q54" si="24">G53+G52</f>
        <v>-269.66400000000004</v>
      </c>
      <c r="H54" s="18">
        <f t="shared" si="24"/>
        <v>19.387721956073051</v>
      </c>
      <c r="I54" s="18">
        <f t="shared" si="24"/>
        <v>-42.109047248045442</v>
      </c>
      <c r="J54" s="18">
        <f t="shared" si="24"/>
        <v>-44.032145580653548</v>
      </c>
      <c r="K54" s="18">
        <f t="shared" si="24"/>
        <v>-25.831975982569361</v>
      </c>
      <c r="L54" s="18">
        <f t="shared" si="24"/>
        <v>-28.834142425389359</v>
      </c>
      <c r="M54" s="18">
        <f t="shared" si="24"/>
        <v>-31.354126143687949</v>
      </c>
      <c r="N54" s="18">
        <f t="shared" si="24"/>
        <v>-29.60086971816213</v>
      </c>
      <c r="O54" s="18">
        <f t="shared" si="24"/>
        <v>-26.482340282193263</v>
      </c>
      <c r="P54" s="18">
        <f t="shared" si="24"/>
        <v>-26.220987864391759</v>
      </c>
      <c r="Q54" s="18">
        <f t="shared" si="24"/>
        <v>-30.220470330712487</v>
      </c>
    </row>
    <row r="55" spans="2:17" outlineLevel="1">
      <c r="C55" s="1" t="s">
        <v>177</v>
      </c>
      <c r="D55" s="2" t="s">
        <v>74</v>
      </c>
      <c r="E55" s="57">
        <f>E138/-E71</f>
        <v>5.8618513675709159E-2</v>
      </c>
      <c r="F55" s="57">
        <f>F138/-F71</f>
        <v>4.3774713474237774E-2</v>
      </c>
      <c r="G55" s="57">
        <f>G138/-G71</f>
        <v>5.5914247846859437E-2</v>
      </c>
      <c r="H55" s="56">
        <f>G55</f>
        <v>5.5914247846859437E-2</v>
      </c>
      <c r="I55" s="56">
        <f>H55-0.5%</f>
        <v>5.0914247846859439E-2</v>
      </c>
      <c r="J55" s="56">
        <f t="shared" ref="J55:N55" si="25">I55-0.5%</f>
        <v>4.5914247846859442E-2</v>
      </c>
      <c r="K55" s="56">
        <f t="shared" si="25"/>
        <v>4.0914247846859444E-2</v>
      </c>
      <c r="L55" s="56">
        <f t="shared" si="25"/>
        <v>3.5914247846859447E-2</v>
      </c>
      <c r="M55" s="56">
        <f t="shared" si="25"/>
        <v>3.0914247846859446E-2</v>
      </c>
      <c r="N55" s="56">
        <f t="shared" si="25"/>
        <v>2.5914247846859445E-2</v>
      </c>
      <c r="O55" s="56">
        <f>N55</f>
        <v>2.5914247846859445E-2</v>
      </c>
      <c r="P55" s="56">
        <f t="shared" ref="P55:Q55" si="26">O55</f>
        <v>2.5914247846859445E-2</v>
      </c>
      <c r="Q55" s="56">
        <f t="shared" si="26"/>
        <v>2.5914247846859445E-2</v>
      </c>
    </row>
    <row r="56" spans="2:17" outlineLevel="1"/>
    <row r="57" spans="2:17" outlineLevel="1">
      <c r="B57" s="17" t="s">
        <v>178</v>
      </c>
      <c r="C57" s="16"/>
      <c r="D57" s="1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2:17" s="2" customFormat="1" outlineLevel="1">
      <c r="C58" s="2" t="s">
        <v>179</v>
      </c>
      <c r="D58" s="4" t="s">
        <v>0</v>
      </c>
      <c r="E58" s="2">
        <f>447.087+63.44</f>
        <v>510.52699999999999</v>
      </c>
      <c r="F58" s="41">
        <f>E67</f>
        <v>494.83199999999999</v>
      </c>
      <c r="G58" s="41">
        <f>F67</f>
        <v>503.791</v>
      </c>
      <c r="H58" s="41">
        <f>G67</f>
        <v>772.00599999999997</v>
      </c>
      <c r="I58" s="41">
        <f>H67</f>
        <v>872.45762213588682</v>
      </c>
      <c r="J58" s="41">
        <f t="shared" ref="J58:Q58" si="27">I67</f>
        <v>1004.5375895448589</v>
      </c>
      <c r="K58" s="41">
        <f t="shared" si="27"/>
        <v>1165.9487637633515</v>
      </c>
      <c r="L58" s="41">
        <f t="shared" si="27"/>
        <v>1332.1956499414898</v>
      </c>
      <c r="M58" s="41">
        <f t="shared" si="27"/>
        <v>1506.5286749109364</v>
      </c>
      <c r="N58" s="41">
        <f t="shared" si="27"/>
        <v>1691.2125060045294</v>
      </c>
      <c r="O58" s="41">
        <f t="shared" si="27"/>
        <v>1883.2703221307079</v>
      </c>
      <c r="P58" s="41">
        <f t="shared" si="27"/>
        <v>2078.5935442318241</v>
      </c>
      <c r="Q58" s="41">
        <f t="shared" si="27"/>
        <v>2278.0007324526769</v>
      </c>
    </row>
    <row r="59" spans="2:17" outlineLevel="1">
      <c r="C59" s="7" t="s">
        <v>180</v>
      </c>
      <c r="D59" s="4" t="s">
        <v>0</v>
      </c>
      <c r="E59" s="18">
        <f>E76</f>
        <v>-74.334000000000003</v>
      </c>
      <c r="F59" s="18">
        <f t="shared" ref="F59:G59" si="28">F76</f>
        <v>-89.47999999999999</v>
      </c>
      <c r="G59" s="18">
        <f t="shared" si="28"/>
        <v>-113.602</v>
      </c>
      <c r="H59" s="18">
        <f>-H58*H60</f>
        <v>-174.08295426476457</v>
      </c>
      <c r="I59" s="18">
        <f t="shared" ref="I59:Q59" si="29">-I58*I60</f>
        <v>-196.73422270322618</v>
      </c>
      <c r="J59" s="18">
        <f t="shared" si="29"/>
        <v>-226.51750278880542</v>
      </c>
      <c r="K59" s="18">
        <f t="shared" si="29"/>
        <v>-262.91480288660233</v>
      </c>
      <c r="L59" s="18">
        <f t="shared" si="29"/>
        <v>-300.4025284783832</v>
      </c>
      <c r="M59" s="18">
        <f t="shared" si="29"/>
        <v>-339.71363229440823</v>
      </c>
      <c r="N59" s="18">
        <f t="shared" si="29"/>
        <v>-381.3587839146125</v>
      </c>
      <c r="O59" s="18">
        <f t="shared" si="29"/>
        <v>-424.66672714417825</v>
      </c>
      <c r="P59" s="18">
        <f t="shared" si="29"/>
        <v>-468.71100081546456</v>
      </c>
      <c r="Q59" s="18">
        <f t="shared" si="29"/>
        <v>-513.67618557713217</v>
      </c>
    </row>
    <row r="60" spans="2:17" outlineLevel="1">
      <c r="C60" s="106" t="s">
        <v>181</v>
      </c>
      <c r="D60" s="2" t="s">
        <v>74</v>
      </c>
      <c r="E60" s="57">
        <f>-E59/E58</f>
        <v>0.14560248527501973</v>
      </c>
      <c r="F60" s="57">
        <f t="shared" ref="F60:G60" si="30">-F59/F58</f>
        <v>0.18082904905099104</v>
      </c>
      <c r="G60" s="57">
        <f t="shared" si="30"/>
        <v>0.2254943022007142</v>
      </c>
      <c r="H60" s="56">
        <f>G60</f>
        <v>0.2254943022007142</v>
      </c>
      <c r="I60" s="56">
        <f t="shared" ref="I60:Q60" si="31">H60</f>
        <v>0.2254943022007142</v>
      </c>
      <c r="J60" s="56">
        <f t="shared" si="31"/>
        <v>0.2254943022007142</v>
      </c>
      <c r="K60" s="56">
        <f t="shared" si="31"/>
        <v>0.2254943022007142</v>
      </c>
      <c r="L60" s="56">
        <f t="shared" si="31"/>
        <v>0.2254943022007142</v>
      </c>
      <c r="M60" s="56">
        <f t="shared" si="31"/>
        <v>0.2254943022007142</v>
      </c>
      <c r="N60" s="56">
        <f t="shared" si="31"/>
        <v>0.2254943022007142</v>
      </c>
      <c r="O60" s="56">
        <f t="shared" si="31"/>
        <v>0.2254943022007142</v>
      </c>
      <c r="P60" s="56">
        <f t="shared" si="31"/>
        <v>0.2254943022007142</v>
      </c>
      <c r="Q60" s="56">
        <f t="shared" si="31"/>
        <v>0.2254943022007142</v>
      </c>
    </row>
    <row r="61" spans="2:17" outlineLevel="1">
      <c r="C61" s="7" t="s">
        <v>182</v>
      </c>
      <c r="D61" s="4" t="s">
        <v>0</v>
      </c>
      <c r="E61" s="18">
        <v>-51.444000000000003</v>
      </c>
      <c r="F61" s="18">
        <v>-66.3</v>
      </c>
      <c r="G61" s="18">
        <v>-86.262</v>
      </c>
      <c r="H61" s="18">
        <f>H59-H62</f>
        <v>-132.18731889215965</v>
      </c>
      <c r="I61" s="18">
        <f t="shared" ref="I61:Q61" si="32">I59-I62</f>
        <v>-149.38722486246454</v>
      </c>
      <c r="J61" s="18">
        <f t="shared" si="32"/>
        <v>-172.00271848706831</v>
      </c>
      <c r="K61" s="18">
        <f t="shared" si="32"/>
        <v>-199.64047047238685</v>
      </c>
      <c r="L61" s="18">
        <f t="shared" si="32"/>
        <v>-228.10622094331342</v>
      </c>
      <c r="M61" s="18">
        <f t="shared" si="32"/>
        <v>-257.95652672470771</v>
      </c>
      <c r="N61" s="18">
        <f t="shared" si="32"/>
        <v>-289.57915721591439</v>
      </c>
      <c r="O61" s="18">
        <f t="shared" si="32"/>
        <v>-322.46440394457056</v>
      </c>
      <c r="P61" s="18">
        <f t="shared" si="32"/>
        <v>-355.90877231337129</v>
      </c>
      <c r="Q61" s="18">
        <f t="shared" si="32"/>
        <v>-390.05242091032352</v>
      </c>
    </row>
    <row r="62" spans="2:17" outlineLevel="1">
      <c r="C62" s="7" t="s">
        <v>183</v>
      </c>
      <c r="D62" s="4" t="s">
        <v>0</v>
      </c>
      <c r="E62" s="18">
        <f>E59-E61</f>
        <v>-22.89</v>
      </c>
      <c r="F62" s="18">
        <f>F59-F61</f>
        <v>-23.179999999999993</v>
      </c>
      <c r="G62" s="18">
        <f>G59-G61</f>
        <v>-27.340000000000003</v>
      </c>
      <c r="H62" s="18">
        <f t="shared" ref="H62:Q62" si="33">-H63*H58</f>
        <v>-41.895635372604914</v>
      </c>
      <c r="I62" s="18">
        <f t="shared" si="33"/>
        <v>-47.346997840761638</v>
      </c>
      <c r="J62" s="18">
        <f t="shared" si="33"/>
        <v>-54.514784301737116</v>
      </c>
      <c r="K62" s="18">
        <f t="shared" si="33"/>
        <v>-63.274332414215486</v>
      </c>
      <c r="L62" s="18">
        <f t="shared" si="33"/>
        <v>-72.296307535069772</v>
      </c>
      <c r="M62" s="18">
        <f t="shared" si="33"/>
        <v>-81.757105569700542</v>
      </c>
      <c r="N62" s="18">
        <f t="shared" si="33"/>
        <v>-91.779626698698138</v>
      </c>
      <c r="O62" s="18">
        <f t="shared" si="33"/>
        <v>-102.20232319960769</v>
      </c>
      <c r="P62" s="18">
        <f t="shared" si="33"/>
        <v>-112.80222850209329</v>
      </c>
      <c r="Q62" s="18">
        <f t="shared" si="33"/>
        <v>-123.62376466680864</v>
      </c>
    </row>
    <row r="63" spans="2:17" outlineLevel="1">
      <c r="C63" s="106" t="s">
        <v>184</v>
      </c>
      <c r="D63" s="2" t="s">
        <v>74</v>
      </c>
      <c r="E63" s="57">
        <f>-E62/E58</f>
        <v>4.4836022384712272E-2</v>
      </c>
      <c r="F63" s="57">
        <f>-F62/F58</f>
        <v>4.6844181459566057E-2</v>
      </c>
      <c r="G63" s="57">
        <f>-G62/G58</f>
        <v>5.4268535960348641E-2</v>
      </c>
      <c r="H63" s="56">
        <f>G63</f>
        <v>5.4268535960348641E-2</v>
      </c>
      <c r="I63" s="56">
        <f t="shared" ref="I63:Q63" si="34">H63</f>
        <v>5.4268535960348641E-2</v>
      </c>
      <c r="J63" s="56">
        <f t="shared" si="34"/>
        <v>5.4268535960348641E-2</v>
      </c>
      <c r="K63" s="56">
        <f t="shared" si="34"/>
        <v>5.4268535960348641E-2</v>
      </c>
      <c r="L63" s="56">
        <f t="shared" si="34"/>
        <v>5.4268535960348641E-2</v>
      </c>
      <c r="M63" s="56">
        <f t="shared" si="34"/>
        <v>5.4268535960348641E-2</v>
      </c>
      <c r="N63" s="56">
        <f t="shared" si="34"/>
        <v>5.4268535960348641E-2</v>
      </c>
      <c r="O63" s="56">
        <f t="shared" si="34"/>
        <v>5.4268535960348641E-2</v>
      </c>
      <c r="P63" s="56">
        <f t="shared" si="34"/>
        <v>5.4268535960348641E-2</v>
      </c>
      <c r="Q63" s="56">
        <f t="shared" si="34"/>
        <v>5.4268535960348641E-2</v>
      </c>
    </row>
    <row r="64" spans="2:17" outlineLevel="1">
      <c r="C64" s="7" t="s">
        <v>185</v>
      </c>
      <c r="D64" s="4" t="s">
        <v>0</v>
      </c>
      <c r="E64" s="18">
        <f>E58+E61</f>
        <v>459.08299999999997</v>
      </c>
      <c r="F64" s="18">
        <f>F58+F61</f>
        <v>428.53199999999998</v>
      </c>
      <c r="G64" s="18">
        <f>G58+G61</f>
        <v>417.529</v>
      </c>
      <c r="H64" s="18">
        <f t="shared" ref="H64:Q64" si="35">H58+H61</f>
        <v>639.81868110784035</v>
      </c>
      <c r="I64" s="18">
        <f t="shared" si="35"/>
        <v>723.07039727342226</v>
      </c>
      <c r="J64" s="18">
        <f t="shared" si="35"/>
        <v>832.5348710577905</v>
      </c>
      <c r="K64" s="18">
        <f t="shared" si="35"/>
        <v>966.30829329096468</v>
      </c>
      <c r="L64" s="18">
        <f t="shared" si="35"/>
        <v>1104.0894289981763</v>
      </c>
      <c r="M64" s="18">
        <f t="shared" si="35"/>
        <v>1248.5721481862288</v>
      </c>
      <c r="N64" s="18">
        <f t="shared" si="35"/>
        <v>1401.633348788615</v>
      </c>
      <c r="O64" s="18">
        <f t="shared" si="35"/>
        <v>1560.8059181861372</v>
      </c>
      <c r="P64" s="18">
        <f t="shared" si="35"/>
        <v>1722.684771918453</v>
      </c>
      <c r="Q64" s="18">
        <f t="shared" si="35"/>
        <v>1887.9483115423534</v>
      </c>
    </row>
    <row r="65" spans="2:17" outlineLevel="1">
      <c r="C65" s="7" t="s">
        <v>186</v>
      </c>
      <c r="D65" s="4" t="s">
        <v>0</v>
      </c>
      <c r="E65" s="18">
        <f>E67-E64</f>
        <v>35.749000000000024</v>
      </c>
      <c r="F65" s="18">
        <f t="shared" ref="F65:G65" si="36">F67-F64</f>
        <v>75.259000000000015</v>
      </c>
      <c r="G65" s="18">
        <f t="shared" si="36"/>
        <v>354.47699999999998</v>
      </c>
      <c r="H65" s="18">
        <f>H66*H71</f>
        <v>232.63894102804647</v>
      </c>
      <c r="I65" s="18">
        <f t="shared" ref="I65:Q65" si="37">I66*I71</f>
        <v>281.4671922714366</v>
      </c>
      <c r="J65" s="18">
        <f t="shared" si="37"/>
        <v>333.41389270556095</v>
      </c>
      <c r="K65" s="18">
        <f t="shared" si="37"/>
        <v>365.88735665052513</v>
      </c>
      <c r="L65" s="18">
        <f t="shared" si="37"/>
        <v>402.43924591275999</v>
      </c>
      <c r="M65" s="18">
        <f t="shared" si="37"/>
        <v>442.64035781830063</v>
      </c>
      <c r="N65" s="18">
        <f t="shared" si="37"/>
        <v>481.63697334209286</v>
      </c>
      <c r="O65" s="18">
        <f t="shared" si="37"/>
        <v>517.78762604568715</v>
      </c>
      <c r="P65" s="18">
        <f t="shared" si="37"/>
        <v>555.31596053422402</v>
      </c>
      <c r="Q65" s="18">
        <f t="shared" si="37"/>
        <v>591.24760959431433</v>
      </c>
    </row>
    <row r="66" spans="2:17" outlineLevel="1">
      <c r="C66" s="106" t="s">
        <v>187</v>
      </c>
      <c r="D66" s="2" t="s">
        <v>74</v>
      </c>
      <c r="E66" s="57">
        <f>E65/E71</f>
        <v>4.1698403052291874E-2</v>
      </c>
      <c r="F66" s="57">
        <f t="shared" ref="F66:G66" si="38">F65/F71</f>
        <v>5.0352930156627396E-2</v>
      </c>
      <c r="G66" s="57">
        <f t="shared" si="38"/>
        <v>0.16144660074784911</v>
      </c>
      <c r="H66" s="56">
        <f>AVERAGE(E66:G66)</f>
        <v>8.4499311318922798E-2</v>
      </c>
      <c r="I66" s="56">
        <f>H66</f>
        <v>8.4499311318922798E-2</v>
      </c>
      <c r="J66" s="56">
        <f t="shared" ref="J66:Q66" si="39">I66</f>
        <v>8.4499311318922798E-2</v>
      </c>
      <c r="K66" s="56">
        <f t="shared" si="39"/>
        <v>8.4499311318922798E-2</v>
      </c>
      <c r="L66" s="56">
        <f t="shared" si="39"/>
        <v>8.4499311318922798E-2</v>
      </c>
      <c r="M66" s="56">
        <f t="shared" si="39"/>
        <v>8.4499311318922798E-2</v>
      </c>
      <c r="N66" s="56">
        <f t="shared" si="39"/>
        <v>8.4499311318922798E-2</v>
      </c>
      <c r="O66" s="56">
        <f t="shared" si="39"/>
        <v>8.4499311318922798E-2</v>
      </c>
      <c r="P66" s="56">
        <f t="shared" si="39"/>
        <v>8.4499311318922798E-2</v>
      </c>
      <c r="Q66" s="56">
        <f t="shared" si="39"/>
        <v>8.4499311318922798E-2</v>
      </c>
    </row>
    <row r="67" spans="2:17" s="2" customFormat="1" outlineLevel="1">
      <c r="C67" s="2" t="s">
        <v>73</v>
      </c>
      <c r="D67" s="4" t="s">
        <v>0</v>
      </c>
      <c r="E67" s="41">
        <f>E113</f>
        <v>494.83199999999999</v>
      </c>
      <c r="F67" s="41">
        <f t="shared" ref="F67:G67" si="40">F113</f>
        <v>503.791</v>
      </c>
      <c r="G67" s="41">
        <f t="shared" si="40"/>
        <v>772.00599999999997</v>
      </c>
      <c r="H67" s="41">
        <f>H65+H64</f>
        <v>872.45762213588682</v>
      </c>
      <c r="I67" s="41">
        <f t="shared" ref="I67:Q67" si="41">I65+I64</f>
        <v>1004.5375895448589</v>
      </c>
      <c r="J67" s="41">
        <f t="shared" si="41"/>
        <v>1165.9487637633515</v>
      </c>
      <c r="K67" s="41">
        <f t="shared" si="41"/>
        <v>1332.1956499414898</v>
      </c>
      <c r="L67" s="41">
        <f t="shared" si="41"/>
        <v>1506.5286749109364</v>
      </c>
      <c r="M67" s="41">
        <f t="shared" si="41"/>
        <v>1691.2125060045294</v>
      </c>
      <c r="N67" s="41">
        <f t="shared" si="41"/>
        <v>1883.2703221307079</v>
      </c>
      <c r="O67" s="41">
        <f t="shared" si="41"/>
        <v>2078.5935442318241</v>
      </c>
      <c r="P67" s="41">
        <f t="shared" si="41"/>
        <v>2278.0007324526769</v>
      </c>
      <c r="Q67" s="41">
        <f t="shared" si="41"/>
        <v>2479.1959211366675</v>
      </c>
    </row>
    <row r="69" spans="2:17">
      <c r="B69" s="33" t="s">
        <v>160</v>
      </c>
      <c r="C69" s="32"/>
      <c r="D69" s="31"/>
      <c r="E69" s="30" t="s">
        <v>23</v>
      </c>
      <c r="F69" s="30"/>
      <c r="G69" s="29"/>
      <c r="H69" s="29" t="s">
        <v>22</v>
      </c>
      <c r="I69" s="30"/>
      <c r="J69" s="30"/>
      <c r="K69" s="30"/>
      <c r="L69" s="30"/>
      <c r="M69" s="30"/>
      <c r="N69" s="30"/>
      <c r="O69" s="30"/>
      <c r="P69" s="30"/>
      <c r="Q69" s="29"/>
    </row>
    <row r="70" spans="2:17">
      <c r="B70" s="33" t="s">
        <v>70</v>
      </c>
      <c r="C70" s="32"/>
      <c r="D70" s="104" t="s">
        <v>20</v>
      </c>
      <c r="E70" s="105">
        <f>DATE(2020,12,31)</f>
        <v>44196</v>
      </c>
      <c r="F70" s="105">
        <f t="shared" ref="F70:Q70" si="42">EDATE(E70,12)</f>
        <v>44561</v>
      </c>
      <c r="G70" s="105">
        <f t="shared" si="42"/>
        <v>44926</v>
      </c>
      <c r="H70" s="105">
        <f t="shared" si="42"/>
        <v>45291</v>
      </c>
      <c r="I70" s="105">
        <f t="shared" si="42"/>
        <v>45657</v>
      </c>
      <c r="J70" s="105">
        <f t="shared" si="42"/>
        <v>46022</v>
      </c>
      <c r="K70" s="105">
        <f t="shared" si="42"/>
        <v>46387</v>
      </c>
      <c r="L70" s="105">
        <f t="shared" si="42"/>
        <v>46752</v>
      </c>
      <c r="M70" s="105">
        <f t="shared" si="42"/>
        <v>47118</v>
      </c>
      <c r="N70" s="105">
        <f t="shared" si="42"/>
        <v>47483</v>
      </c>
      <c r="O70" s="105">
        <f t="shared" si="42"/>
        <v>47848</v>
      </c>
      <c r="P70" s="105">
        <f t="shared" si="42"/>
        <v>48213</v>
      </c>
      <c r="Q70" s="105">
        <f t="shared" si="42"/>
        <v>48579</v>
      </c>
    </row>
    <row r="71" spans="2:17" s="2" customFormat="1" outlineLevel="1">
      <c r="C71" s="2" t="s">
        <v>188</v>
      </c>
      <c r="D71" s="4" t="s">
        <v>0</v>
      </c>
      <c r="E71" s="23">
        <v>857.32299999999998</v>
      </c>
      <c r="F71" s="23">
        <v>1494.63</v>
      </c>
      <c r="G71" s="23">
        <v>2195.63</v>
      </c>
      <c r="H71" s="23">
        <f t="shared" ref="H71:Q71" si="43">H19</f>
        <v>2753.1460007999999</v>
      </c>
      <c r="I71" s="23">
        <f t="shared" si="43"/>
        <v>3330.9998374910397</v>
      </c>
      <c r="J71" s="23">
        <f t="shared" si="43"/>
        <v>3945.7586991113876</v>
      </c>
      <c r="K71" s="23">
        <f t="shared" si="43"/>
        <v>4330.0631796816579</v>
      </c>
      <c r="L71" s="23">
        <f t="shared" si="43"/>
        <v>4762.6334419915875</v>
      </c>
      <c r="M71" s="23">
        <f t="shared" si="43"/>
        <v>5238.3901230586198</v>
      </c>
      <c r="N71" s="23">
        <f t="shared" si="43"/>
        <v>5699.8922929000837</v>
      </c>
      <c r="O71" s="23">
        <f t="shared" si="43"/>
        <v>6127.7141548694926</v>
      </c>
      <c r="P71" s="23">
        <f t="shared" si="43"/>
        <v>6571.8400761671819</v>
      </c>
      <c r="Q71" s="23">
        <f t="shared" si="43"/>
        <v>6997.0701579186734</v>
      </c>
    </row>
    <row r="72" spans="2:17" outlineLevel="1">
      <c r="C72" s="110" t="s">
        <v>189</v>
      </c>
      <c r="D72" s="11" t="s">
        <v>0</v>
      </c>
      <c r="E72" s="9">
        <v>-493.37399999999997</v>
      </c>
      <c r="F72" s="9">
        <v>-773.37800000000004</v>
      </c>
      <c r="G72" s="9">
        <v>-1195.376</v>
      </c>
      <c r="H72" s="39">
        <f t="shared" ref="H72:Q72" si="44">-H36*H71</f>
        <v>-1502.6248584596788</v>
      </c>
      <c r="I72" s="39">
        <f t="shared" si="44"/>
        <v>-1801.3536200012038</v>
      </c>
      <c r="J72" s="39">
        <f t="shared" si="44"/>
        <v>-2114.0769894699483</v>
      </c>
      <c r="K72" s="39">
        <f t="shared" si="44"/>
        <v>-2298.3311196560862</v>
      </c>
      <c r="L72" s="39">
        <f t="shared" si="44"/>
        <v>-2504.1196127567287</v>
      </c>
      <c r="M72" s="39">
        <f t="shared" si="44"/>
        <v>-2728.073227713624</v>
      </c>
      <c r="N72" s="39">
        <f t="shared" si="44"/>
        <v>-2939.9170176106936</v>
      </c>
      <c r="O72" s="39">
        <f t="shared" si="44"/>
        <v>-3129.942401149387</v>
      </c>
      <c r="P72" s="39">
        <f t="shared" si="44"/>
        <v>-3318.7792384644267</v>
      </c>
      <c r="Q72" s="39">
        <f t="shared" si="44"/>
        <v>-3533.5204297489299</v>
      </c>
    </row>
    <row r="73" spans="2:17" s="2" customFormat="1" outlineLevel="1">
      <c r="C73" s="2" t="s">
        <v>190</v>
      </c>
      <c r="D73" s="4" t="s">
        <v>0</v>
      </c>
      <c r="E73" s="41">
        <f t="shared" ref="E73:Q73" si="45">SUM(E71:E72)</f>
        <v>363.94900000000001</v>
      </c>
      <c r="F73" s="41">
        <f t="shared" si="45"/>
        <v>721.25200000000007</v>
      </c>
      <c r="G73" s="41">
        <f t="shared" si="45"/>
        <v>1000.2540000000001</v>
      </c>
      <c r="H73" s="41">
        <f t="shared" si="45"/>
        <v>1250.5211423403211</v>
      </c>
      <c r="I73" s="41">
        <f t="shared" si="45"/>
        <v>1529.6462174898359</v>
      </c>
      <c r="J73" s="41">
        <f t="shared" si="45"/>
        <v>1831.6817096414393</v>
      </c>
      <c r="K73" s="41">
        <f t="shared" si="45"/>
        <v>2031.7320600255716</v>
      </c>
      <c r="L73" s="41">
        <f t="shared" si="45"/>
        <v>2258.5138292348588</v>
      </c>
      <c r="M73" s="41">
        <f t="shared" si="45"/>
        <v>2510.3168953449958</v>
      </c>
      <c r="N73" s="41">
        <f t="shared" si="45"/>
        <v>2759.9752752893901</v>
      </c>
      <c r="O73" s="41">
        <f t="shared" si="45"/>
        <v>2997.7717537201056</v>
      </c>
      <c r="P73" s="41">
        <f t="shared" si="45"/>
        <v>3253.0608377027552</v>
      </c>
      <c r="Q73" s="41">
        <f t="shared" si="45"/>
        <v>3463.5497281697435</v>
      </c>
    </row>
    <row r="74" spans="2:17" outlineLevel="1">
      <c r="D74" s="4"/>
      <c r="E74" s="18"/>
      <c r="F74" s="18"/>
      <c r="G74" s="18"/>
    </row>
    <row r="75" spans="2:17" outlineLevel="1">
      <c r="C75" s="7" t="s">
        <v>191</v>
      </c>
      <c r="D75" s="4" t="s">
        <v>0</v>
      </c>
      <c r="E75" s="6">
        <v>-250.726</v>
      </c>
      <c r="F75" s="6">
        <v>-392.80200000000002</v>
      </c>
      <c r="G75" s="6">
        <v>-602.46900000000005</v>
      </c>
      <c r="H75" s="18">
        <f t="shared" ref="H75:Q75" si="46">-H37*H71</f>
        <v>-761.38771304571992</v>
      </c>
      <c r="I75" s="18">
        <f t="shared" si="46"/>
        <v>-921.1942801747573</v>
      </c>
      <c r="J75" s="18">
        <f t="shared" si="46"/>
        <v>-1091.2070014716651</v>
      </c>
      <c r="K75" s="18">
        <f t="shared" si="46"/>
        <v>-1197.487129546819</v>
      </c>
      <c r="L75" s="18">
        <f t="shared" si="46"/>
        <v>-1317.1152504877505</v>
      </c>
      <c r="M75" s="18">
        <f t="shared" si="46"/>
        <v>-1448.6866568928567</v>
      </c>
      <c r="N75" s="18">
        <f t="shared" si="46"/>
        <v>-1576.3159513651174</v>
      </c>
      <c r="O75" s="18">
        <f t="shared" si="46"/>
        <v>-1694.6308932465859</v>
      </c>
      <c r="P75" s="18">
        <f t="shared" si="46"/>
        <v>-1817.4547534497542</v>
      </c>
      <c r="Q75" s="18">
        <f t="shared" si="46"/>
        <v>-1935.052933629423</v>
      </c>
    </row>
    <row r="76" spans="2:17" outlineLevel="1">
      <c r="C76" s="7" t="s">
        <v>65</v>
      </c>
      <c r="D76" s="4" t="s">
        <v>0</v>
      </c>
      <c r="E76" s="6">
        <v>-74.334000000000003</v>
      </c>
      <c r="F76" s="6">
        <v>-89.47999999999999</v>
      </c>
      <c r="G76" s="6">
        <v>-113.602</v>
      </c>
      <c r="H76" s="18">
        <f t="shared" ref="H76:Q76" si="47">H59</f>
        <v>-174.08295426476457</v>
      </c>
      <c r="I76" s="18">
        <f t="shared" si="47"/>
        <v>-196.73422270322618</v>
      </c>
      <c r="J76" s="18">
        <f t="shared" si="47"/>
        <v>-226.51750278880542</v>
      </c>
      <c r="K76" s="18">
        <f t="shared" si="47"/>
        <v>-262.91480288660233</v>
      </c>
      <c r="L76" s="18">
        <f t="shared" si="47"/>
        <v>-300.4025284783832</v>
      </c>
      <c r="M76" s="18">
        <f t="shared" si="47"/>
        <v>-339.71363229440823</v>
      </c>
      <c r="N76" s="18">
        <f t="shared" si="47"/>
        <v>-381.3587839146125</v>
      </c>
      <c r="O76" s="18">
        <f t="shared" si="47"/>
        <v>-424.66672714417825</v>
      </c>
      <c r="P76" s="18">
        <f t="shared" si="47"/>
        <v>-468.71100081546456</v>
      </c>
      <c r="Q76" s="18">
        <f t="shared" si="47"/>
        <v>-513.67618557713217</v>
      </c>
    </row>
    <row r="77" spans="2:17" outlineLevel="1">
      <c r="C77" s="12" t="s">
        <v>192</v>
      </c>
      <c r="D77" s="11" t="s">
        <v>0</v>
      </c>
      <c r="E77" s="9">
        <v>-10.691000000000001</v>
      </c>
      <c r="F77" s="9">
        <v>-26.131</v>
      </c>
      <c r="G77" s="9">
        <v>-24.369</v>
      </c>
      <c r="H77" s="39">
        <f t="shared" ref="H77:Q77" si="48">-H38*H71</f>
        <v>0</v>
      </c>
      <c r="I77" s="39">
        <f t="shared" si="48"/>
        <v>0</v>
      </c>
      <c r="J77" s="39">
        <f t="shared" si="48"/>
        <v>0</v>
      </c>
      <c r="K77" s="39">
        <f t="shared" si="48"/>
        <v>0</v>
      </c>
      <c r="L77" s="39">
        <f t="shared" si="48"/>
        <v>0</v>
      </c>
      <c r="M77" s="39">
        <f t="shared" si="48"/>
        <v>0</v>
      </c>
      <c r="N77" s="39">
        <f t="shared" si="48"/>
        <v>0</v>
      </c>
      <c r="O77" s="39">
        <f t="shared" si="48"/>
        <v>0</v>
      </c>
      <c r="P77" s="39">
        <f t="shared" si="48"/>
        <v>0</v>
      </c>
      <c r="Q77" s="39">
        <f t="shared" si="48"/>
        <v>0</v>
      </c>
    </row>
    <row r="78" spans="2:17" s="2" customFormat="1" outlineLevel="1">
      <c r="C78" s="2" t="s">
        <v>193</v>
      </c>
      <c r="D78" s="4" t="s">
        <v>0</v>
      </c>
      <c r="E78" s="41">
        <f>E73+E75+E77+E76</f>
        <v>28.198000000000008</v>
      </c>
      <c r="F78" s="41">
        <f t="shared" ref="F78:G78" si="49">F73+F75+F77+F76</f>
        <v>212.83900000000008</v>
      </c>
      <c r="G78" s="41">
        <f t="shared" si="49"/>
        <v>259.81400000000008</v>
      </c>
      <c r="H78" s="41">
        <f>SUM(H75:H77)+H73</f>
        <v>315.05047502983666</v>
      </c>
      <c r="I78" s="41">
        <f t="shared" ref="I78:Q78" si="50">SUM(I75:I77)+I73</f>
        <v>411.71771461185244</v>
      </c>
      <c r="J78" s="41">
        <f t="shared" si="50"/>
        <v>513.95720538096884</v>
      </c>
      <c r="K78" s="41">
        <f t="shared" si="50"/>
        <v>571.33012759215035</v>
      </c>
      <c r="L78" s="41">
        <f t="shared" si="50"/>
        <v>640.99605026872518</v>
      </c>
      <c r="M78" s="41">
        <f t="shared" si="50"/>
        <v>721.91660615773094</v>
      </c>
      <c r="N78" s="41">
        <f t="shared" si="50"/>
        <v>802.30054000966015</v>
      </c>
      <c r="O78" s="41">
        <f t="shared" si="50"/>
        <v>878.47413332934138</v>
      </c>
      <c r="P78" s="41">
        <f t="shared" si="50"/>
        <v>966.89508343753641</v>
      </c>
      <c r="Q78" s="41">
        <f t="shared" si="50"/>
        <v>1014.8206089631885</v>
      </c>
    </row>
    <row r="79" spans="2:17" s="2" customFormat="1" outlineLevel="1">
      <c r="D79" s="4"/>
      <c r="E79" s="41"/>
      <c r="F79" s="41"/>
      <c r="G79" s="41"/>
      <c r="H79" s="41"/>
      <c r="I79" s="41"/>
      <c r="J79" s="41"/>
    </row>
    <row r="80" spans="2:17" outlineLevel="1">
      <c r="C80" s="12" t="s">
        <v>194</v>
      </c>
      <c r="D80" s="11" t="s">
        <v>0</v>
      </c>
      <c r="E80" s="9">
        <v>-1.9960000000000013</v>
      </c>
      <c r="F80" s="9">
        <v>6.7609999999999975</v>
      </c>
      <c r="G80" s="9">
        <v>3.9929999999999986</v>
      </c>
      <c r="H80" s="8">
        <f>AVERAGE(E80:G80)</f>
        <v>2.919333333333332</v>
      </c>
      <c r="I80" s="8">
        <f t="shared" ref="I80:Q80" si="51">AVERAGE(F80:H80)</f>
        <v>4.5577777777777762</v>
      </c>
      <c r="J80" s="8">
        <f t="shared" si="51"/>
        <v>3.8233703703703692</v>
      </c>
      <c r="K80" s="8">
        <f t="shared" si="51"/>
        <v>3.7668271604938259</v>
      </c>
      <c r="L80" s="8">
        <f t="shared" si="51"/>
        <v>4.0493251028806574</v>
      </c>
      <c r="M80" s="8">
        <f t="shared" si="51"/>
        <v>3.8798408779149511</v>
      </c>
      <c r="N80" s="8">
        <f t="shared" si="51"/>
        <v>3.8986643804298118</v>
      </c>
      <c r="O80" s="8">
        <f t="shared" si="51"/>
        <v>3.9426101204084731</v>
      </c>
      <c r="P80" s="8">
        <f t="shared" si="51"/>
        <v>3.9070384595844119</v>
      </c>
      <c r="Q80" s="8">
        <f t="shared" si="51"/>
        <v>3.9161043201408989</v>
      </c>
    </row>
    <row r="81" spans="2:17" s="2" customFormat="1" outlineLevel="1">
      <c r="C81" s="2" t="s">
        <v>195</v>
      </c>
      <c r="D81" s="4" t="s">
        <v>0</v>
      </c>
      <c r="E81" s="41">
        <f>SUM(E80:E80)+E78</f>
        <v>26.202000000000005</v>
      </c>
      <c r="F81" s="41">
        <f>SUM(F80:F80)+F78</f>
        <v>219.60000000000008</v>
      </c>
      <c r="G81" s="41">
        <f>SUM(G80:G80)+G78</f>
        <v>263.80700000000007</v>
      </c>
      <c r="H81" s="41">
        <f>H80+H78</f>
        <v>317.96980836316999</v>
      </c>
      <c r="I81" s="41">
        <f t="shared" ref="I81:Q81" si="52">I80+I78</f>
        <v>416.27549238963024</v>
      </c>
      <c r="J81" s="41">
        <f t="shared" si="52"/>
        <v>517.78057575133926</v>
      </c>
      <c r="K81" s="41">
        <f t="shared" si="52"/>
        <v>575.09695475264414</v>
      </c>
      <c r="L81" s="41">
        <f t="shared" si="52"/>
        <v>645.04537537160581</v>
      </c>
      <c r="M81" s="41">
        <f t="shared" si="52"/>
        <v>725.79644703564588</v>
      </c>
      <c r="N81" s="41">
        <f t="shared" si="52"/>
        <v>806.19920439009002</v>
      </c>
      <c r="O81" s="41">
        <f t="shared" si="52"/>
        <v>882.4167434497499</v>
      </c>
      <c r="P81" s="41">
        <f t="shared" si="52"/>
        <v>970.80212189712086</v>
      </c>
      <c r="Q81" s="41">
        <f t="shared" si="52"/>
        <v>1018.7367132833294</v>
      </c>
    </row>
    <row r="82" spans="2:17" outlineLevel="1">
      <c r="C82" s="12" t="s">
        <v>196</v>
      </c>
      <c r="D82" s="11" t="s">
        <v>0</v>
      </c>
      <c r="E82" s="9">
        <v>-6.9749999999999996</v>
      </c>
      <c r="F82" s="9">
        <v>-62.683</v>
      </c>
      <c r="G82" s="9">
        <v>-76.218999999999994</v>
      </c>
      <c r="H82" s="39">
        <f t="shared" ref="H82:Q82" si="53">-H81*Tax_Rate</f>
        <v>-91.867694275104313</v>
      </c>
      <c r="I82" s="39">
        <f t="shared" si="53"/>
        <v>-120.27012836825868</v>
      </c>
      <c r="J82" s="39">
        <f t="shared" si="53"/>
        <v>-149.59693148093612</v>
      </c>
      <c r="K82" s="39">
        <f t="shared" si="53"/>
        <v>-166.15675396896887</v>
      </c>
      <c r="L82" s="39">
        <f t="shared" si="53"/>
        <v>-186.36622024983569</v>
      </c>
      <c r="M82" s="39">
        <f t="shared" si="53"/>
        <v>-209.69678362063885</v>
      </c>
      <c r="N82" s="39">
        <f t="shared" si="53"/>
        <v>-232.92671217749435</v>
      </c>
      <c r="O82" s="39">
        <f t="shared" si="53"/>
        <v>-254.94744934363555</v>
      </c>
      <c r="P82" s="39">
        <f t="shared" si="53"/>
        <v>-280.48371320274532</v>
      </c>
      <c r="Q82" s="39">
        <f t="shared" si="53"/>
        <v>-294.33295382511483</v>
      </c>
    </row>
    <row r="83" spans="2:17" s="2" customFormat="1" outlineLevel="1">
      <c r="C83" s="2" t="s">
        <v>18</v>
      </c>
      <c r="D83" s="4" t="s">
        <v>0</v>
      </c>
      <c r="E83" s="3">
        <f>E82+E81</f>
        <v>19.227000000000004</v>
      </c>
      <c r="F83" s="3">
        <f t="shared" ref="F83:G83" si="54">F82+F81</f>
        <v>156.91700000000009</v>
      </c>
      <c r="G83" s="3">
        <f t="shared" si="54"/>
        <v>187.58800000000008</v>
      </c>
      <c r="H83" s="41">
        <f>H82+H81</f>
        <v>226.10211408806566</v>
      </c>
      <c r="I83" s="41">
        <f t="shared" ref="I83:Q83" si="55">I82+I81</f>
        <v>296.00536402137158</v>
      </c>
      <c r="J83" s="41">
        <f t="shared" si="55"/>
        <v>368.18364427040314</v>
      </c>
      <c r="K83" s="41">
        <f t="shared" si="55"/>
        <v>408.94020078367527</v>
      </c>
      <c r="L83" s="41">
        <f t="shared" si="55"/>
        <v>458.67915512177012</v>
      </c>
      <c r="M83" s="41">
        <f t="shared" si="55"/>
        <v>516.09966341500706</v>
      </c>
      <c r="N83" s="41">
        <f t="shared" si="55"/>
        <v>573.27249221259569</v>
      </c>
      <c r="O83" s="41">
        <f t="shared" si="55"/>
        <v>627.46929410611438</v>
      </c>
      <c r="P83" s="41">
        <f t="shared" si="55"/>
        <v>690.31840869437553</v>
      </c>
      <c r="Q83" s="41">
        <f t="shared" si="55"/>
        <v>724.40375945821461</v>
      </c>
    </row>
    <row r="85" spans="2:17">
      <c r="B85" s="33" t="s">
        <v>160</v>
      </c>
      <c r="C85" s="32"/>
      <c r="D85" s="31"/>
      <c r="E85" s="30" t="s">
        <v>23</v>
      </c>
      <c r="F85" s="30"/>
      <c r="G85" s="29"/>
      <c r="H85" s="29" t="s">
        <v>22</v>
      </c>
      <c r="I85" s="30"/>
      <c r="J85" s="30"/>
      <c r="K85" s="30"/>
      <c r="L85" s="30"/>
      <c r="M85" s="30"/>
      <c r="N85" s="30"/>
      <c r="O85" s="30"/>
      <c r="P85" s="30"/>
      <c r="Q85" s="29"/>
    </row>
    <row r="86" spans="2:17">
      <c r="B86" s="33" t="s">
        <v>56</v>
      </c>
      <c r="C86" s="32"/>
      <c r="D86" s="104" t="s">
        <v>20</v>
      </c>
      <c r="E86" s="105">
        <f>DATE(2020,12,31)</f>
        <v>44196</v>
      </c>
      <c r="F86" s="105">
        <f t="shared" ref="F86:Q86" si="56">EDATE(E86,12)</f>
        <v>44561</v>
      </c>
      <c r="G86" s="105">
        <f t="shared" si="56"/>
        <v>44926</v>
      </c>
      <c r="H86" s="105">
        <f t="shared" si="56"/>
        <v>45291</v>
      </c>
      <c r="I86" s="105">
        <f t="shared" si="56"/>
        <v>45657</v>
      </c>
      <c r="J86" s="105">
        <f t="shared" si="56"/>
        <v>46022</v>
      </c>
      <c r="K86" s="105">
        <f t="shared" si="56"/>
        <v>46387</v>
      </c>
      <c r="L86" s="105">
        <f t="shared" si="56"/>
        <v>46752</v>
      </c>
      <c r="M86" s="105">
        <f t="shared" si="56"/>
        <v>47118</v>
      </c>
      <c r="N86" s="105">
        <f t="shared" si="56"/>
        <v>47483</v>
      </c>
      <c r="O86" s="105">
        <f t="shared" si="56"/>
        <v>47848</v>
      </c>
      <c r="P86" s="105">
        <f t="shared" si="56"/>
        <v>48213</v>
      </c>
      <c r="Q86" s="105">
        <f t="shared" si="56"/>
        <v>48579</v>
      </c>
    </row>
    <row r="87" spans="2:17" outlineLevel="1">
      <c r="B87" s="17" t="s">
        <v>55</v>
      </c>
      <c r="C87" s="16"/>
      <c r="D87" s="1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2:17" s="2" customFormat="1" outlineLevel="1">
      <c r="C88" s="2" t="s">
        <v>197</v>
      </c>
    </row>
    <row r="89" spans="2:17" outlineLevel="1">
      <c r="C89" s="7" t="s">
        <v>198</v>
      </c>
      <c r="D89" s="4" t="s">
        <v>0</v>
      </c>
      <c r="E89" s="43">
        <v>149.14699999999999</v>
      </c>
      <c r="F89" s="43">
        <v>265.245</v>
      </c>
      <c r="G89" s="43">
        <v>86.51</v>
      </c>
      <c r="H89" s="18">
        <f>H149+G89</f>
        <v>249.41553330091932</v>
      </c>
      <c r="I89" s="18">
        <f t="shared" ref="I89:Q89" si="57">I149+H89</f>
        <v>403.46121061268684</v>
      </c>
      <c r="J89" s="18">
        <f t="shared" si="57"/>
        <v>620.59276061940886</v>
      </c>
      <c r="K89" s="18">
        <f t="shared" si="57"/>
        <v>900.25320672224643</v>
      </c>
      <c r="L89" s="18">
        <f t="shared" si="57"/>
        <v>1237.3307190074468</v>
      </c>
      <c r="M89" s="18">
        <f t="shared" si="57"/>
        <v>1642.1871015376837</v>
      </c>
      <c r="N89" s="18">
        <f t="shared" si="57"/>
        <v>2122.5836414175697</v>
      </c>
      <c r="O89" s="18">
        <f t="shared" si="57"/>
        <v>2651.0890513751187</v>
      </c>
      <c r="P89" s="18">
        <f t="shared" si="57"/>
        <v>3233.2423463263276</v>
      </c>
      <c r="Q89" s="18">
        <f t="shared" si="57"/>
        <v>3835.9062227546774</v>
      </c>
    </row>
    <row r="90" spans="2:17" outlineLevel="1">
      <c r="C90" s="7" t="s">
        <v>199</v>
      </c>
      <c r="D90" s="4" t="s">
        <v>0</v>
      </c>
      <c r="E90" s="6">
        <v>6.202</v>
      </c>
      <c r="F90" s="6">
        <v>8.1470000000000002</v>
      </c>
      <c r="G90" s="6">
        <v>18.184000000000001</v>
      </c>
      <c r="H90" s="18">
        <f t="shared" ref="H90:Q90" si="58">H41*H71</f>
        <v>19.241644782277245</v>
      </c>
      <c r="I90" s="18">
        <f t="shared" si="58"/>
        <v>23.2802458075967</v>
      </c>
      <c r="J90" s="18">
        <f t="shared" si="58"/>
        <v>27.576774810642178</v>
      </c>
      <c r="K90" s="18">
        <f t="shared" si="58"/>
        <v>30.262665897138135</v>
      </c>
      <c r="L90" s="18">
        <f t="shared" si="58"/>
        <v>33.285884908525681</v>
      </c>
      <c r="M90" s="18">
        <f t="shared" si="58"/>
        <v>36.610932347792236</v>
      </c>
      <c r="N90" s="18">
        <f t="shared" si="58"/>
        <v>39.83635548763273</v>
      </c>
      <c r="O90" s="18">
        <f t="shared" si="58"/>
        <v>42.826388088779126</v>
      </c>
      <c r="P90" s="18">
        <f t="shared" si="58"/>
        <v>45.930369212093531</v>
      </c>
      <c r="Q90" s="18">
        <f t="shared" si="58"/>
        <v>48.902287948485785</v>
      </c>
    </row>
    <row r="91" spans="2:17" outlineLevel="1">
      <c r="C91" s="7" t="s">
        <v>200</v>
      </c>
      <c r="D91" s="4" t="s">
        <v>0</v>
      </c>
      <c r="E91" s="6">
        <v>171.821</v>
      </c>
      <c r="F91" s="6">
        <v>208.125</v>
      </c>
      <c r="G91" s="6">
        <v>467.63400000000001</v>
      </c>
      <c r="H91" s="18">
        <f t="shared" ref="H91:Q91" si="59">H42*-H72</f>
        <v>505.16802625225483</v>
      </c>
      <c r="I91" s="18">
        <f t="shared" si="59"/>
        <v>605.59776292479114</v>
      </c>
      <c r="J91" s="18">
        <f t="shared" si="59"/>
        <v>710.73235219241542</v>
      </c>
      <c r="K91" s="18">
        <f t="shared" si="59"/>
        <v>772.67681873769243</v>
      </c>
      <c r="L91" s="18">
        <f t="shared" si="59"/>
        <v>841.86093099285847</v>
      </c>
      <c r="M91" s="18">
        <f t="shared" si="59"/>
        <v>917.15198251705897</v>
      </c>
      <c r="N91" s="18">
        <f t="shared" si="59"/>
        <v>988.37182731970756</v>
      </c>
      <c r="O91" s="18">
        <f t="shared" si="59"/>
        <v>1052.2565337383624</v>
      </c>
      <c r="P91" s="18">
        <f t="shared" si="59"/>
        <v>1115.7416623472052</v>
      </c>
      <c r="Q91" s="18">
        <f t="shared" si="59"/>
        <v>1187.9355856311925</v>
      </c>
    </row>
    <row r="92" spans="2:17" outlineLevel="1">
      <c r="C92" s="12" t="s">
        <v>201</v>
      </c>
      <c r="D92" s="4" t="s">
        <v>0</v>
      </c>
      <c r="E92" s="9">
        <v>28.170999999999999</v>
      </c>
      <c r="F92" s="9">
        <v>40.018999999999998</v>
      </c>
      <c r="G92" s="9">
        <v>39.520000000000003</v>
      </c>
      <c r="H92" s="39">
        <f t="shared" ref="H92:Q92" si="60">H71*H43</f>
        <v>71.24576441098398</v>
      </c>
      <c r="I92" s="39">
        <f t="shared" si="60"/>
        <v>86.199434975825113</v>
      </c>
      <c r="J92" s="39">
        <f t="shared" si="60"/>
        <v>102.10813179460662</v>
      </c>
      <c r="K92" s="39">
        <f t="shared" si="60"/>
        <v>112.05314251210545</v>
      </c>
      <c r="L92" s="39">
        <f t="shared" si="60"/>
        <v>123.24717253840103</v>
      </c>
      <c r="M92" s="39">
        <f t="shared" si="60"/>
        <v>135.55877839090726</v>
      </c>
      <c r="N92" s="39">
        <f t="shared" si="60"/>
        <v>147.5015067671462</v>
      </c>
      <c r="O92" s="39">
        <f t="shared" si="60"/>
        <v>158.57265794433914</v>
      </c>
      <c r="P92" s="39">
        <f t="shared" si="60"/>
        <v>170.06572469357508</v>
      </c>
      <c r="Q92" s="39">
        <f t="shared" si="60"/>
        <v>181.06980592142386</v>
      </c>
    </row>
    <row r="93" spans="2:17" s="2" customFormat="1" outlineLevel="1">
      <c r="C93" s="2" t="s">
        <v>202</v>
      </c>
      <c r="D93" s="4" t="s">
        <v>0</v>
      </c>
      <c r="E93" s="41">
        <f>SUM(E89:E92)</f>
        <v>355.34099999999995</v>
      </c>
      <c r="F93" s="41">
        <f>SUM(F89:F92)</f>
        <v>521.53599999999994</v>
      </c>
      <c r="G93" s="41">
        <f>SUM(G89:G92)</f>
        <v>611.84799999999996</v>
      </c>
      <c r="H93" s="41">
        <f>SUM(H89:H92)</f>
        <v>845.07096874643537</v>
      </c>
      <c r="I93" s="41">
        <f t="shared" ref="I93:Q93" si="61">SUM(I89:I92)</f>
        <v>1118.5386543208999</v>
      </c>
      <c r="J93" s="41">
        <f t="shared" si="61"/>
        <v>1461.010019417073</v>
      </c>
      <c r="K93" s="41">
        <f t="shared" si="61"/>
        <v>1815.2458338691824</v>
      </c>
      <c r="L93" s="41">
        <f t="shared" si="61"/>
        <v>2235.724707447232</v>
      </c>
      <c r="M93" s="41">
        <f t="shared" si="61"/>
        <v>2731.5087947934421</v>
      </c>
      <c r="N93" s="41">
        <f t="shared" si="61"/>
        <v>3298.2933309920559</v>
      </c>
      <c r="O93" s="41">
        <f t="shared" si="61"/>
        <v>3904.7446311465992</v>
      </c>
      <c r="P93" s="41">
        <f t="shared" si="61"/>
        <v>4564.9801025792012</v>
      </c>
      <c r="Q93" s="41">
        <f t="shared" si="61"/>
        <v>5253.8139022557798</v>
      </c>
    </row>
    <row r="94" spans="2:17" outlineLevel="1">
      <c r="E94" s="18"/>
      <c r="F94" s="18"/>
      <c r="G94" s="18"/>
    </row>
    <row r="95" spans="2:17" s="2" customFormat="1" outlineLevel="1">
      <c r="C95" s="2" t="s">
        <v>48</v>
      </c>
      <c r="E95" s="18"/>
      <c r="F95" s="18"/>
      <c r="G95" s="18"/>
    </row>
    <row r="96" spans="2:17" outlineLevel="1">
      <c r="C96" s="7" t="s">
        <v>47</v>
      </c>
      <c r="D96" s="4" t="s">
        <v>0</v>
      </c>
      <c r="E96" s="6">
        <v>189.56800000000001</v>
      </c>
      <c r="F96" s="6">
        <v>223.19</v>
      </c>
      <c r="G96" s="6">
        <v>308.608</v>
      </c>
      <c r="H96" s="18">
        <f>G96-H130-H138</f>
        <v>407.48516783132106</v>
      </c>
      <c r="I96" s="18">
        <f t="shared" ref="I96:Q96" si="62">H96-I130-I138</f>
        <v>527.11552157282279</v>
      </c>
      <c r="J96" s="18">
        <f t="shared" si="62"/>
        <v>655.014321989721</v>
      </c>
      <c r="K96" s="18">
        <f t="shared" si="62"/>
        <v>775.88477877991511</v>
      </c>
      <c r="L96" s="18">
        <f t="shared" si="62"/>
        <v>887.3982585944475</v>
      </c>
      <c r="M96" s="18">
        <f t="shared" si="62"/>
        <v>986.47846770051876</v>
      </c>
      <c r="N96" s="18">
        <f t="shared" si="62"/>
        <v>1068.6381279107845</v>
      </c>
      <c r="O96" s="18">
        <f t="shared" si="62"/>
        <v>1160.0283755512171</v>
      </c>
      <c r="P96" s="18">
        <f t="shared" si="62"/>
        <v>1261.3283472951819</v>
      </c>
      <c r="Q96" s="18">
        <f t="shared" si="62"/>
        <v>1370.5823349427878</v>
      </c>
    </row>
    <row r="97" spans="2:17" outlineLevel="1">
      <c r="C97" s="7" t="s">
        <v>203</v>
      </c>
      <c r="D97" s="4" t="s">
        <v>0</v>
      </c>
      <c r="E97" s="6">
        <v>62.048999999999999</v>
      </c>
      <c r="F97" s="6">
        <v>87.397999999999996</v>
      </c>
      <c r="G97" s="6">
        <v>86.382000000000005</v>
      </c>
      <c r="H97" s="18">
        <f>G97-H139</f>
        <v>89.203000000000003</v>
      </c>
      <c r="I97" s="18">
        <f t="shared" ref="I97:Q97" si="63">H97-I139</f>
        <v>92.024000000000001</v>
      </c>
      <c r="J97" s="18">
        <f t="shared" si="63"/>
        <v>94.844999999999999</v>
      </c>
      <c r="K97" s="18">
        <f t="shared" si="63"/>
        <v>97.665999999999997</v>
      </c>
      <c r="L97" s="18">
        <f t="shared" si="63"/>
        <v>100.48699999999999</v>
      </c>
      <c r="M97" s="18">
        <f t="shared" si="63"/>
        <v>103.30799999999999</v>
      </c>
      <c r="N97" s="18">
        <f t="shared" si="63"/>
        <v>106.12899999999999</v>
      </c>
      <c r="O97" s="18">
        <f t="shared" si="63"/>
        <v>108.94999999999999</v>
      </c>
      <c r="P97" s="18">
        <f t="shared" si="63"/>
        <v>111.77099999999999</v>
      </c>
      <c r="Q97" s="18">
        <f t="shared" si="63"/>
        <v>114.59199999999998</v>
      </c>
    </row>
    <row r="98" spans="2:17" outlineLevel="1">
      <c r="C98" s="7" t="s">
        <v>45</v>
      </c>
      <c r="D98" s="4" t="s">
        <v>0</v>
      </c>
      <c r="E98" s="6">
        <v>151.68199999999999</v>
      </c>
      <c r="F98" s="6">
        <v>198.846</v>
      </c>
      <c r="G98" s="6">
        <v>198.846</v>
      </c>
      <c r="H98" s="5">
        <f>G98</f>
        <v>198.846</v>
      </c>
      <c r="I98" s="5">
        <f t="shared" ref="I98:Q98" si="64">H98</f>
        <v>198.846</v>
      </c>
      <c r="J98" s="5">
        <f t="shared" si="64"/>
        <v>198.846</v>
      </c>
      <c r="K98" s="5">
        <f t="shared" si="64"/>
        <v>198.846</v>
      </c>
      <c r="L98" s="5">
        <f t="shared" si="64"/>
        <v>198.846</v>
      </c>
      <c r="M98" s="5">
        <f t="shared" si="64"/>
        <v>198.846</v>
      </c>
      <c r="N98" s="5">
        <f t="shared" si="64"/>
        <v>198.846</v>
      </c>
      <c r="O98" s="5">
        <f t="shared" si="64"/>
        <v>198.846</v>
      </c>
      <c r="P98" s="5">
        <f t="shared" si="64"/>
        <v>198.846</v>
      </c>
      <c r="Q98" s="5">
        <f t="shared" si="64"/>
        <v>198.846</v>
      </c>
    </row>
    <row r="99" spans="2:17" outlineLevel="1">
      <c r="C99" s="7" t="s">
        <v>204</v>
      </c>
      <c r="D99" s="4" t="s">
        <v>0</v>
      </c>
      <c r="E99" s="6">
        <v>363.41699999999997</v>
      </c>
      <c r="F99" s="6">
        <v>362.887</v>
      </c>
      <c r="G99" s="6">
        <v>614.06100000000004</v>
      </c>
      <c r="H99" s="18">
        <f t="shared" ref="H99:Q99" si="65">G99+H65+H61</f>
        <v>714.51262213588689</v>
      </c>
      <c r="I99" s="18">
        <f t="shared" si="65"/>
        <v>846.59258954485892</v>
      </c>
      <c r="J99" s="18">
        <f t="shared" si="65"/>
        <v>1008.0037637633516</v>
      </c>
      <c r="K99" s="18">
        <f t="shared" si="65"/>
        <v>1174.2506499414899</v>
      </c>
      <c r="L99" s="18">
        <f t="shared" si="65"/>
        <v>1348.5836749109365</v>
      </c>
      <c r="M99" s="18">
        <f t="shared" si="65"/>
        <v>1533.2675060045294</v>
      </c>
      <c r="N99" s="18">
        <f t="shared" si="65"/>
        <v>1725.3253221307079</v>
      </c>
      <c r="O99" s="18">
        <f t="shared" si="65"/>
        <v>1920.6485442318244</v>
      </c>
      <c r="P99" s="18">
        <f t="shared" si="65"/>
        <v>2120.0557324526771</v>
      </c>
      <c r="Q99" s="18">
        <f t="shared" si="65"/>
        <v>2321.2509211366678</v>
      </c>
    </row>
    <row r="100" spans="2:17" outlineLevel="1">
      <c r="C100" s="12" t="s">
        <v>205</v>
      </c>
      <c r="D100" s="4" t="s">
        <v>0</v>
      </c>
      <c r="E100" s="9">
        <v>2.8860000000000001</v>
      </c>
      <c r="F100" s="9">
        <v>4.2709999999999999</v>
      </c>
      <c r="G100" s="9">
        <v>3.83</v>
      </c>
      <c r="H100" s="39">
        <f>G100</f>
        <v>3.83</v>
      </c>
      <c r="I100" s="39">
        <f t="shared" ref="I100:Q100" si="66">H100</f>
        <v>3.83</v>
      </c>
      <c r="J100" s="39">
        <f t="shared" si="66"/>
        <v>3.83</v>
      </c>
      <c r="K100" s="39">
        <f t="shared" si="66"/>
        <v>3.83</v>
      </c>
      <c r="L100" s="39">
        <f t="shared" si="66"/>
        <v>3.83</v>
      </c>
      <c r="M100" s="39">
        <f t="shared" si="66"/>
        <v>3.83</v>
      </c>
      <c r="N100" s="39">
        <f t="shared" si="66"/>
        <v>3.83</v>
      </c>
      <c r="O100" s="39">
        <f t="shared" si="66"/>
        <v>3.83</v>
      </c>
      <c r="P100" s="39">
        <f t="shared" si="66"/>
        <v>3.83</v>
      </c>
      <c r="Q100" s="39">
        <f t="shared" si="66"/>
        <v>3.83</v>
      </c>
    </row>
    <row r="101" spans="2:17" s="2" customFormat="1" outlineLevel="1">
      <c r="C101" s="2" t="s">
        <v>42</v>
      </c>
      <c r="D101" s="4" t="s">
        <v>0</v>
      </c>
      <c r="E101" s="41">
        <f>SUM(E96:E100)</f>
        <v>769.60199999999986</v>
      </c>
      <c r="F101" s="41">
        <f>SUM(F96:F100)</f>
        <v>876.59199999999987</v>
      </c>
      <c r="G101" s="41">
        <f>SUM(G96:G100)</f>
        <v>1211.7269999999999</v>
      </c>
      <c r="H101" s="41">
        <f t="shared" ref="H101:Q101" si="67">SUM(H96:H100)</f>
        <v>1413.876789967208</v>
      </c>
      <c r="I101" s="41">
        <f t="shared" si="67"/>
        <v>1668.4081111176815</v>
      </c>
      <c r="J101" s="41">
        <f t="shared" si="67"/>
        <v>1960.5390857530724</v>
      </c>
      <c r="K101" s="41">
        <f t="shared" si="67"/>
        <v>2250.477428721405</v>
      </c>
      <c r="L101" s="41">
        <f t="shared" si="67"/>
        <v>2539.144933505384</v>
      </c>
      <c r="M101" s="41">
        <f t="shared" si="67"/>
        <v>2825.729973705048</v>
      </c>
      <c r="N101" s="41">
        <f t="shared" si="67"/>
        <v>3102.7684500414925</v>
      </c>
      <c r="O101" s="41">
        <f t="shared" si="67"/>
        <v>3392.3029197830415</v>
      </c>
      <c r="P101" s="41">
        <f t="shared" si="67"/>
        <v>3695.8310797478589</v>
      </c>
      <c r="Q101" s="41">
        <f t="shared" si="67"/>
        <v>4009.1012560794557</v>
      </c>
    </row>
    <row r="102" spans="2:17" outlineLevel="1">
      <c r="E102" s="18"/>
      <c r="F102" s="18"/>
      <c r="G102" s="18"/>
    </row>
    <row r="103" spans="2:17" s="3" customFormat="1" outlineLevel="1">
      <c r="C103" s="3" t="s">
        <v>41</v>
      </c>
      <c r="D103" s="4" t="s">
        <v>0</v>
      </c>
      <c r="E103" s="3">
        <f>E101+E93</f>
        <v>1124.9429999999998</v>
      </c>
      <c r="F103" s="3">
        <f>F101+F93</f>
        <v>1398.1279999999997</v>
      </c>
      <c r="G103" s="3">
        <f>G101+G93</f>
        <v>1823.5749999999998</v>
      </c>
      <c r="H103" s="3">
        <f t="shared" ref="H103:Q103" si="68">H101+H93</f>
        <v>2258.9477587136435</v>
      </c>
      <c r="I103" s="3">
        <f t="shared" si="68"/>
        <v>2786.9467654385817</v>
      </c>
      <c r="J103" s="3">
        <f t="shared" si="68"/>
        <v>3421.5491051701456</v>
      </c>
      <c r="K103" s="3">
        <f t="shared" si="68"/>
        <v>4065.7232625905872</v>
      </c>
      <c r="L103" s="3">
        <f t="shared" si="68"/>
        <v>4774.8696409526165</v>
      </c>
      <c r="M103" s="3">
        <f t="shared" si="68"/>
        <v>5557.2387684984897</v>
      </c>
      <c r="N103" s="3">
        <f t="shared" si="68"/>
        <v>6401.061781033548</v>
      </c>
      <c r="O103" s="3">
        <f t="shared" si="68"/>
        <v>7297.0475509296411</v>
      </c>
      <c r="P103" s="3">
        <f t="shared" si="68"/>
        <v>8260.8111823270592</v>
      </c>
      <c r="Q103" s="3">
        <f t="shared" si="68"/>
        <v>9262.9151583352359</v>
      </c>
    </row>
    <row r="104" spans="2:17" outlineLevel="1"/>
    <row r="105" spans="2:17" outlineLevel="1">
      <c r="B105" s="17" t="s">
        <v>206</v>
      </c>
      <c r="C105" s="16"/>
      <c r="D105" s="1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2:17" s="2" customFormat="1" outlineLevel="1">
      <c r="C106" s="2" t="s">
        <v>207</v>
      </c>
      <c r="G106" s="111"/>
    </row>
    <row r="107" spans="2:17" outlineLevel="1">
      <c r="C107" s="7" t="s">
        <v>38</v>
      </c>
      <c r="D107" s="4" t="s">
        <v>0</v>
      </c>
      <c r="E107" s="43">
        <v>131.893</v>
      </c>
      <c r="F107" s="43">
        <v>179.34399999999999</v>
      </c>
      <c r="G107" s="43">
        <v>221.71199999999999</v>
      </c>
      <c r="H107" s="44">
        <f t="shared" ref="H107:Q107" si="69">-H72*H45</f>
        <v>278.69888856628563</v>
      </c>
      <c r="I107" s="44">
        <f t="shared" si="69"/>
        <v>334.10551474825235</v>
      </c>
      <c r="J107" s="44">
        <f t="shared" si="69"/>
        <v>392.10778657875107</v>
      </c>
      <c r="K107" s="44">
        <f t="shared" si="69"/>
        <v>426.28226533006364</v>
      </c>
      <c r="L107" s="44">
        <f t="shared" si="69"/>
        <v>464.45082349279204</v>
      </c>
      <c r="M107" s="44">
        <f t="shared" si="69"/>
        <v>505.98855210648611</v>
      </c>
      <c r="N107" s="44">
        <f t="shared" si="69"/>
        <v>545.28021460067964</v>
      </c>
      <c r="O107" s="44">
        <f t="shared" si="69"/>
        <v>580.52511481210331</v>
      </c>
      <c r="P107" s="44">
        <f t="shared" si="69"/>
        <v>615.54956977421739</v>
      </c>
      <c r="Q107" s="44">
        <f t="shared" si="69"/>
        <v>655.37862690943666</v>
      </c>
    </row>
    <row r="108" spans="2:17" outlineLevel="1">
      <c r="C108" s="7" t="s">
        <v>173</v>
      </c>
      <c r="D108" s="4" t="s">
        <v>0</v>
      </c>
      <c r="E108" s="6">
        <v>8.2870000000000008</v>
      </c>
      <c r="F108" s="6">
        <v>58.917000000000002</v>
      </c>
      <c r="G108" s="6">
        <v>0</v>
      </c>
      <c r="H108" s="18">
        <f t="shared" ref="H108:Q108" si="70">H46</f>
        <v>0</v>
      </c>
      <c r="I108" s="18">
        <f t="shared" si="70"/>
        <v>0</v>
      </c>
      <c r="J108" s="18">
        <f t="shared" si="70"/>
        <v>0</v>
      </c>
      <c r="K108" s="18">
        <f t="shared" si="70"/>
        <v>0</v>
      </c>
      <c r="L108" s="18">
        <f t="shared" si="70"/>
        <v>0</v>
      </c>
      <c r="M108" s="18">
        <f t="shared" si="70"/>
        <v>0</v>
      </c>
      <c r="N108" s="18">
        <f t="shared" si="70"/>
        <v>0</v>
      </c>
      <c r="O108" s="18">
        <f t="shared" si="70"/>
        <v>0</v>
      </c>
      <c r="P108" s="18">
        <f t="shared" si="70"/>
        <v>0</v>
      </c>
      <c r="Q108" s="18">
        <f t="shared" si="70"/>
        <v>0</v>
      </c>
    </row>
    <row r="109" spans="2:17" outlineLevel="1">
      <c r="C109" s="12" t="s">
        <v>208</v>
      </c>
      <c r="D109" s="4" t="s">
        <v>0</v>
      </c>
      <c r="E109" s="9">
        <v>37.563000000000002</v>
      </c>
      <c r="F109" s="9">
        <v>55.720999999999997</v>
      </c>
      <c r="G109" s="9">
        <v>71.653000000000006</v>
      </c>
      <c r="H109" s="39">
        <f t="shared" ref="H109:Q109" si="71">H71*H47</f>
        <v>104.37126883530331</v>
      </c>
      <c r="I109" s="39">
        <f t="shared" si="71"/>
        <v>126.27760366798815</v>
      </c>
      <c r="J109" s="39">
        <f t="shared" si="71"/>
        <v>149.58300134628709</v>
      </c>
      <c r="K109" s="39">
        <f t="shared" si="71"/>
        <v>164.15191496167697</v>
      </c>
      <c r="L109" s="39">
        <f t="shared" si="71"/>
        <v>180.55057566640835</v>
      </c>
      <c r="M109" s="39">
        <f t="shared" si="71"/>
        <v>198.58642572499957</v>
      </c>
      <c r="N109" s="39">
        <f t="shared" si="71"/>
        <v>216.08188983137202</v>
      </c>
      <c r="O109" s="39">
        <f t="shared" si="71"/>
        <v>232.30053953474928</v>
      </c>
      <c r="P109" s="39">
        <f t="shared" si="71"/>
        <v>249.13727318963663</v>
      </c>
      <c r="Q109" s="39">
        <f t="shared" si="71"/>
        <v>265.25766897193319</v>
      </c>
    </row>
    <row r="110" spans="2:17" s="2" customFormat="1" outlineLevel="1">
      <c r="C110" s="2" t="s">
        <v>209</v>
      </c>
      <c r="D110" s="4" t="s">
        <v>0</v>
      </c>
      <c r="E110" s="41">
        <f>SUM(E107:E109)</f>
        <v>177.74299999999999</v>
      </c>
      <c r="F110" s="41">
        <f>SUM(F107:F109)</f>
        <v>293.98199999999997</v>
      </c>
      <c r="G110" s="41">
        <f>SUM(G107:G109)</f>
        <v>293.36500000000001</v>
      </c>
      <c r="H110" s="41">
        <f>SUM(H107:H109)</f>
        <v>383.07015740158897</v>
      </c>
      <c r="I110" s="41">
        <f t="shared" ref="I110:Q110" si="72">SUM(I107:I109)</f>
        <v>460.38311841624051</v>
      </c>
      <c r="J110" s="41">
        <f t="shared" si="72"/>
        <v>541.69078792503819</v>
      </c>
      <c r="K110" s="41">
        <f t="shared" si="72"/>
        <v>590.43418029174063</v>
      </c>
      <c r="L110" s="41">
        <f t="shared" si="72"/>
        <v>645.00139915920045</v>
      </c>
      <c r="M110" s="41">
        <f t="shared" si="72"/>
        <v>704.57497783148574</v>
      </c>
      <c r="N110" s="41">
        <f t="shared" si="72"/>
        <v>761.36210443205164</v>
      </c>
      <c r="O110" s="41">
        <f t="shared" si="72"/>
        <v>812.82565434685262</v>
      </c>
      <c r="P110" s="41">
        <f t="shared" si="72"/>
        <v>864.68684296385402</v>
      </c>
      <c r="Q110" s="41">
        <f t="shared" si="72"/>
        <v>920.63629588136985</v>
      </c>
    </row>
    <row r="111" spans="2:17" outlineLevel="1">
      <c r="E111" s="18"/>
      <c r="F111" s="18"/>
      <c r="G111" s="18"/>
    </row>
    <row r="112" spans="2:17" s="2" customFormat="1" outlineLevel="1">
      <c r="C112" s="2" t="s">
        <v>210</v>
      </c>
      <c r="E112" s="18"/>
      <c r="F112" s="18"/>
      <c r="G112" s="18"/>
    </row>
    <row r="113" spans="2:17" outlineLevel="1">
      <c r="C113" s="7" t="s">
        <v>211</v>
      </c>
      <c r="D113" s="4" t="s">
        <v>0</v>
      </c>
      <c r="E113" s="6">
        <v>494.83199999999999</v>
      </c>
      <c r="F113" s="6">
        <v>503.791</v>
      </c>
      <c r="G113" s="6">
        <v>772.00599999999997</v>
      </c>
      <c r="H113" s="18">
        <f t="shared" ref="H113:Q113" si="73">H67</f>
        <v>872.45762213588682</v>
      </c>
      <c r="I113" s="18">
        <f t="shared" si="73"/>
        <v>1004.5375895448589</v>
      </c>
      <c r="J113" s="18">
        <f t="shared" si="73"/>
        <v>1165.9487637633515</v>
      </c>
      <c r="K113" s="18">
        <f t="shared" si="73"/>
        <v>1332.1956499414898</v>
      </c>
      <c r="L113" s="18">
        <f t="shared" si="73"/>
        <v>1506.5286749109364</v>
      </c>
      <c r="M113" s="18">
        <f t="shared" si="73"/>
        <v>1691.2125060045294</v>
      </c>
      <c r="N113" s="18">
        <f t="shared" si="73"/>
        <v>1883.2703221307079</v>
      </c>
      <c r="O113" s="18">
        <f t="shared" si="73"/>
        <v>2078.5935442318241</v>
      </c>
      <c r="P113" s="18">
        <f t="shared" si="73"/>
        <v>2278.0007324526769</v>
      </c>
      <c r="Q113" s="18">
        <f t="shared" si="73"/>
        <v>2479.1959211366675</v>
      </c>
    </row>
    <row r="114" spans="2:17" outlineLevel="1">
      <c r="C114" s="7" t="s">
        <v>212</v>
      </c>
      <c r="D114" s="4" t="s">
        <v>0</v>
      </c>
      <c r="E114" s="6">
        <v>2.1909999999999989</v>
      </c>
      <c r="F114" s="6">
        <v>-1.5519999999999996</v>
      </c>
      <c r="G114" s="6">
        <v>8.7989999999999995</v>
      </c>
      <c r="H114" s="18">
        <f t="shared" ref="H114:Q114" si="74">-H82*H44</f>
        <v>12.396198421434919</v>
      </c>
      <c r="I114" s="18">
        <f t="shared" si="74"/>
        <v>16.228690479155826</v>
      </c>
      <c r="J114" s="18">
        <f t="shared" si="74"/>
        <v>20.185912583396906</v>
      </c>
      <c r="K114" s="18">
        <f t="shared" si="74"/>
        <v>22.420417835816458</v>
      </c>
      <c r="L114" s="18">
        <f t="shared" si="74"/>
        <v>25.147389008715628</v>
      </c>
      <c r="M114" s="18">
        <f t="shared" si="74"/>
        <v>28.295506473841908</v>
      </c>
      <c r="N114" s="18">
        <f t="shared" si="74"/>
        <v>31.430044746286335</v>
      </c>
      <c r="O114" s="18">
        <f t="shared" si="74"/>
        <v>34.401420369150173</v>
      </c>
      <c r="P114" s="18">
        <f t="shared" si="74"/>
        <v>37.847164776228716</v>
      </c>
      <c r="Q114" s="18">
        <f t="shared" si="74"/>
        <v>39.715916747155376</v>
      </c>
    </row>
    <row r="115" spans="2:17" outlineLevel="1">
      <c r="C115" s="7" t="s">
        <v>175</v>
      </c>
      <c r="D115" s="4" t="s">
        <v>0</v>
      </c>
      <c r="E115" s="6">
        <v>74.855000000000004</v>
      </c>
      <c r="F115" s="6">
        <v>0</v>
      </c>
      <c r="G115" s="6">
        <v>0</v>
      </c>
      <c r="H115" s="18">
        <f t="shared" ref="H115:Q115" si="75">H48</f>
        <v>0</v>
      </c>
      <c r="I115" s="18">
        <f t="shared" si="75"/>
        <v>0</v>
      </c>
      <c r="J115" s="18">
        <f t="shared" si="75"/>
        <v>0</v>
      </c>
      <c r="K115" s="18">
        <f t="shared" si="75"/>
        <v>0</v>
      </c>
      <c r="L115" s="18">
        <f t="shared" si="75"/>
        <v>0</v>
      </c>
      <c r="M115" s="18">
        <f t="shared" si="75"/>
        <v>0</v>
      </c>
      <c r="N115" s="18">
        <f t="shared" si="75"/>
        <v>0</v>
      </c>
      <c r="O115" s="18">
        <f t="shared" si="75"/>
        <v>0</v>
      </c>
      <c r="P115" s="18">
        <f t="shared" si="75"/>
        <v>0</v>
      </c>
      <c r="Q115" s="18">
        <f t="shared" si="75"/>
        <v>0</v>
      </c>
    </row>
    <row r="116" spans="2:17" outlineLevel="1">
      <c r="C116" s="12" t="s">
        <v>213</v>
      </c>
      <c r="D116" s="4" t="s">
        <v>0</v>
      </c>
      <c r="E116" s="9">
        <v>15.058999999999999</v>
      </c>
      <c r="F116" s="9">
        <v>71.096000000000004</v>
      </c>
      <c r="G116" s="9">
        <v>63.618000000000002</v>
      </c>
      <c r="H116" s="39">
        <f>G116+H133</f>
        <v>58.646000000000008</v>
      </c>
      <c r="I116" s="39">
        <f t="shared" ref="I116:Q116" si="76">H116+I133</f>
        <v>53.889666666666677</v>
      </c>
      <c r="J116" s="39">
        <f t="shared" si="76"/>
        <v>50.678222222222232</v>
      </c>
      <c r="K116" s="39">
        <f t="shared" si="76"/>
        <v>46.364962962962977</v>
      </c>
      <c r="L116" s="39">
        <f t="shared" si="76"/>
        <v>42.271283950617303</v>
      </c>
      <c r="M116" s="39">
        <f t="shared" si="76"/>
        <v>38.398489711934175</v>
      </c>
      <c r="N116" s="39">
        <f t="shared" si="76"/>
        <v>34.305245541838154</v>
      </c>
      <c r="O116" s="39">
        <f t="shared" si="76"/>
        <v>30.285339734796548</v>
      </c>
      <c r="P116" s="39">
        <f t="shared" si="76"/>
        <v>26.290024996189629</v>
      </c>
      <c r="Q116" s="39">
        <f t="shared" si="76"/>
        <v>22.253870090941447</v>
      </c>
    </row>
    <row r="117" spans="2:17" s="2" customFormat="1" outlineLevel="1">
      <c r="C117" s="2" t="s">
        <v>214</v>
      </c>
      <c r="D117" s="4" t="s">
        <v>0</v>
      </c>
      <c r="E117" s="41">
        <f>SUM(E113:E116)</f>
        <v>586.9369999999999</v>
      </c>
      <c r="F117" s="41">
        <f>SUM(F113:F116)</f>
        <v>573.33500000000004</v>
      </c>
      <c r="G117" s="41">
        <f>SUM(G113:G116)</f>
        <v>844.423</v>
      </c>
      <c r="H117" s="41">
        <f>SUM(H113:H116)</f>
        <v>943.49982055732175</v>
      </c>
      <c r="I117" s="41">
        <f t="shared" ref="I117:Q117" si="77">SUM(I113:I116)</f>
        <v>1074.6559466906813</v>
      </c>
      <c r="J117" s="41">
        <f t="shared" si="77"/>
        <v>1236.8128985689707</v>
      </c>
      <c r="K117" s="41">
        <f t="shared" si="77"/>
        <v>1400.981030740269</v>
      </c>
      <c r="L117" s="41">
        <f t="shared" si="77"/>
        <v>1573.9473478702694</v>
      </c>
      <c r="M117" s="41">
        <f t="shared" si="77"/>
        <v>1757.9065021903054</v>
      </c>
      <c r="N117" s="41">
        <f t="shared" si="77"/>
        <v>1949.0056124188322</v>
      </c>
      <c r="O117" s="41">
        <f t="shared" si="77"/>
        <v>2143.2803043357712</v>
      </c>
      <c r="P117" s="41">
        <f t="shared" si="77"/>
        <v>2342.1379222250948</v>
      </c>
      <c r="Q117" s="41">
        <f t="shared" si="77"/>
        <v>2541.1657079747642</v>
      </c>
    </row>
    <row r="118" spans="2:17" outlineLevel="1">
      <c r="E118" s="18"/>
      <c r="F118" s="18"/>
      <c r="G118" s="18"/>
    </row>
    <row r="119" spans="2:17" s="2" customFormat="1" outlineLevel="1">
      <c r="C119" s="2" t="s">
        <v>215</v>
      </c>
      <c r="D119" s="4" t="s">
        <v>0</v>
      </c>
      <c r="E119" s="41">
        <v>360.26299999999998</v>
      </c>
      <c r="F119" s="41">
        <v>530.81100000000004</v>
      </c>
      <c r="G119" s="41">
        <v>685.78700000000003</v>
      </c>
      <c r="H119" s="41">
        <f>G119+H128+H131+H146+H145</f>
        <v>932.37778075473238</v>
      </c>
      <c r="I119" s="41">
        <f t="shared" ref="I119:Q119" si="78">H119+I128+I131+I146+I145</f>
        <v>1251.9077003316595</v>
      </c>
      <c r="J119" s="41">
        <f t="shared" si="78"/>
        <v>1643.0454186761367</v>
      </c>
      <c r="K119" s="41">
        <f t="shared" si="78"/>
        <v>2074.3080515585775</v>
      </c>
      <c r="L119" s="41">
        <f t="shared" si="78"/>
        <v>2555.9208939231462</v>
      </c>
      <c r="M119" s="41">
        <f t="shared" si="78"/>
        <v>3094.7572884766992</v>
      </c>
      <c r="N119" s="41">
        <f t="shared" si="78"/>
        <v>3690.694064182665</v>
      </c>
      <c r="O119" s="41">
        <f t="shared" si="78"/>
        <v>4340.9415922470171</v>
      </c>
      <c r="P119" s="41">
        <f t="shared" si="78"/>
        <v>5053.9864171381105</v>
      </c>
      <c r="Q119" s="41">
        <f t="shared" si="78"/>
        <v>5801.1131544791006</v>
      </c>
    </row>
    <row r="120" spans="2:17" s="2" customFormat="1" outlineLevel="1">
      <c r="E120" s="18"/>
      <c r="F120" s="18"/>
      <c r="G120" s="18"/>
    </row>
    <row r="121" spans="2:17" s="2" customFormat="1" outlineLevel="1">
      <c r="C121" s="2" t="s">
        <v>216</v>
      </c>
      <c r="D121" s="4" t="s">
        <v>0</v>
      </c>
      <c r="E121" s="3">
        <f>E119+E117+E110</f>
        <v>1124.9429999999998</v>
      </c>
      <c r="F121" s="3">
        <f>F119+F117+F110</f>
        <v>1398.1280000000002</v>
      </c>
      <c r="G121" s="3">
        <f>G119+G117+G110</f>
        <v>1823.575</v>
      </c>
      <c r="H121" s="3">
        <f>H119+H117+H110</f>
        <v>2258.947758713643</v>
      </c>
      <c r="I121" s="3">
        <f t="shared" ref="I121:Q121" si="79">I119+I117+I110</f>
        <v>2786.9467654385812</v>
      </c>
      <c r="J121" s="3">
        <f t="shared" si="79"/>
        <v>3421.5491051701456</v>
      </c>
      <c r="K121" s="3">
        <f t="shared" si="79"/>
        <v>4065.7232625905872</v>
      </c>
      <c r="L121" s="3">
        <f t="shared" si="79"/>
        <v>4774.8696409526165</v>
      </c>
      <c r="M121" s="3">
        <f t="shared" si="79"/>
        <v>5557.2387684984906</v>
      </c>
      <c r="N121" s="3">
        <f t="shared" si="79"/>
        <v>6401.0617810335489</v>
      </c>
      <c r="O121" s="3">
        <f t="shared" si="79"/>
        <v>7297.0475509296411</v>
      </c>
      <c r="P121" s="3">
        <f t="shared" si="79"/>
        <v>8260.8111823270592</v>
      </c>
      <c r="Q121" s="3">
        <f t="shared" si="79"/>
        <v>9262.9151583352341</v>
      </c>
    </row>
    <row r="122" spans="2:17" s="2" customFormat="1" outlineLevel="1">
      <c r="E122" s="112"/>
      <c r="F122" s="112"/>
      <c r="G122" s="112"/>
    </row>
    <row r="123" spans="2:17" s="2" customFormat="1" outlineLevel="1">
      <c r="C123" s="2" t="s">
        <v>24</v>
      </c>
      <c r="E123" s="113">
        <f t="shared" ref="E123:Q123" si="80">E121-E103</f>
        <v>0</v>
      </c>
      <c r="F123" s="113">
        <f t="shared" si="80"/>
        <v>0</v>
      </c>
      <c r="G123" s="113">
        <f t="shared" si="80"/>
        <v>0</v>
      </c>
      <c r="H123" s="113">
        <f t="shared" si="80"/>
        <v>0</v>
      </c>
      <c r="I123" s="113">
        <f t="shared" si="80"/>
        <v>0</v>
      </c>
      <c r="J123" s="113">
        <f t="shared" si="80"/>
        <v>0</v>
      </c>
      <c r="K123" s="113">
        <f t="shared" si="80"/>
        <v>0</v>
      </c>
      <c r="L123" s="113">
        <f t="shared" si="80"/>
        <v>0</v>
      </c>
      <c r="M123" s="113">
        <f t="shared" si="80"/>
        <v>0</v>
      </c>
      <c r="N123" s="113">
        <f t="shared" si="80"/>
        <v>0</v>
      </c>
      <c r="O123" s="113">
        <f t="shared" si="80"/>
        <v>0</v>
      </c>
      <c r="P123" s="113">
        <f t="shared" si="80"/>
        <v>0</v>
      </c>
      <c r="Q123" s="113">
        <f t="shared" si="80"/>
        <v>0</v>
      </c>
    </row>
    <row r="125" spans="2:17">
      <c r="B125" s="33" t="s">
        <v>160</v>
      </c>
      <c r="C125" s="32"/>
      <c r="D125" s="31"/>
      <c r="E125" s="30" t="s">
        <v>23</v>
      </c>
      <c r="F125" s="30"/>
      <c r="G125" s="29"/>
      <c r="H125" s="29" t="s">
        <v>22</v>
      </c>
      <c r="I125" s="30"/>
      <c r="J125" s="30"/>
      <c r="K125" s="30"/>
      <c r="L125" s="30"/>
      <c r="M125" s="30"/>
      <c r="N125" s="30"/>
      <c r="O125" s="30"/>
      <c r="P125" s="30"/>
      <c r="Q125" s="29"/>
    </row>
    <row r="126" spans="2:17">
      <c r="B126" s="33" t="s">
        <v>21</v>
      </c>
      <c r="C126" s="32"/>
      <c r="D126" s="104" t="s">
        <v>20</v>
      </c>
      <c r="E126" s="105">
        <f>DATE(2020,12,31)</f>
        <v>44196</v>
      </c>
      <c r="F126" s="105">
        <f t="shared" ref="F126:Q126" si="81">EDATE(E126,12)</f>
        <v>44561</v>
      </c>
      <c r="G126" s="105">
        <f t="shared" si="81"/>
        <v>44926</v>
      </c>
      <c r="H126" s="105">
        <f t="shared" si="81"/>
        <v>45291</v>
      </c>
      <c r="I126" s="105">
        <f t="shared" si="81"/>
        <v>45657</v>
      </c>
      <c r="J126" s="105">
        <f t="shared" si="81"/>
        <v>46022</v>
      </c>
      <c r="K126" s="105">
        <f t="shared" si="81"/>
        <v>46387</v>
      </c>
      <c r="L126" s="105">
        <f t="shared" si="81"/>
        <v>46752</v>
      </c>
      <c r="M126" s="105">
        <f t="shared" si="81"/>
        <v>47118</v>
      </c>
      <c r="N126" s="105">
        <f t="shared" si="81"/>
        <v>47483</v>
      </c>
      <c r="O126" s="105">
        <f t="shared" si="81"/>
        <v>47848</v>
      </c>
      <c r="P126" s="105">
        <f t="shared" si="81"/>
        <v>48213</v>
      </c>
      <c r="Q126" s="105">
        <f t="shared" si="81"/>
        <v>48579</v>
      </c>
    </row>
    <row r="127" spans="2:17" outlineLevel="1">
      <c r="B127" s="17" t="s">
        <v>19</v>
      </c>
      <c r="C127" s="16"/>
      <c r="D127" s="1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2:17" s="2" customFormat="1" outlineLevel="1">
      <c r="C128" s="2" t="s">
        <v>18</v>
      </c>
      <c r="E128" s="23">
        <v>19.227</v>
      </c>
      <c r="F128" s="23">
        <v>156.917</v>
      </c>
      <c r="G128" s="23">
        <v>187.58799999999999</v>
      </c>
      <c r="H128" s="23">
        <f>H83</f>
        <v>226.10211408806566</v>
      </c>
      <c r="I128" s="23">
        <f t="shared" ref="I128:Q128" si="82">I83</f>
        <v>296.00536402137158</v>
      </c>
      <c r="J128" s="23">
        <f t="shared" si="82"/>
        <v>368.18364427040314</v>
      </c>
      <c r="K128" s="23">
        <f t="shared" si="82"/>
        <v>408.94020078367527</v>
      </c>
      <c r="L128" s="23">
        <f t="shared" si="82"/>
        <v>458.67915512177012</v>
      </c>
      <c r="M128" s="23">
        <f t="shared" si="82"/>
        <v>516.09966341500706</v>
      </c>
      <c r="N128" s="23">
        <f t="shared" si="82"/>
        <v>573.27249221259569</v>
      </c>
      <c r="O128" s="23">
        <f t="shared" si="82"/>
        <v>627.46929410611438</v>
      </c>
      <c r="P128" s="23">
        <f t="shared" si="82"/>
        <v>690.31840869437553</v>
      </c>
      <c r="Q128" s="23">
        <f t="shared" si="82"/>
        <v>724.40375945821461</v>
      </c>
    </row>
    <row r="129" spans="2:17" s="2" customFormat="1" outlineLevel="1">
      <c r="C129" s="53" t="s">
        <v>217</v>
      </c>
      <c r="E129" s="6"/>
      <c r="F129" s="6"/>
      <c r="G129" s="6"/>
    </row>
    <row r="130" spans="2:17" outlineLevel="1">
      <c r="C130" s="106" t="s">
        <v>16</v>
      </c>
      <c r="E130" s="6">
        <v>38.871000000000002</v>
      </c>
      <c r="F130" s="6">
        <v>44.569000000000003</v>
      </c>
      <c r="G130" s="6">
        <v>52.854999999999997</v>
      </c>
      <c r="H130" s="18">
        <f t="shared" ref="H130:Q130" si="83">H51*H71</f>
        <v>55.062920016</v>
      </c>
      <c r="I130" s="18">
        <f t="shared" si="83"/>
        <v>49.964997562365596</v>
      </c>
      <c r="J130" s="18">
        <f t="shared" si="83"/>
        <v>53.267742438003729</v>
      </c>
      <c r="K130" s="18">
        <f t="shared" si="83"/>
        <v>56.290821335861551</v>
      </c>
      <c r="L130" s="18">
        <f t="shared" si="83"/>
        <v>59.532918024894848</v>
      </c>
      <c r="M130" s="18">
        <f t="shared" si="83"/>
        <v>62.860681476703441</v>
      </c>
      <c r="N130" s="18">
        <f t="shared" si="83"/>
        <v>65.548761368350966</v>
      </c>
      <c r="O130" s="18">
        <f t="shared" si="83"/>
        <v>67.404855703564408</v>
      </c>
      <c r="P130" s="18">
        <f t="shared" si="83"/>
        <v>69.004320799755419</v>
      </c>
      <c r="Q130" s="18">
        <f t="shared" si="83"/>
        <v>72.069822626562342</v>
      </c>
    </row>
    <row r="131" spans="2:17" outlineLevel="1">
      <c r="C131" s="106" t="s">
        <v>13</v>
      </c>
      <c r="E131" s="114">
        <v>10.691000000000001</v>
      </c>
      <c r="F131" s="114">
        <v>26.131</v>
      </c>
      <c r="G131" s="114">
        <v>24.369</v>
      </c>
      <c r="H131" s="114">
        <f>-H77</f>
        <v>0</v>
      </c>
      <c r="I131" s="114">
        <f t="shared" ref="I131:Q131" si="84">-I77</f>
        <v>0</v>
      </c>
      <c r="J131" s="114">
        <f t="shared" si="84"/>
        <v>0</v>
      </c>
      <c r="K131" s="114">
        <f t="shared" si="84"/>
        <v>0</v>
      </c>
      <c r="L131" s="114">
        <f t="shared" si="84"/>
        <v>0</v>
      </c>
      <c r="M131" s="114">
        <f t="shared" si="84"/>
        <v>0</v>
      </c>
      <c r="N131" s="114">
        <f t="shared" si="84"/>
        <v>0</v>
      </c>
      <c r="O131" s="114">
        <f t="shared" si="84"/>
        <v>0</v>
      </c>
      <c r="P131" s="114">
        <f t="shared" si="84"/>
        <v>0</v>
      </c>
      <c r="Q131" s="114">
        <f t="shared" si="84"/>
        <v>0</v>
      </c>
    </row>
    <row r="132" spans="2:17" outlineLevel="1">
      <c r="C132" s="106" t="s">
        <v>218</v>
      </c>
      <c r="E132" s="6">
        <v>4.3040000000000003</v>
      </c>
      <c r="F132" s="6">
        <v>36.518000000000001</v>
      </c>
      <c r="G132" s="6">
        <v>-47.197000000000003</v>
      </c>
      <c r="H132" s="18">
        <f>H114-G114</f>
        <v>3.5971984214349195</v>
      </c>
      <c r="I132" s="18">
        <f t="shared" ref="I132:Q132" si="85">I114-H114</f>
        <v>3.8324920577209074</v>
      </c>
      <c r="J132" s="18">
        <f t="shared" si="85"/>
        <v>3.9572221042410796</v>
      </c>
      <c r="K132" s="18">
        <f t="shared" si="85"/>
        <v>2.2345052524195523</v>
      </c>
      <c r="L132" s="18">
        <f t="shared" si="85"/>
        <v>2.7269711728991695</v>
      </c>
      <c r="M132" s="18">
        <f t="shared" si="85"/>
        <v>3.1481174651262798</v>
      </c>
      <c r="N132" s="18">
        <f t="shared" si="85"/>
        <v>3.1345382724444271</v>
      </c>
      <c r="O132" s="18">
        <f t="shared" si="85"/>
        <v>2.9713756228638388</v>
      </c>
      <c r="P132" s="18">
        <f t="shared" si="85"/>
        <v>3.4457444070785428</v>
      </c>
      <c r="Q132" s="18">
        <f t="shared" si="85"/>
        <v>1.8687519709266596</v>
      </c>
    </row>
    <row r="133" spans="2:17" outlineLevel="1">
      <c r="C133" s="106" t="s">
        <v>4</v>
      </c>
      <c r="E133" s="6">
        <v>-5.6189999999999962</v>
      </c>
      <c r="F133" s="6">
        <v>-9.3909999999999894</v>
      </c>
      <c r="G133" s="6">
        <v>9.3999999999996753E-2</v>
      </c>
      <c r="H133" s="5">
        <f>AVERAGE(E133:G133)</f>
        <v>-4.9719999999999969</v>
      </c>
      <c r="I133" s="5">
        <f t="shared" ref="I133:Q133" si="86">AVERAGE(F133:H133)</f>
        <v>-4.7563333333333304</v>
      </c>
      <c r="J133" s="5">
        <f t="shared" si="86"/>
        <v>-3.2114444444444437</v>
      </c>
      <c r="K133" s="5">
        <f t="shared" si="86"/>
        <v>-4.3132592592592571</v>
      </c>
      <c r="L133" s="5">
        <f t="shared" si="86"/>
        <v>-4.0936790123456772</v>
      </c>
      <c r="M133" s="5">
        <f t="shared" si="86"/>
        <v>-3.872794238683126</v>
      </c>
      <c r="N133" s="5">
        <f t="shared" si="86"/>
        <v>-4.0932441700960203</v>
      </c>
      <c r="O133" s="5">
        <f t="shared" si="86"/>
        <v>-4.0199058070416074</v>
      </c>
      <c r="P133" s="5">
        <f t="shared" si="86"/>
        <v>-3.9953147386069183</v>
      </c>
      <c r="Q133" s="5">
        <f t="shared" si="86"/>
        <v>-4.036154905248182</v>
      </c>
    </row>
    <row r="134" spans="2:17" s="2" customFormat="1" outlineLevel="1">
      <c r="C134" s="115" t="s">
        <v>87</v>
      </c>
      <c r="D134" s="22"/>
      <c r="E134" s="21">
        <v>3.9129999999999998</v>
      </c>
      <c r="F134" s="21">
        <v>18.722999999999999</v>
      </c>
      <c r="G134" s="21">
        <v>-228.95599999999999</v>
      </c>
      <c r="H134" s="20">
        <f t="shared" ref="H134:Q134" si="87">H54</f>
        <v>19.387721956073051</v>
      </c>
      <c r="I134" s="20">
        <f t="shared" si="87"/>
        <v>-42.109047248045442</v>
      </c>
      <c r="J134" s="20">
        <f t="shared" si="87"/>
        <v>-44.032145580653548</v>
      </c>
      <c r="K134" s="20">
        <f t="shared" si="87"/>
        <v>-25.831975982569361</v>
      </c>
      <c r="L134" s="20">
        <f t="shared" si="87"/>
        <v>-28.834142425389359</v>
      </c>
      <c r="M134" s="20">
        <f t="shared" si="87"/>
        <v>-31.354126143687949</v>
      </c>
      <c r="N134" s="20">
        <f t="shared" si="87"/>
        <v>-29.60086971816213</v>
      </c>
      <c r="O134" s="20">
        <f t="shared" si="87"/>
        <v>-26.482340282193263</v>
      </c>
      <c r="P134" s="20">
        <f t="shared" si="87"/>
        <v>-26.220987864391759</v>
      </c>
      <c r="Q134" s="20">
        <f t="shared" si="87"/>
        <v>-30.220470330712487</v>
      </c>
    </row>
    <row r="135" spans="2:17" s="2" customFormat="1" outlineLevel="1">
      <c r="C135" s="2" t="s">
        <v>219</v>
      </c>
      <c r="E135" s="3">
        <f>SUM(E128:E134)</f>
        <v>71.387</v>
      </c>
      <c r="F135" s="3">
        <f>SUM(F128:F134)</f>
        <v>273.46699999999998</v>
      </c>
      <c r="G135" s="3">
        <f>SUM(G128:G134)</f>
        <v>-11.246999999999986</v>
      </c>
      <c r="H135" s="3">
        <f>SUM(H128:H134)</f>
        <v>299.17795448157369</v>
      </c>
      <c r="I135" s="3">
        <f t="shared" ref="I135:Q135" si="88">SUM(I128:I134)</f>
        <v>302.9374730600793</v>
      </c>
      <c r="J135" s="3">
        <f t="shared" si="88"/>
        <v>378.16501878754991</v>
      </c>
      <c r="K135" s="3">
        <f t="shared" si="88"/>
        <v>437.32029213012771</v>
      </c>
      <c r="L135" s="3">
        <f t="shared" si="88"/>
        <v>488.0112228818291</v>
      </c>
      <c r="M135" s="3">
        <f t="shared" si="88"/>
        <v>546.88154197446568</v>
      </c>
      <c r="N135" s="3">
        <f t="shared" si="88"/>
        <v>608.26167796513289</v>
      </c>
      <c r="O135" s="3">
        <f t="shared" si="88"/>
        <v>667.34327934330781</v>
      </c>
      <c r="P135" s="3">
        <f t="shared" si="88"/>
        <v>732.55217129821085</v>
      </c>
      <c r="Q135" s="3">
        <f t="shared" si="88"/>
        <v>764.08570881974288</v>
      </c>
    </row>
    <row r="136" spans="2:17" outlineLevel="1">
      <c r="E136" s="116"/>
      <c r="F136" s="116"/>
      <c r="G136" s="116"/>
      <c r="H136" s="18"/>
      <c r="I136" s="18"/>
      <c r="J136" s="18"/>
    </row>
    <row r="137" spans="2:17" outlineLevel="1">
      <c r="B137" s="17" t="s">
        <v>19</v>
      </c>
      <c r="C137" s="16"/>
      <c r="D137" s="1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2:17" outlineLevel="1">
      <c r="C138" s="7" t="s">
        <v>220</v>
      </c>
      <c r="E138" s="6">
        <v>-50.255000000000003</v>
      </c>
      <c r="F138" s="6">
        <v>-65.427000000000007</v>
      </c>
      <c r="G138" s="6">
        <v>-122.767</v>
      </c>
      <c r="H138" s="18">
        <f t="shared" ref="H138:Q138" si="89">-H71*H55</f>
        <v>-153.94008784732105</v>
      </c>
      <c r="I138" s="18">
        <f t="shared" si="89"/>
        <v>-169.59535130386732</v>
      </c>
      <c r="J138" s="18">
        <f t="shared" si="89"/>
        <v>-181.16654285490193</v>
      </c>
      <c r="K138" s="18">
        <f t="shared" si="89"/>
        <v>-177.16127812605563</v>
      </c>
      <c r="L138" s="18">
        <f t="shared" si="89"/>
        <v>-171.04639783942716</v>
      </c>
      <c r="M138" s="18">
        <f t="shared" si="89"/>
        <v>-161.94089058277473</v>
      </c>
      <c r="N138" s="18">
        <f t="shared" si="89"/>
        <v>-147.70842157861674</v>
      </c>
      <c r="O138" s="18">
        <f t="shared" si="89"/>
        <v>-158.79510334399689</v>
      </c>
      <c r="P138" s="18">
        <f t="shared" si="89"/>
        <v>-170.30429254372001</v>
      </c>
      <c r="Q138" s="18">
        <f t="shared" si="89"/>
        <v>-181.32381027416847</v>
      </c>
    </row>
    <row r="139" spans="2:17" outlineLevel="1">
      <c r="C139" s="7" t="s">
        <v>221</v>
      </c>
      <c r="E139" s="6">
        <v>-0.59299999999999997</v>
      </c>
      <c r="F139" s="6">
        <v>-1.5940000000000001</v>
      </c>
      <c r="G139" s="6">
        <v>-2.8210000000000002</v>
      </c>
      <c r="H139" s="5">
        <f>G139</f>
        <v>-2.8210000000000002</v>
      </c>
      <c r="I139" s="5">
        <f t="shared" ref="I139:Q139" si="90">H139</f>
        <v>-2.8210000000000002</v>
      </c>
      <c r="J139" s="5">
        <f t="shared" si="90"/>
        <v>-2.8210000000000002</v>
      </c>
      <c r="K139" s="5">
        <f t="shared" si="90"/>
        <v>-2.8210000000000002</v>
      </c>
      <c r="L139" s="5">
        <f t="shared" si="90"/>
        <v>-2.8210000000000002</v>
      </c>
      <c r="M139" s="5">
        <f t="shared" si="90"/>
        <v>-2.8210000000000002</v>
      </c>
      <c r="N139" s="5">
        <f t="shared" si="90"/>
        <v>-2.8210000000000002</v>
      </c>
      <c r="O139" s="5">
        <f t="shared" si="90"/>
        <v>-2.8210000000000002</v>
      </c>
      <c r="P139" s="5">
        <f t="shared" si="90"/>
        <v>-2.8210000000000002</v>
      </c>
      <c r="Q139" s="5">
        <f t="shared" si="90"/>
        <v>-2.8210000000000002</v>
      </c>
    </row>
    <row r="140" spans="2:17" outlineLevel="1">
      <c r="C140" s="12" t="s">
        <v>222</v>
      </c>
      <c r="D140" s="10"/>
      <c r="E140" s="9">
        <v>0</v>
      </c>
      <c r="F140" s="9">
        <v>-32.555</v>
      </c>
      <c r="G140" s="9">
        <v>-5.625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/>
    </row>
    <row r="141" spans="2:17" s="2" customFormat="1" outlineLevel="1">
      <c r="C141" s="2" t="s">
        <v>223</v>
      </c>
      <c r="E141" s="3">
        <f>SUM(E138:E140)</f>
        <v>-50.847999999999999</v>
      </c>
      <c r="F141" s="3">
        <f>SUM(F138:F140)</f>
        <v>-99.575999999999993</v>
      </c>
      <c r="G141" s="3">
        <f>SUM(G138:G140)</f>
        <v>-131.21299999999999</v>
      </c>
      <c r="H141" s="3">
        <f>SUM(H138:H140)</f>
        <v>-156.76108784732105</v>
      </c>
      <c r="I141" s="3">
        <f t="shared" ref="I141:Q141" si="91">SUM(I138:I140)</f>
        <v>-172.41635130386732</v>
      </c>
      <c r="J141" s="3">
        <f t="shared" si="91"/>
        <v>-183.98754285490193</v>
      </c>
      <c r="K141" s="3">
        <f t="shared" si="91"/>
        <v>-179.98227812605563</v>
      </c>
      <c r="L141" s="3">
        <f t="shared" si="91"/>
        <v>-173.86739783942716</v>
      </c>
      <c r="M141" s="3">
        <f t="shared" si="91"/>
        <v>-164.76189058277473</v>
      </c>
      <c r="N141" s="3">
        <f t="shared" si="91"/>
        <v>-150.52942157861673</v>
      </c>
      <c r="O141" s="3">
        <f t="shared" si="91"/>
        <v>-161.61610334399688</v>
      </c>
      <c r="P141" s="3">
        <f t="shared" si="91"/>
        <v>-173.12529254372001</v>
      </c>
      <c r="Q141" s="3">
        <f t="shared" si="91"/>
        <v>-184.14481027416846</v>
      </c>
    </row>
    <row r="142" spans="2:17" outlineLevel="1"/>
    <row r="143" spans="2:17" outlineLevel="1">
      <c r="B143" s="17" t="s">
        <v>6</v>
      </c>
      <c r="C143" s="16"/>
      <c r="D143" s="1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2:17" outlineLevel="1">
      <c r="C144" s="7" t="s">
        <v>224</v>
      </c>
      <c r="E144" s="6">
        <v>0</v>
      </c>
      <c r="F144" s="6">
        <v>-75</v>
      </c>
      <c r="G144" s="6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</row>
    <row r="145" spans="2:17" outlineLevel="1">
      <c r="C145" s="7" t="s">
        <v>5</v>
      </c>
      <c r="E145" s="6">
        <v>-0.52300000000000002</v>
      </c>
      <c r="F145" s="6">
        <v>-8.0289999999999999</v>
      </c>
      <c r="G145" s="6">
        <v>-61.124000000000002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</row>
    <row r="146" spans="2:17" outlineLevel="1">
      <c r="C146" s="12" t="s">
        <v>4</v>
      </c>
      <c r="D146" s="10"/>
      <c r="E146" s="9">
        <v>11.381</v>
      </c>
      <c r="F146" s="9">
        <v>25.236000000000001</v>
      </c>
      <c r="G146" s="9">
        <v>24.849</v>
      </c>
      <c r="H146" s="8">
        <f>AVERAGE(E146:G146)</f>
        <v>20.488666666666671</v>
      </c>
      <c r="I146" s="8">
        <f t="shared" ref="I146:Q146" si="92">AVERAGE(F146:H146)</f>
        <v>23.524555555555555</v>
      </c>
      <c r="J146" s="8">
        <f t="shared" si="92"/>
        <v>22.954074074074075</v>
      </c>
      <c r="K146" s="8">
        <f t="shared" si="92"/>
        <v>22.322432098765432</v>
      </c>
      <c r="L146" s="8">
        <f t="shared" si="92"/>
        <v>22.933687242798356</v>
      </c>
      <c r="M146" s="8">
        <f t="shared" si="92"/>
        <v>22.736731138545952</v>
      </c>
      <c r="N146" s="8">
        <f t="shared" si="92"/>
        <v>22.664283493369911</v>
      </c>
      <c r="O146" s="8">
        <f t="shared" si="92"/>
        <v>22.778233958238072</v>
      </c>
      <c r="P146" s="8">
        <f t="shared" si="92"/>
        <v>22.726416196717977</v>
      </c>
      <c r="Q146" s="8">
        <f t="shared" si="92"/>
        <v>22.722977882775321</v>
      </c>
    </row>
    <row r="147" spans="2:17" s="2" customFormat="1" outlineLevel="1">
      <c r="C147" s="2" t="s">
        <v>225</v>
      </c>
      <c r="E147" s="3">
        <f>SUM(E144:E146)</f>
        <v>10.858000000000001</v>
      </c>
      <c r="F147" s="3">
        <f>SUM(F144:F146)</f>
        <v>-57.792999999999992</v>
      </c>
      <c r="G147" s="3">
        <f>SUM(G144:G146)</f>
        <v>-36.275000000000006</v>
      </c>
      <c r="H147" s="3">
        <f>SUM(H144:H146)</f>
        <v>20.488666666666671</v>
      </c>
      <c r="I147" s="3">
        <f t="shared" ref="I147:Q147" si="93">SUM(I144:I146)</f>
        <v>23.524555555555555</v>
      </c>
      <c r="J147" s="3">
        <f t="shared" si="93"/>
        <v>22.954074074074075</v>
      </c>
      <c r="K147" s="3">
        <f t="shared" si="93"/>
        <v>22.322432098765432</v>
      </c>
      <c r="L147" s="3">
        <f t="shared" si="93"/>
        <v>22.933687242798356</v>
      </c>
      <c r="M147" s="3">
        <f t="shared" si="93"/>
        <v>22.736731138545952</v>
      </c>
      <c r="N147" s="3">
        <f t="shared" si="93"/>
        <v>22.664283493369911</v>
      </c>
      <c r="O147" s="3">
        <f t="shared" si="93"/>
        <v>22.778233958238072</v>
      </c>
      <c r="P147" s="3">
        <f t="shared" si="93"/>
        <v>22.726416196717977</v>
      </c>
      <c r="Q147" s="3">
        <f t="shared" si="93"/>
        <v>22.722977882775321</v>
      </c>
    </row>
    <row r="148" spans="2:17" outlineLevel="1"/>
    <row r="149" spans="2:17" s="2" customFormat="1" outlineLevel="1">
      <c r="C149" s="2" t="s">
        <v>226</v>
      </c>
      <c r="E149" s="3">
        <f>E147+E141+E135</f>
        <v>31.397000000000006</v>
      </c>
      <c r="F149" s="3">
        <f>F147+F141+F135</f>
        <v>116.09800000000001</v>
      </c>
      <c r="G149" s="3">
        <f>G147+G141+G135</f>
        <v>-178.73499999999999</v>
      </c>
      <c r="H149" s="3">
        <f>H147+H141+H135</f>
        <v>162.9055333009193</v>
      </c>
      <c r="I149" s="3">
        <f t="shared" ref="I149:Q149" si="94">I147+I141+I135</f>
        <v>154.04567731176755</v>
      </c>
      <c r="J149" s="3">
        <f t="shared" si="94"/>
        <v>217.13155000672205</v>
      </c>
      <c r="K149" s="3">
        <f t="shared" si="94"/>
        <v>279.66044610283751</v>
      </c>
      <c r="L149" s="3">
        <f t="shared" si="94"/>
        <v>337.07751228520033</v>
      </c>
      <c r="M149" s="3">
        <f t="shared" si="94"/>
        <v>404.85638253023694</v>
      </c>
      <c r="N149" s="3">
        <f t="shared" si="94"/>
        <v>480.39653987988606</v>
      </c>
      <c r="O149" s="3">
        <f t="shared" si="94"/>
        <v>528.50540995754898</v>
      </c>
      <c r="P149" s="3">
        <f t="shared" si="94"/>
        <v>582.15329495120886</v>
      </c>
      <c r="Q149" s="3">
        <f t="shared" si="94"/>
        <v>602.66387642834979</v>
      </c>
    </row>
    <row r="152" spans="2:17">
      <c r="B152" s="33" t="s">
        <v>227</v>
      </c>
      <c r="C152" s="32"/>
      <c r="D152" s="31"/>
      <c r="E152" s="30" t="s">
        <v>23</v>
      </c>
      <c r="F152" s="30"/>
      <c r="G152" s="29"/>
      <c r="H152" s="29" t="s">
        <v>22</v>
      </c>
      <c r="I152" s="30"/>
      <c r="J152" s="30"/>
      <c r="K152" s="30"/>
      <c r="L152" s="30"/>
      <c r="M152" s="30"/>
      <c r="N152" s="30"/>
      <c r="O152" s="30"/>
      <c r="P152" s="30"/>
      <c r="Q152" s="29"/>
    </row>
    <row r="153" spans="2:17">
      <c r="B153" s="33" t="s">
        <v>70</v>
      </c>
      <c r="C153" s="32"/>
      <c r="D153" s="104" t="s">
        <v>20</v>
      </c>
      <c r="E153" s="105">
        <f>DATE(2020,12,31)</f>
        <v>44196</v>
      </c>
      <c r="F153" s="105">
        <f t="shared" ref="F153:Q153" si="95">EDATE(E153,12)</f>
        <v>44561</v>
      </c>
      <c r="G153" s="105">
        <f t="shared" si="95"/>
        <v>44926</v>
      </c>
      <c r="H153" s="105">
        <f t="shared" si="95"/>
        <v>45291</v>
      </c>
      <c r="I153" s="105">
        <f t="shared" si="95"/>
        <v>45657</v>
      </c>
      <c r="J153" s="105">
        <f t="shared" si="95"/>
        <v>46022</v>
      </c>
      <c r="K153" s="105">
        <f t="shared" si="95"/>
        <v>46387</v>
      </c>
      <c r="L153" s="105">
        <f t="shared" si="95"/>
        <v>46752</v>
      </c>
      <c r="M153" s="105">
        <f t="shared" si="95"/>
        <v>47118</v>
      </c>
      <c r="N153" s="105">
        <f t="shared" si="95"/>
        <v>47483</v>
      </c>
      <c r="O153" s="105">
        <f t="shared" si="95"/>
        <v>47848</v>
      </c>
      <c r="P153" s="105">
        <f t="shared" si="95"/>
        <v>48213</v>
      </c>
      <c r="Q153" s="105">
        <f t="shared" si="95"/>
        <v>48579</v>
      </c>
    </row>
    <row r="154" spans="2:17" outlineLevel="1">
      <c r="B154" s="2"/>
      <c r="C154" s="2" t="s">
        <v>188</v>
      </c>
      <c r="D154" s="2"/>
      <c r="E154" s="117">
        <f t="shared" ref="E154:Q154" si="96">E71*Excahnge_Rate</f>
        <v>642.99225000000001</v>
      </c>
      <c r="F154" s="117">
        <f t="shared" si="96"/>
        <v>1120.9725000000001</v>
      </c>
      <c r="G154" s="117">
        <f t="shared" si="96"/>
        <v>1646.7225000000001</v>
      </c>
      <c r="H154" s="117">
        <f t="shared" si="96"/>
        <v>2064.8595006</v>
      </c>
      <c r="I154" s="117">
        <f t="shared" si="96"/>
        <v>2498.2498781182799</v>
      </c>
      <c r="J154" s="117">
        <f t="shared" si="96"/>
        <v>2959.3190243335407</v>
      </c>
      <c r="K154" s="117">
        <f t="shared" si="96"/>
        <v>3247.5473847612434</v>
      </c>
      <c r="L154" s="117">
        <f t="shared" si="96"/>
        <v>3571.9750814936906</v>
      </c>
      <c r="M154" s="117">
        <f t="shared" si="96"/>
        <v>3928.7925922939648</v>
      </c>
      <c r="N154" s="117">
        <f t="shared" si="96"/>
        <v>4274.9192196750628</v>
      </c>
      <c r="O154" s="117">
        <f t="shared" si="96"/>
        <v>4595.7856161521195</v>
      </c>
      <c r="P154" s="117">
        <f t="shared" si="96"/>
        <v>4928.8800571253869</v>
      </c>
      <c r="Q154" s="117">
        <f t="shared" si="96"/>
        <v>5247.8026184390055</v>
      </c>
    </row>
    <row r="155" spans="2:17" outlineLevel="1">
      <c r="C155" s="110" t="s">
        <v>189</v>
      </c>
      <c r="D155" s="10"/>
      <c r="E155" s="118">
        <f t="shared" ref="E155:Q155" si="97">E72*Excahnge_Rate</f>
        <v>-370.03049999999996</v>
      </c>
      <c r="F155" s="118">
        <f t="shared" si="97"/>
        <v>-580.0335</v>
      </c>
      <c r="G155" s="118">
        <f t="shared" si="97"/>
        <v>-896.53199999999993</v>
      </c>
      <c r="H155" s="118">
        <f t="shared" si="97"/>
        <v>-1126.9686438447591</v>
      </c>
      <c r="I155" s="118">
        <f t="shared" si="97"/>
        <v>-1351.0152150009028</v>
      </c>
      <c r="J155" s="118">
        <f t="shared" si="97"/>
        <v>-1585.5577421024614</v>
      </c>
      <c r="K155" s="118">
        <f t="shared" si="97"/>
        <v>-1723.7483397420647</v>
      </c>
      <c r="L155" s="118">
        <f t="shared" si="97"/>
        <v>-1878.0897095675464</v>
      </c>
      <c r="M155" s="118">
        <f t="shared" si="97"/>
        <v>-2046.054920785218</v>
      </c>
      <c r="N155" s="118">
        <f t="shared" si="97"/>
        <v>-2204.9377632080204</v>
      </c>
      <c r="O155" s="118">
        <f t="shared" si="97"/>
        <v>-2347.4568008620404</v>
      </c>
      <c r="P155" s="118">
        <f t="shared" si="97"/>
        <v>-2489.0844288483199</v>
      </c>
      <c r="Q155" s="118">
        <f t="shared" si="97"/>
        <v>-2650.1403223116977</v>
      </c>
    </row>
    <row r="156" spans="2:17" outlineLevel="1">
      <c r="B156" s="2"/>
      <c r="C156" s="2" t="s">
        <v>190</v>
      </c>
      <c r="D156" s="2"/>
      <c r="E156" s="119">
        <f t="shared" ref="E156:Q156" si="98">E73*Excahnge_Rate</f>
        <v>272.96174999999999</v>
      </c>
      <c r="F156" s="119">
        <f t="shared" si="98"/>
        <v>540.93900000000008</v>
      </c>
      <c r="G156" s="119">
        <f t="shared" si="98"/>
        <v>750.19050000000016</v>
      </c>
      <c r="H156" s="119">
        <f t="shared" si="98"/>
        <v>937.89085675524086</v>
      </c>
      <c r="I156" s="119">
        <f t="shared" si="98"/>
        <v>1147.2346631173768</v>
      </c>
      <c r="J156" s="119">
        <f t="shared" si="98"/>
        <v>1373.7612822310793</v>
      </c>
      <c r="K156" s="119">
        <f t="shared" si="98"/>
        <v>1523.7990450191787</v>
      </c>
      <c r="L156" s="119">
        <f t="shared" si="98"/>
        <v>1693.8853719261442</v>
      </c>
      <c r="M156" s="119">
        <f t="shared" si="98"/>
        <v>1882.7376715087469</v>
      </c>
      <c r="N156" s="119">
        <f t="shared" si="98"/>
        <v>2069.9814564670423</v>
      </c>
      <c r="O156" s="119">
        <f t="shared" si="98"/>
        <v>2248.3288152900791</v>
      </c>
      <c r="P156" s="119">
        <f t="shared" si="98"/>
        <v>2439.7956282770665</v>
      </c>
      <c r="Q156" s="119">
        <f t="shared" si="98"/>
        <v>2597.6622961273079</v>
      </c>
    </row>
    <row r="157" spans="2:17" outlineLevel="1">
      <c r="E157" s="120"/>
      <c r="F157" s="120"/>
      <c r="G157" s="120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</row>
    <row r="158" spans="2:17" outlineLevel="1">
      <c r="C158" s="7" t="s">
        <v>191</v>
      </c>
      <c r="E158" s="120">
        <f t="shared" ref="E158:Q158" si="99">E75*Excahnge_Rate</f>
        <v>-188.0445</v>
      </c>
      <c r="F158" s="120">
        <f t="shared" si="99"/>
        <v>-294.60149999999999</v>
      </c>
      <c r="G158" s="120">
        <f t="shared" si="99"/>
        <v>-451.85175000000004</v>
      </c>
      <c r="H158" s="120">
        <f t="shared" si="99"/>
        <v>-571.04078478428994</v>
      </c>
      <c r="I158" s="120">
        <f t="shared" si="99"/>
        <v>-690.89571013106797</v>
      </c>
      <c r="J158" s="120">
        <f t="shared" si="99"/>
        <v>-818.40525110374881</v>
      </c>
      <c r="K158" s="120">
        <f t="shared" si="99"/>
        <v>-898.1153471601142</v>
      </c>
      <c r="L158" s="120">
        <f t="shared" si="99"/>
        <v>-987.83643786581285</v>
      </c>
      <c r="M158" s="120">
        <f t="shared" si="99"/>
        <v>-1086.5149926696427</v>
      </c>
      <c r="N158" s="120">
        <f t="shared" si="99"/>
        <v>-1182.2369635238381</v>
      </c>
      <c r="O158" s="120">
        <f t="shared" si="99"/>
        <v>-1270.9731699349395</v>
      </c>
      <c r="P158" s="120">
        <f t="shared" si="99"/>
        <v>-1363.0910650873157</v>
      </c>
      <c r="Q158" s="120">
        <f t="shared" si="99"/>
        <v>-1451.2897002220673</v>
      </c>
    </row>
    <row r="159" spans="2:17" outlineLevel="1">
      <c r="C159" s="7" t="s">
        <v>65</v>
      </c>
      <c r="E159" s="120">
        <f t="shared" ref="E159:Q159" si="100">E76*Excahnge_Rate</f>
        <v>-55.750500000000002</v>
      </c>
      <c r="F159" s="120">
        <f t="shared" si="100"/>
        <v>-67.109999999999985</v>
      </c>
      <c r="G159" s="120">
        <f t="shared" si="100"/>
        <v>-85.20150000000001</v>
      </c>
      <c r="H159" s="120">
        <f t="shared" si="100"/>
        <v>-130.56221569857343</v>
      </c>
      <c r="I159" s="120">
        <f t="shared" si="100"/>
        <v>-147.55066702741965</v>
      </c>
      <c r="J159" s="120">
        <f t="shared" si="100"/>
        <v>-169.88812709160408</v>
      </c>
      <c r="K159" s="120">
        <f t="shared" si="100"/>
        <v>-197.18610216495176</v>
      </c>
      <c r="L159" s="120">
        <f t="shared" si="100"/>
        <v>-225.30189635878742</v>
      </c>
      <c r="M159" s="120">
        <f t="shared" si="100"/>
        <v>-254.78522422080619</v>
      </c>
      <c r="N159" s="120">
        <f t="shared" si="100"/>
        <v>-286.01908793595936</v>
      </c>
      <c r="O159" s="120">
        <f t="shared" si="100"/>
        <v>-318.50004535813366</v>
      </c>
      <c r="P159" s="120">
        <f t="shared" si="100"/>
        <v>-351.53325061159842</v>
      </c>
      <c r="Q159" s="120">
        <f t="shared" si="100"/>
        <v>-385.25713918284913</v>
      </c>
    </row>
    <row r="160" spans="2:17" outlineLevel="1">
      <c r="C160" s="12" t="s">
        <v>192</v>
      </c>
      <c r="D160" s="10"/>
      <c r="E160" s="118">
        <f t="shared" ref="E160:Q160" si="101">E77*Excahnge_Rate</f>
        <v>-8.0182500000000001</v>
      </c>
      <c r="F160" s="118">
        <f t="shared" si="101"/>
        <v>-19.59825</v>
      </c>
      <c r="G160" s="118">
        <f t="shared" si="101"/>
        <v>-18.27675</v>
      </c>
      <c r="H160" s="118">
        <f t="shared" si="101"/>
        <v>0</v>
      </c>
      <c r="I160" s="118">
        <f t="shared" si="101"/>
        <v>0</v>
      </c>
      <c r="J160" s="118">
        <f t="shared" si="101"/>
        <v>0</v>
      </c>
      <c r="K160" s="118">
        <f t="shared" si="101"/>
        <v>0</v>
      </c>
      <c r="L160" s="118">
        <f t="shared" si="101"/>
        <v>0</v>
      </c>
      <c r="M160" s="118">
        <f t="shared" si="101"/>
        <v>0</v>
      </c>
      <c r="N160" s="118">
        <f t="shared" si="101"/>
        <v>0</v>
      </c>
      <c r="O160" s="118">
        <f t="shared" si="101"/>
        <v>0</v>
      </c>
      <c r="P160" s="118">
        <f t="shared" si="101"/>
        <v>0</v>
      </c>
      <c r="Q160" s="118">
        <f t="shared" si="101"/>
        <v>0</v>
      </c>
    </row>
    <row r="161" spans="2:17" outlineLevel="1">
      <c r="B161" s="2"/>
      <c r="C161" s="2" t="s">
        <v>193</v>
      </c>
      <c r="D161" s="2"/>
      <c r="E161" s="119">
        <f t="shared" ref="E161:Q161" si="102">E78*Excahnge_Rate</f>
        <v>21.148500000000006</v>
      </c>
      <c r="F161" s="119">
        <f t="shared" si="102"/>
        <v>159.62925000000007</v>
      </c>
      <c r="G161" s="119">
        <f t="shared" si="102"/>
        <v>194.86050000000006</v>
      </c>
      <c r="H161" s="119">
        <f t="shared" si="102"/>
        <v>236.2878562723775</v>
      </c>
      <c r="I161" s="119">
        <f t="shared" si="102"/>
        <v>308.78828595888933</v>
      </c>
      <c r="J161" s="119">
        <f t="shared" si="102"/>
        <v>385.46790403572663</v>
      </c>
      <c r="K161" s="119">
        <f t="shared" si="102"/>
        <v>428.49759569411276</v>
      </c>
      <c r="L161" s="119">
        <f t="shared" si="102"/>
        <v>480.74703770154389</v>
      </c>
      <c r="M161" s="119">
        <f t="shared" si="102"/>
        <v>541.43745461829826</v>
      </c>
      <c r="N161" s="119">
        <f t="shared" si="102"/>
        <v>601.72540500724517</v>
      </c>
      <c r="O161" s="119">
        <f t="shared" si="102"/>
        <v>658.85559999700604</v>
      </c>
      <c r="P161" s="119">
        <f t="shared" si="102"/>
        <v>725.17131257815231</v>
      </c>
      <c r="Q161" s="119">
        <f t="shared" si="102"/>
        <v>761.1154567223914</v>
      </c>
    </row>
    <row r="162" spans="2:17" outlineLevel="1">
      <c r="B162" s="2"/>
      <c r="C162" s="2"/>
      <c r="D162" s="2"/>
      <c r="E162" s="119"/>
      <c r="F162" s="119"/>
      <c r="G162" s="119"/>
      <c r="H162" s="119"/>
      <c r="I162" s="119"/>
      <c r="J162" s="119"/>
      <c r="K162" s="122"/>
      <c r="L162" s="122"/>
      <c r="M162" s="122"/>
      <c r="N162" s="122"/>
      <c r="O162" s="122"/>
      <c r="P162" s="122"/>
      <c r="Q162" s="122"/>
    </row>
    <row r="163" spans="2:17" outlineLevel="1">
      <c r="C163" s="12" t="s">
        <v>194</v>
      </c>
      <c r="D163" s="10"/>
      <c r="E163" s="118">
        <f t="shared" ref="E163:Q163" si="103">E80*Excahnge_Rate</f>
        <v>-1.497000000000001</v>
      </c>
      <c r="F163" s="118">
        <f t="shared" si="103"/>
        <v>5.0707499999999985</v>
      </c>
      <c r="G163" s="118">
        <f t="shared" si="103"/>
        <v>2.9947499999999989</v>
      </c>
      <c r="H163" s="118">
        <f t="shared" si="103"/>
        <v>2.1894999999999989</v>
      </c>
      <c r="I163" s="118">
        <f t="shared" si="103"/>
        <v>3.4183333333333321</v>
      </c>
      <c r="J163" s="118">
        <f t="shared" si="103"/>
        <v>2.8675277777777768</v>
      </c>
      <c r="K163" s="118">
        <f t="shared" si="103"/>
        <v>2.8251203703703696</v>
      </c>
      <c r="L163" s="118">
        <f t="shared" si="103"/>
        <v>3.0369938271604928</v>
      </c>
      <c r="M163" s="118">
        <f t="shared" si="103"/>
        <v>2.9098806584362134</v>
      </c>
      <c r="N163" s="118">
        <f t="shared" si="103"/>
        <v>2.9239982853223587</v>
      </c>
      <c r="O163" s="118">
        <f t="shared" si="103"/>
        <v>2.956957590306355</v>
      </c>
      <c r="P163" s="118">
        <f t="shared" si="103"/>
        <v>2.930278844688309</v>
      </c>
      <c r="Q163" s="118">
        <f t="shared" si="103"/>
        <v>2.9370782401056741</v>
      </c>
    </row>
    <row r="164" spans="2:17" outlineLevel="1">
      <c r="B164" s="2"/>
      <c r="C164" s="2" t="s">
        <v>195</v>
      </c>
      <c r="D164" s="2"/>
      <c r="E164" s="119">
        <f t="shared" ref="E164:Q164" si="104">E81*Excahnge_Rate</f>
        <v>19.651500000000006</v>
      </c>
      <c r="F164" s="119">
        <f t="shared" si="104"/>
        <v>164.70000000000005</v>
      </c>
      <c r="G164" s="119">
        <f t="shared" si="104"/>
        <v>197.85525000000007</v>
      </c>
      <c r="H164" s="119">
        <f t="shared" si="104"/>
        <v>238.47735627237751</v>
      </c>
      <c r="I164" s="119">
        <f t="shared" si="104"/>
        <v>312.20661929222268</v>
      </c>
      <c r="J164" s="119">
        <f t="shared" si="104"/>
        <v>388.33543181350444</v>
      </c>
      <c r="K164" s="119">
        <f t="shared" si="104"/>
        <v>431.32271606448307</v>
      </c>
      <c r="L164" s="119">
        <f t="shared" si="104"/>
        <v>483.78403152870436</v>
      </c>
      <c r="M164" s="119">
        <f t="shared" si="104"/>
        <v>544.34733527673438</v>
      </c>
      <c r="N164" s="119">
        <f t="shared" si="104"/>
        <v>604.64940329256751</v>
      </c>
      <c r="O164" s="119">
        <f t="shared" si="104"/>
        <v>661.81255758731243</v>
      </c>
      <c r="P164" s="119">
        <f t="shared" si="104"/>
        <v>728.10159142284067</v>
      </c>
      <c r="Q164" s="119">
        <f t="shared" si="104"/>
        <v>764.05253496249702</v>
      </c>
    </row>
    <row r="165" spans="2:17" outlineLevel="1">
      <c r="C165" s="12" t="s">
        <v>196</v>
      </c>
      <c r="D165" s="10"/>
      <c r="E165" s="118">
        <f t="shared" ref="E165:Q165" si="105">E82*Excahnge_Rate</f>
        <v>-5.2312499999999993</v>
      </c>
      <c r="F165" s="118">
        <f t="shared" si="105"/>
        <v>-47.012250000000002</v>
      </c>
      <c r="G165" s="118">
        <f t="shared" si="105"/>
        <v>-57.164249999999996</v>
      </c>
      <c r="H165" s="118">
        <f t="shared" si="105"/>
        <v>-68.900770706328231</v>
      </c>
      <c r="I165" s="118">
        <f t="shared" si="105"/>
        <v>-90.202596276194015</v>
      </c>
      <c r="J165" s="118">
        <f t="shared" si="105"/>
        <v>-112.19769861070209</v>
      </c>
      <c r="K165" s="118">
        <f t="shared" si="105"/>
        <v>-124.61756547672665</v>
      </c>
      <c r="L165" s="118">
        <f t="shared" si="105"/>
        <v>-139.77466518737677</v>
      </c>
      <c r="M165" s="118">
        <f t="shared" si="105"/>
        <v>-157.27258771547915</v>
      </c>
      <c r="N165" s="118">
        <f t="shared" si="105"/>
        <v>-174.69503413312077</v>
      </c>
      <c r="O165" s="118">
        <f t="shared" si="105"/>
        <v>-191.21058700772667</v>
      </c>
      <c r="P165" s="118">
        <f t="shared" si="105"/>
        <v>-210.36278490205899</v>
      </c>
      <c r="Q165" s="118">
        <f t="shared" si="105"/>
        <v>-220.74971536883612</v>
      </c>
    </row>
    <row r="166" spans="2:17" outlineLevel="1">
      <c r="B166" s="2"/>
      <c r="C166" s="2" t="s">
        <v>18</v>
      </c>
      <c r="D166" s="2"/>
      <c r="E166" s="117">
        <f t="shared" ref="E166:Q166" si="106">E83*Excahnge_Rate</f>
        <v>14.420250000000003</v>
      </c>
      <c r="F166" s="117">
        <f t="shared" si="106"/>
        <v>117.68775000000007</v>
      </c>
      <c r="G166" s="117">
        <f t="shared" si="106"/>
        <v>140.69100000000006</v>
      </c>
      <c r="H166" s="119">
        <f t="shared" si="106"/>
        <v>169.57658556604923</v>
      </c>
      <c r="I166" s="119">
        <f t="shared" si="106"/>
        <v>222.00402301602867</v>
      </c>
      <c r="J166" s="119">
        <f t="shared" si="106"/>
        <v>276.13773320280234</v>
      </c>
      <c r="K166" s="119">
        <f t="shared" si="106"/>
        <v>306.70515058775646</v>
      </c>
      <c r="L166" s="119">
        <f t="shared" si="106"/>
        <v>344.00936634132756</v>
      </c>
      <c r="M166" s="119">
        <f t="shared" si="106"/>
        <v>387.07474756125532</v>
      </c>
      <c r="N166" s="119">
        <f t="shared" si="106"/>
        <v>429.95436915944674</v>
      </c>
      <c r="O166" s="119">
        <f t="shared" si="106"/>
        <v>470.60197057958578</v>
      </c>
      <c r="P166" s="119">
        <f t="shared" si="106"/>
        <v>517.73880652078162</v>
      </c>
      <c r="Q166" s="119">
        <f t="shared" si="106"/>
        <v>543.30281959366096</v>
      </c>
    </row>
    <row r="167" spans="2:17" outlineLevel="1">
      <c r="B167" s="2"/>
      <c r="C167" s="2"/>
      <c r="D167" s="2"/>
      <c r="E167" s="117"/>
      <c r="F167" s="117"/>
      <c r="G167" s="117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</row>
    <row r="168" spans="2:17" outlineLevel="1">
      <c r="B168" s="2"/>
      <c r="C168" s="2" t="s">
        <v>251</v>
      </c>
      <c r="D168" s="2"/>
      <c r="E168" s="119">
        <f>E161+E215</f>
        <v>50.301750000000006</v>
      </c>
      <c r="F168" s="119">
        <f t="shared" ref="F168:Q168" si="107">F161+F215</f>
        <v>193.05600000000007</v>
      </c>
      <c r="G168" s="119">
        <f t="shared" si="107"/>
        <v>234.50175000000007</v>
      </c>
      <c r="H168" s="119">
        <f t="shared" si="107"/>
        <v>277.58504628437748</v>
      </c>
      <c r="I168" s="119">
        <f t="shared" si="107"/>
        <v>346.26203413066355</v>
      </c>
      <c r="J168" s="119">
        <f t="shared" si="107"/>
        <v>425.41871086422941</v>
      </c>
      <c r="K168" s="119">
        <f t="shared" si="107"/>
        <v>470.71571169600895</v>
      </c>
      <c r="L168" s="119">
        <f t="shared" si="107"/>
        <v>525.39672622021499</v>
      </c>
      <c r="M168" s="119">
        <f t="shared" si="107"/>
        <v>588.58296572582583</v>
      </c>
      <c r="N168" s="119">
        <f t="shared" si="107"/>
        <v>650.8869760335084</v>
      </c>
      <c r="O168" s="119">
        <f t="shared" si="107"/>
        <v>709.40924177467934</v>
      </c>
      <c r="P168" s="119">
        <f t="shared" si="107"/>
        <v>776.92455317796885</v>
      </c>
      <c r="Q168" s="119">
        <f t="shared" si="107"/>
        <v>815.16782369231316</v>
      </c>
    </row>
    <row r="170" spans="2:17">
      <c r="B170" s="33" t="s">
        <v>227</v>
      </c>
      <c r="C170" s="32"/>
      <c r="D170" s="31"/>
      <c r="E170" s="30" t="s">
        <v>23</v>
      </c>
      <c r="F170" s="30"/>
      <c r="G170" s="29"/>
      <c r="H170" s="29" t="s">
        <v>22</v>
      </c>
      <c r="I170" s="30"/>
      <c r="J170" s="30"/>
      <c r="K170" s="30"/>
      <c r="L170" s="30"/>
      <c r="M170" s="30"/>
      <c r="N170" s="30"/>
      <c r="O170" s="30"/>
      <c r="P170" s="30"/>
      <c r="Q170" s="29"/>
    </row>
    <row r="171" spans="2:17">
      <c r="B171" s="33" t="s">
        <v>56</v>
      </c>
      <c r="C171" s="32"/>
      <c r="D171" s="104" t="s">
        <v>20</v>
      </c>
      <c r="E171" s="105">
        <f>DATE(2020,12,31)</f>
        <v>44196</v>
      </c>
      <c r="F171" s="105">
        <f t="shared" ref="F171:Q171" si="108">EDATE(E171,12)</f>
        <v>44561</v>
      </c>
      <c r="G171" s="105">
        <f t="shared" si="108"/>
        <v>44926</v>
      </c>
      <c r="H171" s="105">
        <f t="shared" si="108"/>
        <v>45291</v>
      </c>
      <c r="I171" s="105">
        <f t="shared" si="108"/>
        <v>45657</v>
      </c>
      <c r="J171" s="105">
        <f t="shared" si="108"/>
        <v>46022</v>
      </c>
      <c r="K171" s="105">
        <f t="shared" si="108"/>
        <v>46387</v>
      </c>
      <c r="L171" s="105">
        <f t="shared" si="108"/>
        <v>46752</v>
      </c>
      <c r="M171" s="105">
        <f t="shared" si="108"/>
        <v>47118</v>
      </c>
      <c r="N171" s="105">
        <f t="shared" si="108"/>
        <v>47483</v>
      </c>
      <c r="O171" s="105">
        <f t="shared" si="108"/>
        <v>47848</v>
      </c>
      <c r="P171" s="105">
        <f t="shared" si="108"/>
        <v>48213</v>
      </c>
      <c r="Q171" s="105">
        <f t="shared" si="108"/>
        <v>48579</v>
      </c>
    </row>
    <row r="172" spans="2:17" outlineLevel="1">
      <c r="B172" s="17" t="s">
        <v>55</v>
      </c>
      <c r="C172" s="16"/>
      <c r="D172" s="1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17" outlineLevel="1">
      <c r="B173" s="2"/>
      <c r="C173" s="2" t="s">
        <v>197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2:17" outlineLevel="1">
      <c r="C174" s="7" t="s">
        <v>198</v>
      </c>
      <c r="E174" s="123">
        <f t="shared" ref="E174:Q174" si="109">E89*Excahnge_Rate</f>
        <v>111.86024999999999</v>
      </c>
      <c r="F174" s="123">
        <f t="shared" si="109"/>
        <v>198.93375</v>
      </c>
      <c r="G174" s="123">
        <f t="shared" si="109"/>
        <v>64.882500000000007</v>
      </c>
      <c r="H174" s="120">
        <f t="shared" si="109"/>
        <v>187.06164997568948</v>
      </c>
      <c r="I174" s="120">
        <f t="shared" si="109"/>
        <v>302.5959079595151</v>
      </c>
      <c r="J174" s="120">
        <f t="shared" si="109"/>
        <v>465.44457046455665</v>
      </c>
      <c r="K174" s="120">
        <f t="shared" si="109"/>
        <v>675.18990504168482</v>
      </c>
      <c r="L174" s="120">
        <f t="shared" si="109"/>
        <v>927.99803925558513</v>
      </c>
      <c r="M174" s="120">
        <f t="shared" si="109"/>
        <v>1231.6403261532628</v>
      </c>
      <c r="N174" s="120">
        <f t="shared" si="109"/>
        <v>1591.9377310631771</v>
      </c>
      <c r="O174" s="120">
        <f t="shared" si="109"/>
        <v>1988.3167885313392</v>
      </c>
      <c r="P174" s="120">
        <f t="shared" si="109"/>
        <v>2424.9317597447457</v>
      </c>
      <c r="Q174" s="120">
        <f t="shared" si="109"/>
        <v>2876.9296670660078</v>
      </c>
    </row>
    <row r="175" spans="2:17" outlineLevel="1">
      <c r="C175" s="7" t="s">
        <v>199</v>
      </c>
      <c r="E175" s="120">
        <f t="shared" ref="E175:Q175" si="110">E90*Excahnge_Rate</f>
        <v>4.6515000000000004</v>
      </c>
      <c r="F175" s="120">
        <f t="shared" si="110"/>
        <v>6.1102500000000006</v>
      </c>
      <c r="G175" s="120">
        <f t="shared" si="110"/>
        <v>13.638000000000002</v>
      </c>
      <c r="H175" s="120">
        <f t="shared" si="110"/>
        <v>14.431233586707933</v>
      </c>
      <c r="I175" s="120">
        <f t="shared" si="110"/>
        <v>17.460184355697525</v>
      </c>
      <c r="J175" s="120">
        <f t="shared" si="110"/>
        <v>20.682581107981633</v>
      </c>
      <c r="K175" s="120">
        <f t="shared" si="110"/>
        <v>22.696999422853601</v>
      </c>
      <c r="L175" s="120">
        <f t="shared" si="110"/>
        <v>24.964413681394262</v>
      </c>
      <c r="M175" s="120">
        <f t="shared" si="110"/>
        <v>27.458199260844175</v>
      </c>
      <c r="N175" s="120">
        <f t="shared" si="110"/>
        <v>29.877266615724547</v>
      </c>
      <c r="O175" s="120">
        <f t="shared" si="110"/>
        <v>32.119791066584341</v>
      </c>
      <c r="P175" s="120">
        <f t="shared" si="110"/>
        <v>34.44777690907015</v>
      </c>
      <c r="Q175" s="120">
        <f t="shared" si="110"/>
        <v>36.676715961364337</v>
      </c>
    </row>
    <row r="176" spans="2:17" outlineLevel="1">
      <c r="C176" s="7" t="s">
        <v>200</v>
      </c>
      <c r="E176" s="120">
        <f t="shared" ref="E176:Q176" si="111">E91*Excahnge_Rate</f>
        <v>128.86574999999999</v>
      </c>
      <c r="F176" s="120">
        <f t="shared" si="111"/>
        <v>156.09375</v>
      </c>
      <c r="G176" s="120">
        <f t="shared" si="111"/>
        <v>350.72550000000001</v>
      </c>
      <c r="H176" s="120">
        <f t="shared" si="111"/>
        <v>378.87601968919114</v>
      </c>
      <c r="I176" s="120">
        <f t="shared" si="111"/>
        <v>454.19832219359336</v>
      </c>
      <c r="J176" s="120">
        <f t="shared" si="111"/>
        <v>533.04926414431156</v>
      </c>
      <c r="K176" s="120">
        <f t="shared" si="111"/>
        <v>579.50761405326932</v>
      </c>
      <c r="L176" s="120">
        <f t="shared" si="111"/>
        <v>631.39569824464388</v>
      </c>
      <c r="M176" s="120">
        <f t="shared" si="111"/>
        <v>687.86398688779423</v>
      </c>
      <c r="N176" s="120">
        <f t="shared" si="111"/>
        <v>741.27887048978073</v>
      </c>
      <c r="O176" s="120">
        <f t="shared" si="111"/>
        <v>789.19240030377182</v>
      </c>
      <c r="P176" s="120">
        <f t="shared" si="111"/>
        <v>836.80624676040384</v>
      </c>
      <c r="Q176" s="120">
        <f t="shared" si="111"/>
        <v>890.9516892233944</v>
      </c>
    </row>
    <row r="177" spans="2:17" outlineLevel="1">
      <c r="C177" s="12" t="s">
        <v>201</v>
      </c>
      <c r="D177" s="10"/>
      <c r="E177" s="118">
        <f t="shared" ref="E177:Q177" si="112">E92*Excahnge_Rate</f>
        <v>21.128250000000001</v>
      </c>
      <c r="F177" s="118">
        <f t="shared" si="112"/>
        <v>30.014249999999997</v>
      </c>
      <c r="G177" s="118">
        <f t="shared" si="112"/>
        <v>29.64</v>
      </c>
      <c r="H177" s="118">
        <f t="shared" si="112"/>
        <v>53.434323308237985</v>
      </c>
      <c r="I177" s="118">
        <f t="shared" si="112"/>
        <v>64.649576231868835</v>
      </c>
      <c r="J177" s="118">
        <f t="shared" si="112"/>
        <v>76.581098845954969</v>
      </c>
      <c r="K177" s="118">
        <f t="shared" si="112"/>
        <v>84.039856884079086</v>
      </c>
      <c r="L177" s="118">
        <f t="shared" si="112"/>
        <v>92.435379403800766</v>
      </c>
      <c r="M177" s="118">
        <f t="shared" si="112"/>
        <v>101.66908379318045</v>
      </c>
      <c r="N177" s="118">
        <f t="shared" si="112"/>
        <v>110.62613007535964</v>
      </c>
      <c r="O177" s="118">
        <f t="shared" si="112"/>
        <v>118.92949345825436</v>
      </c>
      <c r="P177" s="118">
        <f t="shared" si="112"/>
        <v>127.54929352018131</v>
      </c>
      <c r="Q177" s="118">
        <f t="shared" si="112"/>
        <v>135.80235444106791</v>
      </c>
    </row>
    <row r="178" spans="2:17" outlineLevel="1">
      <c r="B178" s="2"/>
      <c r="C178" s="2" t="s">
        <v>202</v>
      </c>
      <c r="D178" s="2"/>
      <c r="E178" s="119">
        <f t="shared" ref="E178:Q178" si="113">E93*Excahnge_Rate</f>
        <v>266.50574999999998</v>
      </c>
      <c r="F178" s="119">
        <f t="shared" si="113"/>
        <v>391.15199999999993</v>
      </c>
      <c r="G178" s="119">
        <f t="shared" si="113"/>
        <v>458.88599999999997</v>
      </c>
      <c r="H178" s="119">
        <f t="shared" si="113"/>
        <v>633.8032265598265</v>
      </c>
      <c r="I178" s="119">
        <f t="shared" si="113"/>
        <v>838.903990740675</v>
      </c>
      <c r="J178" s="119">
        <f t="shared" si="113"/>
        <v>1095.7575145628048</v>
      </c>
      <c r="K178" s="119">
        <f t="shared" si="113"/>
        <v>1361.4343754018869</v>
      </c>
      <c r="L178" s="119">
        <f t="shared" si="113"/>
        <v>1676.7935305854239</v>
      </c>
      <c r="M178" s="119">
        <f t="shared" si="113"/>
        <v>2048.6315960950815</v>
      </c>
      <c r="N178" s="119">
        <f t="shared" si="113"/>
        <v>2473.719998244042</v>
      </c>
      <c r="O178" s="119">
        <f t="shared" si="113"/>
        <v>2928.5584733599494</v>
      </c>
      <c r="P178" s="119">
        <f t="shared" si="113"/>
        <v>3423.7350769344011</v>
      </c>
      <c r="Q178" s="119">
        <f t="shared" si="113"/>
        <v>3940.3604266918346</v>
      </c>
    </row>
    <row r="179" spans="2:17" outlineLevel="1">
      <c r="E179" s="120"/>
      <c r="F179" s="120"/>
      <c r="G179" s="120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</row>
    <row r="180" spans="2:17" outlineLevel="1">
      <c r="B180" s="2"/>
      <c r="C180" s="2" t="s">
        <v>48</v>
      </c>
      <c r="D180" s="2"/>
      <c r="E180" s="120"/>
      <c r="F180" s="120"/>
      <c r="G180" s="120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</row>
    <row r="181" spans="2:17" outlineLevel="1">
      <c r="C181" s="7" t="s">
        <v>47</v>
      </c>
      <c r="E181" s="120">
        <f t="shared" ref="E181:Q181" si="114">E96*Excahnge_Rate</f>
        <v>142.17600000000002</v>
      </c>
      <c r="F181" s="120">
        <f t="shared" si="114"/>
        <v>167.39249999999998</v>
      </c>
      <c r="G181" s="120">
        <f t="shared" si="114"/>
        <v>231.45600000000002</v>
      </c>
      <c r="H181" s="120">
        <f t="shared" si="114"/>
        <v>305.61387587349077</v>
      </c>
      <c r="I181" s="120">
        <f t="shared" si="114"/>
        <v>395.33664117961712</v>
      </c>
      <c r="J181" s="120">
        <f t="shared" si="114"/>
        <v>491.26074149229078</v>
      </c>
      <c r="K181" s="120">
        <f t="shared" si="114"/>
        <v>581.91358408493636</v>
      </c>
      <c r="L181" s="120">
        <f t="shared" si="114"/>
        <v>665.54869394583557</v>
      </c>
      <c r="M181" s="120">
        <f t="shared" si="114"/>
        <v>739.8588507753891</v>
      </c>
      <c r="N181" s="120">
        <f t="shared" si="114"/>
        <v>801.4785959330884</v>
      </c>
      <c r="O181" s="120">
        <f t="shared" si="114"/>
        <v>870.02128166341276</v>
      </c>
      <c r="P181" s="120">
        <f t="shared" si="114"/>
        <v>945.99626047138645</v>
      </c>
      <c r="Q181" s="120">
        <f t="shared" si="114"/>
        <v>1027.9367512070908</v>
      </c>
    </row>
    <row r="182" spans="2:17" outlineLevel="1">
      <c r="C182" s="7" t="s">
        <v>203</v>
      </c>
      <c r="E182" s="120">
        <f t="shared" ref="E182:Q182" si="115">E97*Excahnge_Rate</f>
        <v>46.536749999999998</v>
      </c>
      <c r="F182" s="120">
        <f t="shared" si="115"/>
        <v>65.54849999999999</v>
      </c>
      <c r="G182" s="120">
        <f t="shared" si="115"/>
        <v>64.786500000000004</v>
      </c>
      <c r="H182" s="120">
        <f t="shared" si="115"/>
        <v>66.902250000000009</v>
      </c>
      <c r="I182" s="120">
        <f t="shared" si="115"/>
        <v>69.018000000000001</v>
      </c>
      <c r="J182" s="120">
        <f t="shared" si="115"/>
        <v>71.133749999999992</v>
      </c>
      <c r="K182" s="120">
        <f t="shared" si="115"/>
        <v>73.249499999999998</v>
      </c>
      <c r="L182" s="120">
        <f t="shared" si="115"/>
        <v>75.365250000000003</v>
      </c>
      <c r="M182" s="120">
        <f t="shared" si="115"/>
        <v>77.480999999999995</v>
      </c>
      <c r="N182" s="120">
        <f t="shared" si="115"/>
        <v>79.596749999999986</v>
      </c>
      <c r="O182" s="120">
        <f t="shared" si="115"/>
        <v>81.712499999999991</v>
      </c>
      <c r="P182" s="120">
        <f t="shared" si="115"/>
        <v>83.828249999999997</v>
      </c>
      <c r="Q182" s="120">
        <f t="shared" si="115"/>
        <v>85.943999999999988</v>
      </c>
    </row>
    <row r="183" spans="2:17" outlineLevel="1">
      <c r="C183" s="7" t="s">
        <v>45</v>
      </c>
      <c r="E183" s="120">
        <f t="shared" ref="E183:Q183" si="116">E98*Excahnge_Rate</f>
        <v>113.76149999999998</v>
      </c>
      <c r="F183" s="120">
        <f t="shared" si="116"/>
        <v>149.1345</v>
      </c>
      <c r="G183" s="120">
        <f t="shared" si="116"/>
        <v>149.1345</v>
      </c>
      <c r="H183" s="120">
        <f t="shared" si="116"/>
        <v>149.1345</v>
      </c>
      <c r="I183" s="120">
        <f t="shared" si="116"/>
        <v>149.1345</v>
      </c>
      <c r="J183" s="120">
        <f t="shared" si="116"/>
        <v>149.1345</v>
      </c>
      <c r="K183" s="120">
        <f t="shared" si="116"/>
        <v>149.1345</v>
      </c>
      <c r="L183" s="120">
        <f t="shared" si="116"/>
        <v>149.1345</v>
      </c>
      <c r="M183" s="120">
        <f t="shared" si="116"/>
        <v>149.1345</v>
      </c>
      <c r="N183" s="120">
        <f t="shared" si="116"/>
        <v>149.1345</v>
      </c>
      <c r="O183" s="120">
        <f t="shared" si="116"/>
        <v>149.1345</v>
      </c>
      <c r="P183" s="120">
        <f t="shared" si="116"/>
        <v>149.1345</v>
      </c>
      <c r="Q183" s="120">
        <f t="shared" si="116"/>
        <v>149.1345</v>
      </c>
    </row>
    <row r="184" spans="2:17" outlineLevel="1">
      <c r="C184" s="7" t="s">
        <v>204</v>
      </c>
      <c r="E184" s="120">
        <f t="shared" ref="E184:Q184" si="117">E99*Excahnge_Rate</f>
        <v>272.56274999999999</v>
      </c>
      <c r="F184" s="120">
        <f t="shared" si="117"/>
        <v>272.16525000000001</v>
      </c>
      <c r="G184" s="120">
        <f t="shared" si="117"/>
        <v>460.54575</v>
      </c>
      <c r="H184" s="120">
        <f t="shared" si="117"/>
        <v>535.88446660191516</v>
      </c>
      <c r="I184" s="120">
        <f t="shared" si="117"/>
        <v>634.94444215864416</v>
      </c>
      <c r="J184" s="120">
        <f t="shared" si="117"/>
        <v>756.00282282251374</v>
      </c>
      <c r="K184" s="120">
        <f t="shared" si="117"/>
        <v>880.68798745611741</v>
      </c>
      <c r="L184" s="120">
        <f t="shared" si="117"/>
        <v>1011.4377561832023</v>
      </c>
      <c r="M184" s="120">
        <f t="shared" si="117"/>
        <v>1149.9506295033971</v>
      </c>
      <c r="N184" s="120">
        <f t="shared" si="117"/>
        <v>1293.993991598031</v>
      </c>
      <c r="O184" s="120">
        <f t="shared" si="117"/>
        <v>1440.4864081738683</v>
      </c>
      <c r="P184" s="120">
        <f t="shared" si="117"/>
        <v>1590.0417993395079</v>
      </c>
      <c r="Q184" s="120">
        <f t="shared" si="117"/>
        <v>1740.9381908525008</v>
      </c>
    </row>
    <row r="185" spans="2:17" outlineLevel="1">
      <c r="C185" s="12" t="s">
        <v>205</v>
      </c>
      <c r="D185" s="10"/>
      <c r="E185" s="118">
        <f t="shared" ref="E185:Q185" si="118">E100*Excahnge_Rate</f>
        <v>2.1645000000000003</v>
      </c>
      <c r="F185" s="118">
        <f t="shared" si="118"/>
        <v>3.2032499999999997</v>
      </c>
      <c r="G185" s="118">
        <f t="shared" si="118"/>
        <v>2.8725000000000001</v>
      </c>
      <c r="H185" s="118">
        <f t="shared" si="118"/>
        <v>2.8725000000000001</v>
      </c>
      <c r="I185" s="118">
        <f t="shared" si="118"/>
        <v>2.8725000000000001</v>
      </c>
      <c r="J185" s="118">
        <f t="shared" si="118"/>
        <v>2.8725000000000001</v>
      </c>
      <c r="K185" s="118">
        <f t="shared" si="118"/>
        <v>2.8725000000000001</v>
      </c>
      <c r="L185" s="118">
        <f t="shared" si="118"/>
        <v>2.8725000000000001</v>
      </c>
      <c r="M185" s="118">
        <f t="shared" si="118"/>
        <v>2.8725000000000001</v>
      </c>
      <c r="N185" s="118">
        <f t="shared" si="118"/>
        <v>2.8725000000000001</v>
      </c>
      <c r="O185" s="118">
        <f t="shared" si="118"/>
        <v>2.8725000000000001</v>
      </c>
      <c r="P185" s="118">
        <f t="shared" si="118"/>
        <v>2.8725000000000001</v>
      </c>
      <c r="Q185" s="118">
        <f t="shared" si="118"/>
        <v>2.8725000000000001</v>
      </c>
    </row>
    <row r="186" spans="2:17" outlineLevel="1">
      <c r="B186" s="2"/>
      <c r="C186" s="2" t="s">
        <v>42</v>
      </c>
      <c r="D186" s="2"/>
      <c r="E186" s="119">
        <f t="shared" ref="E186:Q186" si="119">E101*Excahnge_Rate</f>
        <v>577.2014999999999</v>
      </c>
      <c r="F186" s="119">
        <f t="shared" si="119"/>
        <v>657.44399999999996</v>
      </c>
      <c r="G186" s="119">
        <f t="shared" si="119"/>
        <v>908.7952499999999</v>
      </c>
      <c r="H186" s="119">
        <f t="shared" si="119"/>
        <v>1060.4075924754061</v>
      </c>
      <c r="I186" s="119">
        <f t="shared" si="119"/>
        <v>1251.306083338261</v>
      </c>
      <c r="J186" s="119">
        <f t="shared" si="119"/>
        <v>1470.4043143148042</v>
      </c>
      <c r="K186" s="119">
        <f t="shared" si="119"/>
        <v>1687.8580715410537</v>
      </c>
      <c r="L186" s="119">
        <f t="shared" si="119"/>
        <v>1904.358700129038</v>
      </c>
      <c r="M186" s="119">
        <f t="shared" si="119"/>
        <v>2119.2974802787858</v>
      </c>
      <c r="N186" s="119">
        <f t="shared" si="119"/>
        <v>2327.0763375311194</v>
      </c>
      <c r="O186" s="119">
        <f t="shared" si="119"/>
        <v>2544.227189837281</v>
      </c>
      <c r="P186" s="119">
        <f t="shared" si="119"/>
        <v>2771.8733098108942</v>
      </c>
      <c r="Q186" s="119">
        <f t="shared" si="119"/>
        <v>3006.8259420595919</v>
      </c>
    </row>
    <row r="187" spans="2:17" outlineLevel="1">
      <c r="E187" s="120"/>
      <c r="F187" s="120"/>
      <c r="G187" s="120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</row>
    <row r="188" spans="2:17" outlineLevel="1">
      <c r="B188" s="3"/>
      <c r="C188" s="3" t="s">
        <v>41</v>
      </c>
      <c r="D188" s="3"/>
      <c r="E188" s="117">
        <f t="shared" ref="E188:Q188" si="120">E103*Excahnge_Rate</f>
        <v>843.70724999999982</v>
      </c>
      <c r="F188" s="117">
        <f t="shared" si="120"/>
        <v>1048.5959999999998</v>
      </c>
      <c r="G188" s="117">
        <f t="shared" si="120"/>
        <v>1367.6812499999999</v>
      </c>
      <c r="H188" s="117">
        <f t="shared" si="120"/>
        <v>1694.2108190352326</v>
      </c>
      <c r="I188" s="117">
        <f t="shared" si="120"/>
        <v>2090.2100740789365</v>
      </c>
      <c r="J188" s="117">
        <f t="shared" si="120"/>
        <v>2566.161828877609</v>
      </c>
      <c r="K188" s="117">
        <f t="shared" si="120"/>
        <v>3049.2924469429404</v>
      </c>
      <c r="L188" s="117">
        <f t="shared" si="120"/>
        <v>3581.1522307144623</v>
      </c>
      <c r="M188" s="117">
        <f t="shared" si="120"/>
        <v>4167.9290763738672</v>
      </c>
      <c r="N188" s="117">
        <f t="shared" si="120"/>
        <v>4800.7963357751614</v>
      </c>
      <c r="O188" s="117">
        <f t="shared" si="120"/>
        <v>5472.7856631972309</v>
      </c>
      <c r="P188" s="117">
        <f t="shared" si="120"/>
        <v>6195.6083867452944</v>
      </c>
      <c r="Q188" s="117">
        <f t="shared" si="120"/>
        <v>6947.1863687514269</v>
      </c>
    </row>
    <row r="189" spans="2:17" outlineLevel="1"/>
    <row r="190" spans="2:17" outlineLevel="1">
      <c r="B190" s="17" t="s">
        <v>206</v>
      </c>
      <c r="C190" s="16"/>
      <c r="D190" s="1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2:17" outlineLevel="1">
      <c r="B191" s="2"/>
      <c r="C191" s="2" t="s">
        <v>207</v>
      </c>
      <c r="D191" s="2"/>
      <c r="E191" s="2"/>
      <c r="F191" s="2"/>
      <c r="G191" s="111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2:17" outlineLevel="1">
      <c r="C192" s="7" t="s">
        <v>38</v>
      </c>
      <c r="E192" s="123">
        <f t="shared" ref="E192:Q192" si="121">E107*Excahnge_Rate</f>
        <v>98.919749999999993</v>
      </c>
      <c r="F192" s="123">
        <f t="shared" si="121"/>
        <v>134.50799999999998</v>
      </c>
      <c r="G192" s="123">
        <f t="shared" si="121"/>
        <v>166.28399999999999</v>
      </c>
      <c r="H192" s="123">
        <f t="shared" si="121"/>
        <v>209.02416642471422</v>
      </c>
      <c r="I192" s="123">
        <f t="shared" si="121"/>
        <v>250.57913606118927</v>
      </c>
      <c r="J192" s="123">
        <f t="shared" si="121"/>
        <v>294.08083993406331</v>
      </c>
      <c r="K192" s="123">
        <f t="shared" si="121"/>
        <v>319.71169899754773</v>
      </c>
      <c r="L192" s="123">
        <f t="shared" si="121"/>
        <v>348.33811761959402</v>
      </c>
      <c r="M192" s="123">
        <f t="shared" si="121"/>
        <v>379.49141407986457</v>
      </c>
      <c r="N192" s="123">
        <f t="shared" si="121"/>
        <v>408.9601609505097</v>
      </c>
      <c r="O192" s="123">
        <f t="shared" si="121"/>
        <v>435.39383610907748</v>
      </c>
      <c r="P192" s="123">
        <f t="shared" si="121"/>
        <v>461.66217733066304</v>
      </c>
      <c r="Q192" s="123">
        <f t="shared" si="121"/>
        <v>491.5339701820775</v>
      </c>
    </row>
    <row r="193" spans="2:17" outlineLevel="1">
      <c r="C193" s="7" t="s">
        <v>173</v>
      </c>
      <c r="E193" s="120">
        <f t="shared" ref="E193:Q193" si="122">E108*Excahnge_Rate</f>
        <v>6.2152500000000011</v>
      </c>
      <c r="F193" s="120">
        <f t="shared" si="122"/>
        <v>44.187750000000001</v>
      </c>
      <c r="G193" s="120">
        <f t="shared" si="122"/>
        <v>0</v>
      </c>
      <c r="H193" s="120">
        <f t="shared" si="122"/>
        <v>0</v>
      </c>
      <c r="I193" s="120">
        <f t="shared" si="122"/>
        <v>0</v>
      </c>
      <c r="J193" s="120">
        <f t="shared" si="122"/>
        <v>0</v>
      </c>
      <c r="K193" s="120">
        <f t="shared" si="122"/>
        <v>0</v>
      </c>
      <c r="L193" s="120">
        <f t="shared" si="122"/>
        <v>0</v>
      </c>
      <c r="M193" s="120">
        <f t="shared" si="122"/>
        <v>0</v>
      </c>
      <c r="N193" s="120">
        <f t="shared" si="122"/>
        <v>0</v>
      </c>
      <c r="O193" s="120">
        <f t="shared" si="122"/>
        <v>0</v>
      </c>
      <c r="P193" s="120">
        <f t="shared" si="122"/>
        <v>0</v>
      </c>
      <c r="Q193" s="120">
        <f t="shared" si="122"/>
        <v>0</v>
      </c>
    </row>
    <row r="194" spans="2:17" outlineLevel="1">
      <c r="C194" s="12" t="s">
        <v>208</v>
      </c>
      <c r="D194" s="10"/>
      <c r="E194" s="118">
        <f t="shared" ref="E194:Q194" si="123">E109*Excahnge_Rate</f>
        <v>28.172250000000002</v>
      </c>
      <c r="F194" s="118">
        <f t="shared" si="123"/>
        <v>41.790749999999996</v>
      </c>
      <c r="G194" s="118">
        <f t="shared" si="123"/>
        <v>53.739750000000001</v>
      </c>
      <c r="H194" s="118">
        <f t="shared" si="123"/>
        <v>78.278451626477477</v>
      </c>
      <c r="I194" s="118">
        <f t="shared" si="123"/>
        <v>94.708202750991106</v>
      </c>
      <c r="J194" s="118">
        <f t="shared" si="123"/>
        <v>112.18725100971531</v>
      </c>
      <c r="K194" s="118">
        <f t="shared" si="123"/>
        <v>123.11393622125772</v>
      </c>
      <c r="L194" s="118">
        <f t="shared" si="123"/>
        <v>135.41293174980626</v>
      </c>
      <c r="M194" s="118">
        <f t="shared" si="123"/>
        <v>148.93981929374968</v>
      </c>
      <c r="N194" s="118">
        <f t="shared" si="123"/>
        <v>162.06141737352903</v>
      </c>
      <c r="O194" s="118">
        <f t="shared" si="123"/>
        <v>174.22540465106195</v>
      </c>
      <c r="P194" s="118">
        <f t="shared" si="123"/>
        <v>186.85295489222747</v>
      </c>
      <c r="Q194" s="118">
        <f t="shared" si="123"/>
        <v>198.94325172894989</v>
      </c>
    </row>
    <row r="195" spans="2:17" outlineLevel="1">
      <c r="B195" s="2"/>
      <c r="C195" s="2" t="s">
        <v>209</v>
      </c>
      <c r="D195" s="2"/>
      <c r="E195" s="119">
        <f t="shared" ref="E195:Q195" si="124">E110*Excahnge_Rate</f>
        <v>133.30725000000001</v>
      </c>
      <c r="F195" s="119">
        <f t="shared" si="124"/>
        <v>220.48649999999998</v>
      </c>
      <c r="G195" s="119">
        <f t="shared" si="124"/>
        <v>220.02375000000001</v>
      </c>
      <c r="H195" s="119">
        <f t="shared" si="124"/>
        <v>287.30261805119176</v>
      </c>
      <c r="I195" s="119">
        <f t="shared" si="124"/>
        <v>345.28733881218039</v>
      </c>
      <c r="J195" s="119">
        <f t="shared" si="124"/>
        <v>406.26809094377865</v>
      </c>
      <c r="K195" s="119">
        <f t="shared" si="124"/>
        <v>442.82563521880547</v>
      </c>
      <c r="L195" s="119">
        <f t="shared" si="124"/>
        <v>483.75104936940033</v>
      </c>
      <c r="M195" s="119">
        <f t="shared" si="124"/>
        <v>528.4312333736143</v>
      </c>
      <c r="N195" s="119">
        <f t="shared" si="124"/>
        <v>571.02157832403873</v>
      </c>
      <c r="O195" s="119">
        <f t="shared" si="124"/>
        <v>609.61924076013952</v>
      </c>
      <c r="P195" s="119">
        <f t="shared" si="124"/>
        <v>648.51513222289054</v>
      </c>
      <c r="Q195" s="119">
        <f t="shared" si="124"/>
        <v>690.47722191102741</v>
      </c>
    </row>
    <row r="196" spans="2:17" outlineLevel="1">
      <c r="E196" s="120"/>
      <c r="F196" s="120"/>
      <c r="G196" s="120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</row>
    <row r="197" spans="2:17" outlineLevel="1">
      <c r="B197" s="2"/>
      <c r="C197" s="2" t="s">
        <v>210</v>
      </c>
      <c r="D197" s="2"/>
      <c r="E197" s="120"/>
      <c r="F197" s="120"/>
      <c r="G197" s="120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</row>
    <row r="198" spans="2:17" outlineLevel="1">
      <c r="C198" s="7" t="s">
        <v>211</v>
      </c>
      <c r="E198" s="120">
        <f t="shared" ref="E198:Q198" si="125">E113*Excahnge_Rate</f>
        <v>371.12400000000002</v>
      </c>
      <c r="F198" s="120">
        <f t="shared" si="125"/>
        <v>377.84325000000001</v>
      </c>
      <c r="G198" s="120">
        <f t="shared" si="125"/>
        <v>579.00450000000001</v>
      </c>
      <c r="H198" s="120">
        <f t="shared" si="125"/>
        <v>654.34321660191517</v>
      </c>
      <c r="I198" s="120">
        <f t="shared" si="125"/>
        <v>753.40319215864417</v>
      </c>
      <c r="J198" s="120">
        <f t="shared" si="125"/>
        <v>874.46157282251363</v>
      </c>
      <c r="K198" s="120">
        <f t="shared" si="125"/>
        <v>999.14673745611731</v>
      </c>
      <c r="L198" s="120">
        <f t="shared" si="125"/>
        <v>1129.8965061832023</v>
      </c>
      <c r="M198" s="120">
        <f t="shared" si="125"/>
        <v>1268.4093795033971</v>
      </c>
      <c r="N198" s="120">
        <f t="shared" si="125"/>
        <v>1412.452741598031</v>
      </c>
      <c r="O198" s="120">
        <f t="shared" si="125"/>
        <v>1558.9451581738681</v>
      </c>
      <c r="P198" s="120">
        <f t="shared" si="125"/>
        <v>1708.5005493395076</v>
      </c>
      <c r="Q198" s="120">
        <f t="shared" si="125"/>
        <v>1859.3969408525006</v>
      </c>
    </row>
    <row r="199" spans="2:17" outlineLevel="1">
      <c r="C199" s="7" t="s">
        <v>212</v>
      </c>
      <c r="E199" s="120">
        <f t="shared" ref="E199:Q199" si="126">E114*Excahnge_Rate</f>
        <v>1.6432499999999992</v>
      </c>
      <c r="F199" s="120">
        <f t="shared" si="126"/>
        <v>-1.1639999999999997</v>
      </c>
      <c r="G199" s="120">
        <f t="shared" si="126"/>
        <v>6.5992499999999996</v>
      </c>
      <c r="H199" s="120">
        <f t="shared" si="126"/>
        <v>9.2971488160761897</v>
      </c>
      <c r="I199" s="120">
        <f t="shared" si="126"/>
        <v>12.171517859366869</v>
      </c>
      <c r="J199" s="120">
        <f t="shared" si="126"/>
        <v>15.139434437547679</v>
      </c>
      <c r="K199" s="120">
        <f t="shared" si="126"/>
        <v>16.815313376862342</v>
      </c>
      <c r="L199" s="120">
        <f t="shared" si="126"/>
        <v>18.860541756536719</v>
      </c>
      <c r="M199" s="120">
        <f t="shared" si="126"/>
        <v>21.22162985538143</v>
      </c>
      <c r="N199" s="120">
        <f t="shared" si="126"/>
        <v>23.572533559714749</v>
      </c>
      <c r="O199" s="120">
        <f t="shared" si="126"/>
        <v>25.80106527686263</v>
      </c>
      <c r="P199" s="120">
        <f t="shared" si="126"/>
        <v>28.385373582171539</v>
      </c>
      <c r="Q199" s="120">
        <f t="shared" si="126"/>
        <v>29.786937560366532</v>
      </c>
    </row>
    <row r="200" spans="2:17" outlineLevel="1">
      <c r="C200" s="7" t="s">
        <v>175</v>
      </c>
      <c r="E200" s="120">
        <f t="shared" ref="E200:Q200" si="127">E115*Excahnge_Rate</f>
        <v>56.141249999999999</v>
      </c>
      <c r="F200" s="120">
        <f t="shared" si="127"/>
        <v>0</v>
      </c>
      <c r="G200" s="120">
        <f t="shared" si="127"/>
        <v>0</v>
      </c>
      <c r="H200" s="120">
        <f t="shared" si="127"/>
        <v>0</v>
      </c>
      <c r="I200" s="120">
        <f t="shared" si="127"/>
        <v>0</v>
      </c>
      <c r="J200" s="120">
        <f t="shared" si="127"/>
        <v>0</v>
      </c>
      <c r="K200" s="120">
        <f t="shared" si="127"/>
        <v>0</v>
      </c>
      <c r="L200" s="120">
        <f t="shared" si="127"/>
        <v>0</v>
      </c>
      <c r="M200" s="120">
        <f t="shared" si="127"/>
        <v>0</v>
      </c>
      <c r="N200" s="120">
        <f t="shared" si="127"/>
        <v>0</v>
      </c>
      <c r="O200" s="120">
        <f t="shared" si="127"/>
        <v>0</v>
      </c>
      <c r="P200" s="120">
        <f t="shared" si="127"/>
        <v>0</v>
      </c>
      <c r="Q200" s="120">
        <f t="shared" si="127"/>
        <v>0</v>
      </c>
    </row>
    <row r="201" spans="2:17" outlineLevel="1">
      <c r="C201" s="12" t="s">
        <v>213</v>
      </c>
      <c r="D201" s="10"/>
      <c r="E201" s="118">
        <f t="shared" ref="E201:Q201" si="128">E116*Excahnge_Rate</f>
        <v>11.29425</v>
      </c>
      <c r="F201" s="118">
        <f t="shared" si="128"/>
        <v>53.322000000000003</v>
      </c>
      <c r="G201" s="118">
        <f t="shared" si="128"/>
        <v>47.713500000000003</v>
      </c>
      <c r="H201" s="118">
        <f t="shared" si="128"/>
        <v>43.984500000000004</v>
      </c>
      <c r="I201" s="118">
        <f t="shared" si="128"/>
        <v>40.41725000000001</v>
      </c>
      <c r="J201" s="118">
        <f t="shared" si="128"/>
        <v>38.00866666666667</v>
      </c>
      <c r="K201" s="118">
        <f t="shared" si="128"/>
        <v>34.773722222222233</v>
      </c>
      <c r="L201" s="118">
        <f t="shared" si="128"/>
        <v>31.703462962962977</v>
      </c>
      <c r="M201" s="118">
        <f t="shared" si="128"/>
        <v>28.798867283950631</v>
      </c>
      <c r="N201" s="118">
        <f t="shared" si="128"/>
        <v>25.728934156378614</v>
      </c>
      <c r="O201" s="118">
        <f t="shared" si="128"/>
        <v>22.71400480109741</v>
      </c>
      <c r="P201" s="118">
        <f t="shared" si="128"/>
        <v>19.717518747142222</v>
      </c>
      <c r="Q201" s="118">
        <f t="shared" si="128"/>
        <v>16.690402568206085</v>
      </c>
    </row>
    <row r="202" spans="2:17" outlineLevel="1">
      <c r="B202" s="2"/>
      <c r="C202" s="2" t="s">
        <v>214</v>
      </c>
      <c r="D202" s="2"/>
      <c r="E202" s="119">
        <f t="shared" ref="E202:Q202" si="129">E117*Excahnge_Rate</f>
        <v>440.20274999999992</v>
      </c>
      <c r="F202" s="119">
        <f t="shared" si="129"/>
        <v>430.00125000000003</v>
      </c>
      <c r="G202" s="119">
        <f t="shared" si="129"/>
        <v>633.31725000000006</v>
      </c>
      <c r="H202" s="119">
        <f t="shared" si="129"/>
        <v>707.62486541799126</v>
      </c>
      <c r="I202" s="119">
        <f t="shared" si="129"/>
        <v>805.99196001801101</v>
      </c>
      <c r="J202" s="119">
        <f t="shared" si="129"/>
        <v>927.60967392672796</v>
      </c>
      <c r="K202" s="119">
        <f t="shared" si="129"/>
        <v>1050.7357730552017</v>
      </c>
      <c r="L202" s="119">
        <f t="shared" si="129"/>
        <v>1180.460510902702</v>
      </c>
      <c r="M202" s="119">
        <f t="shared" si="129"/>
        <v>1318.4298766427291</v>
      </c>
      <c r="N202" s="119">
        <f t="shared" si="129"/>
        <v>1461.7542093141242</v>
      </c>
      <c r="O202" s="119">
        <f t="shared" si="129"/>
        <v>1607.4602282518285</v>
      </c>
      <c r="P202" s="119">
        <f t="shared" si="129"/>
        <v>1756.6034416688212</v>
      </c>
      <c r="Q202" s="119">
        <f t="shared" si="129"/>
        <v>1905.8742809810733</v>
      </c>
    </row>
    <row r="203" spans="2:17" outlineLevel="1">
      <c r="E203" s="120"/>
      <c r="F203" s="120"/>
      <c r="G203" s="120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</row>
    <row r="204" spans="2:17" outlineLevel="1">
      <c r="B204" s="2"/>
      <c r="C204" s="2" t="s">
        <v>215</v>
      </c>
      <c r="D204" s="2"/>
      <c r="E204" s="119">
        <f t="shared" ref="E204:Q204" si="130">E119*Excahnge_Rate</f>
        <v>270.19725</v>
      </c>
      <c r="F204" s="119">
        <f t="shared" si="130"/>
        <v>398.10825</v>
      </c>
      <c r="G204" s="119">
        <f t="shared" si="130"/>
        <v>514.34024999999997</v>
      </c>
      <c r="H204" s="119">
        <f t="shared" si="130"/>
        <v>699.28333556604935</v>
      </c>
      <c r="I204" s="119">
        <f t="shared" si="130"/>
        <v>938.93077524874457</v>
      </c>
      <c r="J204" s="119">
        <f t="shared" si="130"/>
        <v>1232.2840640071026</v>
      </c>
      <c r="K204" s="119">
        <f t="shared" si="130"/>
        <v>1555.7310386689333</v>
      </c>
      <c r="L204" s="119">
        <f t="shared" si="130"/>
        <v>1916.9406704423595</v>
      </c>
      <c r="M204" s="119">
        <f t="shared" si="130"/>
        <v>2321.0679663575243</v>
      </c>
      <c r="N204" s="119">
        <f t="shared" si="130"/>
        <v>2768.0205481369985</v>
      </c>
      <c r="O204" s="119">
        <f t="shared" si="130"/>
        <v>3255.7061941852626</v>
      </c>
      <c r="P204" s="119">
        <f t="shared" si="130"/>
        <v>3790.4898128535829</v>
      </c>
      <c r="Q204" s="119">
        <f t="shared" si="130"/>
        <v>4350.8348658593259</v>
      </c>
    </row>
    <row r="205" spans="2:17" outlineLevel="1">
      <c r="B205" s="2"/>
      <c r="C205" s="2"/>
      <c r="D205" s="2"/>
      <c r="E205" s="120"/>
      <c r="F205" s="120"/>
      <c r="G205" s="120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</row>
    <row r="206" spans="2:17" outlineLevel="1">
      <c r="B206" s="2"/>
      <c r="C206" s="2" t="s">
        <v>216</v>
      </c>
      <c r="D206" s="2"/>
      <c r="E206" s="117">
        <f t="shared" ref="E206:Q206" si="131">E121*Excahnge_Rate</f>
        <v>843.70724999999982</v>
      </c>
      <c r="F206" s="117">
        <f t="shared" si="131"/>
        <v>1048.596</v>
      </c>
      <c r="G206" s="117">
        <f t="shared" si="131"/>
        <v>1367.6812500000001</v>
      </c>
      <c r="H206" s="117">
        <f t="shared" si="131"/>
        <v>1694.2108190352324</v>
      </c>
      <c r="I206" s="117">
        <f t="shared" si="131"/>
        <v>2090.210074078936</v>
      </c>
      <c r="J206" s="117">
        <f t="shared" si="131"/>
        <v>2566.161828877609</v>
      </c>
      <c r="K206" s="117">
        <f t="shared" si="131"/>
        <v>3049.2924469429404</v>
      </c>
      <c r="L206" s="117">
        <f t="shared" si="131"/>
        <v>3581.1522307144623</v>
      </c>
      <c r="M206" s="117">
        <f t="shared" si="131"/>
        <v>4167.9290763738682</v>
      </c>
      <c r="N206" s="117">
        <f t="shared" si="131"/>
        <v>4800.7963357751614</v>
      </c>
      <c r="O206" s="117">
        <f t="shared" si="131"/>
        <v>5472.7856631972309</v>
      </c>
      <c r="P206" s="117">
        <f t="shared" si="131"/>
        <v>6195.6083867452944</v>
      </c>
      <c r="Q206" s="117">
        <f t="shared" si="131"/>
        <v>6947.1863687514251</v>
      </c>
    </row>
    <row r="207" spans="2:17" outlineLevel="1">
      <c r="B207" s="2"/>
      <c r="C207" s="2"/>
      <c r="D207" s="2"/>
      <c r="E207" s="112"/>
      <c r="F207" s="112"/>
      <c r="G207" s="11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2:17" outlineLevel="1">
      <c r="B208" s="2"/>
      <c r="C208" s="2" t="s">
        <v>24</v>
      </c>
      <c r="D208" s="2"/>
      <c r="E208" s="113">
        <f t="shared" ref="E208:Q208" si="132">E123*Excahnge_Rate</f>
        <v>0</v>
      </c>
      <c r="F208" s="113">
        <f t="shared" si="132"/>
        <v>0</v>
      </c>
      <c r="G208" s="113">
        <f t="shared" si="132"/>
        <v>0</v>
      </c>
      <c r="H208" s="113">
        <f t="shared" si="132"/>
        <v>0</v>
      </c>
      <c r="I208" s="113">
        <f t="shared" si="132"/>
        <v>0</v>
      </c>
      <c r="J208" s="113">
        <f t="shared" si="132"/>
        <v>0</v>
      </c>
      <c r="K208" s="113">
        <f t="shared" si="132"/>
        <v>0</v>
      </c>
      <c r="L208" s="113">
        <f t="shared" si="132"/>
        <v>0</v>
      </c>
      <c r="M208" s="113">
        <f t="shared" si="132"/>
        <v>0</v>
      </c>
      <c r="N208" s="113">
        <f t="shared" si="132"/>
        <v>0</v>
      </c>
      <c r="O208" s="113">
        <f t="shared" si="132"/>
        <v>0</v>
      </c>
      <c r="P208" s="113">
        <f t="shared" si="132"/>
        <v>0</v>
      </c>
      <c r="Q208" s="113">
        <f t="shared" si="132"/>
        <v>0</v>
      </c>
    </row>
    <row r="210" spans="2:17">
      <c r="B210" s="33" t="s">
        <v>227</v>
      </c>
      <c r="C210" s="32"/>
      <c r="D210" s="31"/>
      <c r="E210" s="30" t="s">
        <v>23</v>
      </c>
      <c r="F210" s="30"/>
      <c r="G210" s="29"/>
      <c r="H210" s="29" t="s">
        <v>22</v>
      </c>
      <c r="I210" s="30"/>
      <c r="J210" s="30"/>
      <c r="K210" s="30"/>
      <c r="L210" s="30"/>
      <c r="M210" s="30"/>
      <c r="N210" s="30"/>
      <c r="O210" s="30"/>
      <c r="P210" s="30"/>
      <c r="Q210" s="29"/>
    </row>
    <row r="211" spans="2:17">
      <c r="B211" s="33" t="s">
        <v>21</v>
      </c>
      <c r="C211" s="32"/>
      <c r="D211" s="104" t="s">
        <v>20</v>
      </c>
      <c r="E211" s="105">
        <f>DATE(2020,12,31)</f>
        <v>44196</v>
      </c>
      <c r="F211" s="105">
        <f t="shared" ref="F211:Q211" si="133">EDATE(E211,12)</f>
        <v>44561</v>
      </c>
      <c r="G211" s="105">
        <f t="shared" si="133"/>
        <v>44926</v>
      </c>
      <c r="H211" s="105">
        <f t="shared" si="133"/>
        <v>45291</v>
      </c>
      <c r="I211" s="105">
        <f t="shared" si="133"/>
        <v>45657</v>
      </c>
      <c r="J211" s="105">
        <f t="shared" si="133"/>
        <v>46022</v>
      </c>
      <c r="K211" s="105">
        <f t="shared" si="133"/>
        <v>46387</v>
      </c>
      <c r="L211" s="105">
        <f t="shared" si="133"/>
        <v>46752</v>
      </c>
      <c r="M211" s="105">
        <f t="shared" si="133"/>
        <v>47118</v>
      </c>
      <c r="N211" s="105">
        <f t="shared" si="133"/>
        <v>47483</v>
      </c>
      <c r="O211" s="105">
        <f t="shared" si="133"/>
        <v>47848</v>
      </c>
      <c r="P211" s="105">
        <f t="shared" si="133"/>
        <v>48213</v>
      </c>
      <c r="Q211" s="105">
        <f t="shared" si="133"/>
        <v>48579</v>
      </c>
    </row>
    <row r="212" spans="2:17" outlineLevel="1">
      <c r="B212" s="17" t="s">
        <v>19</v>
      </c>
      <c r="C212" s="16"/>
      <c r="D212" s="1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 spans="2:17" outlineLevel="1">
      <c r="B213" s="2"/>
      <c r="C213" s="2" t="s">
        <v>18</v>
      </c>
      <c r="D213" s="4" t="s">
        <v>0</v>
      </c>
      <c r="E213" s="117">
        <f t="shared" ref="E213:Q213" si="134">E128*Excahnge_Rate</f>
        <v>14.420249999999999</v>
      </c>
      <c r="F213" s="117">
        <f t="shared" si="134"/>
        <v>117.68774999999999</v>
      </c>
      <c r="G213" s="117">
        <f t="shared" si="134"/>
        <v>140.691</v>
      </c>
      <c r="H213" s="117">
        <f t="shared" si="134"/>
        <v>169.57658556604923</v>
      </c>
      <c r="I213" s="117">
        <f t="shared" si="134"/>
        <v>222.00402301602867</v>
      </c>
      <c r="J213" s="117">
        <f t="shared" si="134"/>
        <v>276.13773320280234</v>
      </c>
      <c r="K213" s="117">
        <f t="shared" si="134"/>
        <v>306.70515058775646</v>
      </c>
      <c r="L213" s="117">
        <f t="shared" si="134"/>
        <v>344.00936634132756</v>
      </c>
      <c r="M213" s="117">
        <f t="shared" si="134"/>
        <v>387.07474756125532</v>
      </c>
      <c r="N213" s="117">
        <f t="shared" si="134"/>
        <v>429.95436915944674</v>
      </c>
      <c r="O213" s="117">
        <f t="shared" si="134"/>
        <v>470.60197057958578</v>
      </c>
      <c r="P213" s="117">
        <f t="shared" si="134"/>
        <v>517.73880652078162</v>
      </c>
      <c r="Q213" s="117">
        <f t="shared" si="134"/>
        <v>543.30281959366096</v>
      </c>
    </row>
    <row r="214" spans="2:17" outlineLevel="1">
      <c r="B214" s="2"/>
      <c r="C214" s="53" t="s">
        <v>217</v>
      </c>
      <c r="D214" s="2"/>
      <c r="E214" s="120"/>
      <c r="F214" s="120"/>
      <c r="G214" s="120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</row>
    <row r="215" spans="2:17" outlineLevel="1">
      <c r="C215" s="106" t="s">
        <v>16</v>
      </c>
      <c r="D215" s="4" t="s">
        <v>0</v>
      </c>
      <c r="E215" s="120">
        <f t="shared" ref="E215:Q215" si="135">E130*Excahnge_Rate</f>
        <v>29.15325</v>
      </c>
      <c r="F215" s="120">
        <f t="shared" si="135"/>
        <v>33.426749999999998</v>
      </c>
      <c r="G215" s="120">
        <f t="shared" si="135"/>
        <v>39.641249999999999</v>
      </c>
      <c r="H215" s="120">
        <f t="shared" si="135"/>
        <v>41.297190012000002</v>
      </c>
      <c r="I215" s="120">
        <f t="shared" si="135"/>
        <v>37.473748171774197</v>
      </c>
      <c r="J215" s="120">
        <f t="shared" si="135"/>
        <v>39.950806828502799</v>
      </c>
      <c r="K215" s="120">
        <f t="shared" si="135"/>
        <v>42.218116001896163</v>
      </c>
      <c r="L215" s="120">
        <f t="shared" si="135"/>
        <v>44.649688518671134</v>
      </c>
      <c r="M215" s="120">
        <f t="shared" si="135"/>
        <v>47.145511107527582</v>
      </c>
      <c r="N215" s="120">
        <f t="shared" si="135"/>
        <v>49.161571026263225</v>
      </c>
      <c r="O215" s="120">
        <f t="shared" si="135"/>
        <v>50.553641777673306</v>
      </c>
      <c r="P215" s="120">
        <f t="shared" si="135"/>
        <v>51.753240599816564</v>
      </c>
      <c r="Q215" s="120">
        <f t="shared" si="135"/>
        <v>54.052366969921756</v>
      </c>
    </row>
    <row r="216" spans="2:17" outlineLevel="1">
      <c r="C216" s="106" t="s">
        <v>13</v>
      </c>
      <c r="D216" s="4" t="s">
        <v>0</v>
      </c>
      <c r="E216" s="120">
        <f t="shared" ref="E216:Q216" si="136">E131*Excahnge_Rate</f>
        <v>8.0182500000000001</v>
      </c>
      <c r="F216" s="120">
        <f t="shared" si="136"/>
        <v>19.59825</v>
      </c>
      <c r="G216" s="120">
        <f t="shared" si="136"/>
        <v>18.27675</v>
      </c>
      <c r="H216" s="120">
        <f t="shared" si="136"/>
        <v>0</v>
      </c>
      <c r="I216" s="120">
        <f t="shared" si="136"/>
        <v>0</v>
      </c>
      <c r="J216" s="120">
        <f t="shared" si="136"/>
        <v>0</v>
      </c>
      <c r="K216" s="120">
        <f t="shared" si="136"/>
        <v>0</v>
      </c>
      <c r="L216" s="120">
        <f t="shared" si="136"/>
        <v>0</v>
      </c>
      <c r="M216" s="120">
        <f t="shared" si="136"/>
        <v>0</v>
      </c>
      <c r="N216" s="120">
        <f t="shared" si="136"/>
        <v>0</v>
      </c>
      <c r="O216" s="120">
        <f t="shared" si="136"/>
        <v>0</v>
      </c>
      <c r="P216" s="120">
        <f t="shared" si="136"/>
        <v>0</v>
      </c>
      <c r="Q216" s="120">
        <f t="shared" si="136"/>
        <v>0</v>
      </c>
    </row>
    <row r="217" spans="2:17" outlineLevel="1">
      <c r="C217" s="106" t="s">
        <v>218</v>
      </c>
      <c r="D217" s="4" t="s">
        <v>0</v>
      </c>
      <c r="E217" s="120">
        <f t="shared" ref="E217:Q217" si="137">E132*Excahnge_Rate</f>
        <v>3.2280000000000002</v>
      </c>
      <c r="F217" s="120">
        <f t="shared" si="137"/>
        <v>27.388500000000001</v>
      </c>
      <c r="G217" s="120">
        <f t="shared" si="137"/>
        <v>-35.397750000000002</v>
      </c>
      <c r="H217" s="120">
        <f t="shared" si="137"/>
        <v>2.6978988160761896</v>
      </c>
      <c r="I217" s="120">
        <f t="shared" si="137"/>
        <v>2.8743690432906805</v>
      </c>
      <c r="J217" s="120">
        <f t="shared" si="137"/>
        <v>2.9679165781808097</v>
      </c>
      <c r="K217" s="120">
        <f t="shared" si="137"/>
        <v>1.6758789393146643</v>
      </c>
      <c r="L217" s="120">
        <f t="shared" si="137"/>
        <v>2.0452283796743771</v>
      </c>
      <c r="M217" s="120">
        <f t="shared" si="137"/>
        <v>2.3610880988447098</v>
      </c>
      <c r="N217" s="120">
        <f t="shared" si="137"/>
        <v>2.3509037043333203</v>
      </c>
      <c r="O217" s="120">
        <f t="shared" si="137"/>
        <v>2.2285317171478791</v>
      </c>
      <c r="P217" s="120">
        <f t="shared" si="137"/>
        <v>2.5843083053089071</v>
      </c>
      <c r="Q217" s="120">
        <f t="shared" si="137"/>
        <v>1.4015639781949947</v>
      </c>
    </row>
    <row r="218" spans="2:17" outlineLevel="1">
      <c r="C218" s="106" t="s">
        <v>4</v>
      </c>
      <c r="D218" s="4" t="s">
        <v>0</v>
      </c>
      <c r="E218" s="120">
        <f t="shared" ref="E218:Q218" si="138">E133*Excahnge_Rate</f>
        <v>-4.2142499999999972</v>
      </c>
      <c r="F218" s="120">
        <f t="shared" si="138"/>
        <v>-7.0432499999999916</v>
      </c>
      <c r="G218" s="120">
        <f t="shared" si="138"/>
        <v>7.0499999999997565E-2</v>
      </c>
      <c r="H218" s="120">
        <f t="shared" si="138"/>
        <v>-3.7289999999999974</v>
      </c>
      <c r="I218" s="120">
        <f t="shared" si="138"/>
        <v>-3.5672499999999978</v>
      </c>
      <c r="J218" s="120">
        <f t="shared" si="138"/>
        <v>-2.4085833333333326</v>
      </c>
      <c r="K218" s="120">
        <f t="shared" si="138"/>
        <v>-3.2349444444444426</v>
      </c>
      <c r="L218" s="120">
        <f t="shared" si="138"/>
        <v>-3.0702592592592577</v>
      </c>
      <c r="M218" s="120">
        <f t="shared" si="138"/>
        <v>-2.9045956790123446</v>
      </c>
      <c r="N218" s="120">
        <f t="shared" si="138"/>
        <v>-3.069933127572015</v>
      </c>
      <c r="O218" s="120">
        <f t="shared" si="138"/>
        <v>-3.0149293552812058</v>
      </c>
      <c r="P218" s="120">
        <f t="shared" si="138"/>
        <v>-2.9964860539551887</v>
      </c>
      <c r="Q218" s="120">
        <f t="shared" si="138"/>
        <v>-3.0271161789361365</v>
      </c>
    </row>
    <row r="219" spans="2:17" outlineLevel="1">
      <c r="B219" s="2"/>
      <c r="C219" s="115" t="s">
        <v>87</v>
      </c>
      <c r="D219" s="11" t="s">
        <v>0</v>
      </c>
      <c r="E219" s="124">
        <f t="shared" ref="E219:Q219" si="139">E134*Excahnge_Rate</f>
        <v>2.9347499999999997</v>
      </c>
      <c r="F219" s="124">
        <f t="shared" si="139"/>
        <v>14.042249999999999</v>
      </c>
      <c r="G219" s="124">
        <f t="shared" si="139"/>
        <v>-171.71699999999998</v>
      </c>
      <c r="H219" s="124">
        <f t="shared" si="139"/>
        <v>14.540791467054788</v>
      </c>
      <c r="I219" s="124">
        <f t="shared" si="139"/>
        <v>-31.581785436034082</v>
      </c>
      <c r="J219" s="124">
        <f t="shared" si="139"/>
        <v>-33.024109185490161</v>
      </c>
      <c r="K219" s="124">
        <f t="shared" si="139"/>
        <v>-19.373981986927021</v>
      </c>
      <c r="L219" s="124">
        <f t="shared" si="139"/>
        <v>-21.625606819042019</v>
      </c>
      <c r="M219" s="124">
        <f t="shared" si="139"/>
        <v>-23.515594607765962</v>
      </c>
      <c r="N219" s="124">
        <f t="shared" si="139"/>
        <v>-22.200652288621598</v>
      </c>
      <c r="O219" s="124">
        <f t="shared" si="139"/>
        <v>-19.861755211644947</v>
      </c>
      <c r="P219" s="124">
        <f t="shared" si="139"/>
        <v>-19.665740898293819</v>
      </c>
      <c r="Q219" s="124">
        <f t="shared" si="139"/>
        <v>-22.665352748034366</v>
      </c>
    </row>
    <row r="220" spans="2:17" outlineLevel="1">
      <c r="B220" s="2"/>
      <c r="C220" s="2" t="s">
        <v>219</v>
      </c>
      <c r="D220" s="2"/>
      <c r="E220" s="117">
        <f t="shared" ref="E220:Q220" si="140">E135*Excahnge_Rate</f>
        <v>53.54025</v>
      </c>
      <c r="F220" s="117">
        <f t="shared" si="140"/>
        <v>205.10024999999999</v>
      </c>
      <c r="G220" s="117">
        <f t="shared" si="140"/>
        <v>-8.4352499999999893</v>
      </c>
      <c r="H220" s="117">
        <f t="shared" si="140"/>
        <v>224.38346586118027</v>
      </c>
      <c r="I220" s="117">
        <f t="shared" si="140"/>
        <v>227.20310479505946</v>
      </c>
      <c r="J220" s="117">
        <f t="shared" si="140"/>
        <v>283.62376409066246</v>
      </c>
      <c r="K220" s="117">
        <f t="shared" si="140"/>
        <v>327.9902190975958</v>
      </c>
      <c r="L220" s="117">
        <f t="shared" si="140"/>
        <v>366.00841716137182</v>
      </c>
      <c r="M220" s="117">
        <f t="shared" si="140"/>
        <v>410.16115648084929</v>
      </c>
      <c r="N220" s="117">
        <f t="shared" si="140"/>
        <v>456.19625847384964</v>
      </c>
      <c r="O220" s="117">
        <f t="shared" si="140"/>
        <v>500.50745950748086</v>
      </c>
      <c r="P220" s="117">
        <f t="shared" si="140"/>
        <v>549.41412847365814</v>
      </c>
      <c r="Q220" s="117">
        <f t="shared" si="140"/>
        <v>573.06428161480721</v>
      </c>
    </row>
    <row r="221" spans="2:17" outlineLevel="1">
      <c r="E221" s="116"/>
      <c r="F221" s="116"/>
      <c r="G221" s="116"/>
      <c r="H221" s="18"/>
      <c r="I221" s="18"/>
      <c r="J221" s="18"/>
    </row>
    <row r="222" spans="2:17" outlineLevel="1">
      <c r="B222" s="17" t="s">
        <v>9</v>
      </c>
      <c r="C222" s="16"/>
      <c r="D222" s="1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 spans="2:17" outlineLevel="1">
      <c r="C223" s="7" t="s">
        <v>220</v>
      </c>
      <c r="E223" s="120">
        <f t="shared" ref="E223:Q223" si="141">E138*Excahnge_Rate</f>
        <v>-37.691250000000004</v>
      </c>
      <c r="F223" s="120">
        <f t="shared" si="141"/>
        <v>-49.070250000000001</v>
      </c>
      <c r="G223" s="120">
        <f t="shared" si="141"/>
        <v>-92.075249999999997</v>
      </c>
      <c r="H223" s="120">
        <f t="shared" si="141"/>
        <v>-115.4550658854908</v>
      </c>
      <c r="I223" s="120">
        <f t="shared" si="141"/>
        <v>-127.19651347790048</v>
      </c>
      <c r="J223" s="120">
        <f t="shared" si="141"/>
        <v>-135.87490714117644</v>
      </c>
      <c r="K223" s="120">
        <f t="shared" si="141"/>
        <v>-132.87095859454172</v>
      </c>
      <c r="L223" s="120">
        <f t="shared" si="141"/>
        <v>-128.28479837957036</v>
      </c>
      <c r="M223" s="120">
        <f t="shared" si="141"/>
        <v>-121.45566793708105</v>
      </c>
      <c r="N223" s="120">
        <f t="shared" si="141"/>
        <v>-110.78131618396256</v>
      </c>
      <c r="O223" s="120">
        <f t="shared" si="141"/>
        <v>-119.09632750799767</v>
      </c>
      <c r="P223" s="120">
        <f t="shared" si="141"/>
        <v>-127.72821940779001</v>
      </c>
      <c r="Q223" s="120">
        <f t="shared" si="141"/>
        <v>-135.99285770562636</v>
      </c>
    </row>
    <row r="224" spans="2:17" outlineLevel="1">
      <c r="C224" s="7" t="s">
        <v>221</v>
      </c>
      <c r="E224" s="120">
        <f t="shared" ref="E224:Q224" si="142">E139*Excahnge_Rate</f>
        <v>-0.44474999999999998</v>
      </c>
      <c r="F224" s="120">
        <f t="shared" si="142"/>
        <v>-1.1955</v>
      </c>
      <c r="G224" s="120">
        <f t="shared" si="142"/>
        <v>-2.1157500000000002</v>
      </c>
      <c r="H224" s="120">
        <f t="shared" si="142"/>
        <v>-2.1157500000000002</v>
      </c>
      <c r="I224" s="120">
        <f t="shared" si="142"/>
        <v>-2.1157500000000002</v>
      </c>
      <c r="J224" s="120">
        <f t="shared" si="142"/>
        <v>-2.1157500000000002</v>
      </c>
      <c r="K224" s="120">
        <f t="shared" si="142"/>
        <v>-2.1157500000000002</v>
      </c>
      <c r="L224" s="120">
        <f t="shared" si="142"/>
        <v>-2.1157500000000002</v>
      </c>
      <c r="M224" s="120">
        <f t="shared" si="142"/>
        <v>-2.1157500000000002</v>
      </c>
      <c r="N224" s="120">
        <f t="shared" si="142"/>
        <v>-2.1157500000000002</v>
      </c>
      <c r="O224" s="120">
        <f t="shared" si="142"/>
        <v>-2.1157500000000002</v>
      </c>
      <c r="P224" s="120">
        <f t="shared" si="142"/>
        <v>-2.1157500000000002</v>
      </c>
      <c r="Q224" s="120">
        <f t="shared" si="142"/>
        <v>-2.1157500000000002</v>
      </c>
    </row>
    <row r="225" spans="2:17" outlineLevel="1">
      <c r="C225" s="12" t="s">
        <v>222</v>
      </c>
      <c r="D225" s="10"/>
      <c r="E225" s="118">
        <f t="shared" ref="E225:Q225" si="143">E140*Excahnge_Rate</f>
        <v>0</v>
      </c>
      <c r="F225" s="118">
        <f t="shared" si="143"/>
        <v>-24.416249999999998</v>
      </c>
      <c r="G225" s="118">
        <f t="shared" si="143"/>
        <v>-4.21875</v>
      </c>
      <c r="H225" s="118">
        <f t="shared" si="143"/>
        <v>0</v>
      </c>
      <c r="I225" s="118">
        <f t="shared" si="143"/>
        <v>0</v>
      </c>
      <c r="J225" s="118">
        <f t="shared" si="143"/>
        <v>0</v>
      </c>
      <c r="K225" s="118">
        <f t="shared" si="143"/>
        <v>0</v>
      </c>
      <c r="L225" s="118">
        <f t="shared" si="143"/>
        <v>0</v>
      </c>
      <c r="M225" s="118">
        <f t="shared" si="143"/>
        <v>0</v>
      </c>
      <c r="N225" s="118">
        <f t="shared" si="143"/>
        <v>0</v>
      </c>
      <c r="O225" s="118">
        <f t="shared" si="143"/>
        <v>0</v>
      </c>
      <c r="P225" s="118">
        <f t="shared" si="143"/>
        <v>0</v>
      </c>
      <c r="Q225" s="118">
        <f t="shared" si="143"/>
        <v>0</v>
      </c>
    </row>
    <row r="226" spans="2:17" outlineLevel="1">
      <c r="B226" s="2"/>
      <c r="C226" s="2" t="s">
        <v>223</v>
      </c>
      <c r="D226" s="2"/>
      <c r="E226" s="117">
        <f t="shared" ref="E226:Q226" si="144">E141*Excahnge_Rate</f>
        <v>-38.135999999999996</v>
      </c>
      <c r="F226" s="117">
        <f t="shared" si="144"/>
        <v>-74.681999999999988</v>
      </c>
      <c r="G226" s="117">
        <f t="shared" si="144"/>
        <v>-98.409750000000003</v>
      </c>
      <c r="H226" s="117">
        <f t="shared" si="144"/>
        <v>-117.57081588549079</v>
      </c>
      <c r="I226" s="117">
        <f t="shared" si="144"/>
        <v>-129.3122634779005</v>
      </c>
      <c r="J226" s="117">
        <f t="shared" si="144"/>
        <v>-137.99065714117646</v>
      </c>
      <c r="K226" s="117">
        <f t="shared" si="144"/>
        <v>-134.98670859454171</v>
      </c>
      <c r="L226" s="117">
        <f t="shared" si="144"/>
        <v>-130.40054837957035</v>
      </c>
      <c r="M226" s="117">
        <f t="shared" si="144"/>
        <v>-123.57141793708104</v>
      </c>
      <c r="N226" s="117">
        <f t="shared" si="144"/>
        <v>-112.89706618396255</v>
      </c>
      <c r="O226" s="117">
        <f t="shared" si="144"/>
        <v>-121.21207750799766</v>
      </c>
      <c r="P226" s="117">
        <f t="shared" si="144"/>
        <v>-129.84396940779001</v>
      </c>
      <c r="Q226" s="117">
        <f t="shared" si="144"/>
        <v>-138.10860770562635</v>
      </c>
    </row>
    <row r="227" spans="2:17" outlineLevel="1"/>
    <row r="228" spans="2:17" outlineLevel="1">
      <c r="B228" s="17" t="s">
        <v>6</v>
      </c>
      <c r="C228" s="16"/>
      <c r="D228" s="1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spans="2:17" outlineLevel="1">
      <c r="C229" s="7" t="s">
        <v>224</v>
      </c>
      <c r="E229" s="120">
        <f t="shared" ref="E229:Q229" si="145">E144*Excahnge_Rate</f>
        <v>0</v>
      </c>
      <c r="F229" s="120">
        <f t="shared" si="145"/>
        <v>-56.25</v>
      </c>
      <c r="G229" s="120">
        <f t="shared" si="145"/>
        <v>0</v>
      </c>
      <c r="H229" s="120">
        <f t="shared" si="145"/>
        <v>0</v>
      </c>
      <c r="I229" s="120">
        <f t="shared" si="145"/>
        <v>0</v>
      </c>
      <c r="J229" s="120">
        <f t="shared" si="145"/>
        <v>0</v>
      </c>
      <c r="K229" s="120">
        <f t="shared" si="145"/>
        <v>0</v>
      </c>
      <c r="L229" s="120">
        <f t="shared" si="145"/>
        <v>0</v>
      </c>
      <c r="M229" s="120">
        <f t="shared" si="145"/>
        <v>0</v>
      </c>
      <c r="N229" s="120">
        <f t="shared" si="145"/>
        <v>0</v>
      </c>
      <c r="O229" s="120">
        <f t="shared" si="145"/>
        <v>0</v>
      </c>
      <c r="P229" s="120">
        <f t="shared" si="145"/>
        <v>0</v>
      </c>
      <c r="Q229" s="120">
        <f t="shared" si="145"/>
        <v>0</v>
      </c>
    </row>
    <row r="230" spans="2:17" outlineLevel="1">
      <c r="C230" s="7" t="s">
        <v>5</v>
      </c>
      <c r="E230" s="120">
        <f t="shared" ref="E230:Q230" si="146">E145*Excahnge_Rate</f>
        <v>-0.39224999999999999</v>
      </c>
      <c r="F230" s="120">
        <f t="shared" si="146"/>
        <v>-6.0217499999999999</v>
      </c>
      <c r="G230" s="120">
        <f t="shared" si="146"/>
        <v>-45.843000000000004</v>
      </c>
      <c r="H230" s="120">
        <f t="shared" si="146"/>
        <v>0</v>
      </c>
      <c r="I230" s="120">
        <f t="shared" si="146"/>
        <v>0</v>
      </c>
      <c r="J230" s="120">
        <f t="shared" si="146"/>
        <v>0</v>
      </c>
      <c r="K230" s="120">
        <f t="shared" si="146"/>
        <v>0</v>
      </c>
      <c r="L230" s="120">
        <f t="shared" si="146"/>
        <v>0</v>
      </c>
      <c r="M230" s="120">
        <f t="shared" si="146"/>
        <v>0</v>
      </c>
      <c r="N230" s="120">
        <f t="shared" si="146"/>
        <v>0</v>
      </c>
      <c r="O230" s="120">
        <f t="shared" si="146"/>
        <v>0</v>
      </c>
      <c r="P230" s="120">
        <f t="shared" si="146"/>
        <v>0</v>
      </c>
      <c r="Q230" s="120">
        <f t="shared" si="146"/>
        <v>0</v>
      </c>
    </row>
    <row r="231" spans="2:17" outlineLevel="1">
      <c r="C231" s="12" t="s">
        <v>4</v>
      </c>
      <c r="D231" s="10"/>
      <c r="E231" s="118">
        <f t="shared" ref="E231:Q231" si="147">E146*Excahnge_Rate</f>
        <v>8.5357500000000002</v>
      </c>
      <c r="F231" s="118">
        <f t="shared" si="147"/>
        <v>18.927</v>
      </c>
      <c r="G231" s="118">
        <f t="shared" si="147"/>
        <v>18.636749999999999</v>
      </c>
      <c r="H231" s="118">
        <f t="shared" si="147"/>
        <v>15.366500000000002</v>
      </c>
      <c r="I231" s="118">
        <f t="shared" si="147"/>
        <v>17.643416666666667</v>
      </c>
      <c r="J231" s="118">
        <f t="shared" si="147"/>
        <v>17.215555555555557</v>
      </c>
      <c r="K231" s="118">
        <f t="shared" si="147"/>
        <v>16.741824074074074</v>
      </c>
      <c r="L231" s="118">
        <f t="shared" si="147"/>
        <v>17.200265432098767</v>
      </c>
      <c r="M231" s="118">
        <f t="shared" si="147"/>
        <v>17.052548353909465</v>
      </c>
      <c r="N231" s="118">
        <f t="shared" si="147"/>
        <v>16.998212620027434</v>
      </c>
      <c r="O231" s="118">
        <f t="shared" si="147"/>
        <v>17.083675468678553</v>
      </c>
      <c r="P231" s="118">
        <f t="shared" si="147"/>
        <v>17.044812147538483</v>
      </c>
      <c r="Q231" s="118">
        <f t="shared" si="147"/>
        <v>17.04223341208149</v>
      </c>
    </row>
    <row r="232" spans="2:17" outlineLevel="1">
      <c r="B232" s="2"/>
      <c r="C232" s="2" t="s">
        <v>225</v>
      </c>
      <c r="D232" s="2"/>
      <c r="E232" s="117">
        <f t="shared" ref="E232:Q232" si="148">E147*Excahnge_Rate</f>
        <v>8.1434999999999995</v>
      </c>
      <c r="F232" s="117">
        <f t="shared" si="148"/>
        <v>-43.344749999999991</v>
      </c>
      <c r="G232" s="117">
        <f t="shared" si="148"/>
        <v>-27.206250000000004</v>
      </c>
      <c r="H232" s="117">
        <f t="shared" si="148"/>
        <v>15.366500000000002</v>
      </c>
      <c r="I232" s="117">
        <f t="shared" si="148"/>
        <v>17.643416666666667</v>
      </c>
      <c r="J232" s="117">
        <f t="shared" si="148"/>
        <v>17.215555555555557</v>
      </c>
      <c r="K232" s="117">
        <f t="shared" si="148"/>
        <v>16.741824074074074</v>
      </c>
      <c r="L232" s="117">
        <f t="shared" si="148"/>
        <v>17.200265432098767</v>
      </c>
      <c r="M232" s="117">
        <f t="shared" si="148"/>
        <v>17.052548353909465</v>
      </c>
      <c r="N232" s="117">
        <f t="shared" si="148"/>
        <v>16.998212620027434</v>
      </c>
      <c r="O232" s="117">
        <f t="shared" si="148"/>
        <v>17.083675468678553</v>
      </c>
      <c r="P232" s="117">
        <f t="shared" si="148"/>
        <v>17.044812147538483</v>
      </c>
      <c r="Q232" s="117">
        <f t="shared" si="148"/>
        <v>17.04223341208149</v>
      </c>
    </row>
    <row r="233" spans="2:17" outlineLevel="1"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</row>
    <row r="234" spans="2:17" outlineLevel="1">
      <c r="B234" s="2"/>
      <c r="C234" s="2" t="s">
        <v>226</v>
      </c>
      <c r="D234" s="2"/>
      <c r="E234" s="117">
        <f t="shared" ref="E234:Q234" si="149">E149*Excahnge_Rate</f>
        <v>23.547750000000004</v>
      </c>
      <c r="F234" s="117">
        <f t="shared" si="149"/>
        <v>87.07350000000001</v>
      </c>
      <c r="G234" s="117">
        <f t="shared" si="149"/>
        <v>-134.05124999999998</v>
      </c>
      <c r="H234" s="117">
        <f t="shared" si="149"/>
        <v>122.17914997568948</v>
      </c>
      <c r="I234" s="117">
        <f t="shared" si="149"/>
        <v>115.53425798382565</v>
      </c>
      <c r="J234" s="117">
        <f t="shared" si="149"/>
        <v>162.84866250504155</v>
      </c>
      <c r="K234" s="117">
        <f t="shared" si="149"/>
        <v>209.74533457712812</v>
      </c>
      <c r="L234" s="117">
        <f t="shared" si="149"/>
        <v>252.80813421390025</v>
      </c>
      <c r="M234" s="117">
        <f t="shared" si="149"/>
        <v>303.64228689767771</v>
      </c>
      <c r="N234" s="117">
        <f t="shared" si="149"/>
        <v>360.29740490991458</v>
      </c>
      <c r="O234" s="117">
        <f t="shared" si="149"/>
        <v>396.3790574681617</v>
      </c>
      <c r="P234" s="117">
        <f t="shared" si="149"/>
        <v>436.61497121340665</v>
      </c>
      <c r="Q234" s="117">
        <f t="shared" si="149"/>
        <v>451.99790732126235</v>
      </c>
    </row>
    <row r="235" spans="2:17"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9B96-C7E3-4474-8B03-E5D738A2C7C5}">
  <dimension ref="A1:R34"/>
  <sheetViews>
    <sheetView showGridLines="0" topLeftCell="A4" zoomScale="85" zoomScaleNormal="85" workbookViewId="0">
      <selection activeCell="F15" sqref="F15"/>
    </sheetView>
  </sheetViews>
  <sheetFormatPr defaultRowHeight="14.4" outlineLevelCol="1"/>
  <cols>
    <col min="1" max="1" width="1.77734375" customWidth="1"/>
    <col min="2" max="2" width="3.77734375" customWidth="1"/>
    <col min="3" max="3" width="35.44140625" bestFit="1" customWidth="1"/>
    <col min="4" max="4" width="13.77734375" bestFit="1" customWidth="1"/>
    <col min="5" max="7" width="15.77734375" customWidth="1" outlineLevel="1"/>
    <col min="8" max="17" width="15.77734375" customWidth="1"/>
    <col min="18" max="18" width="9.5546875" bestFit="1" customWidth="1"/>
  </cols>
  <sheetData>
    <row r="1" spans="1:17" ht="19.8">
      <c r="A1" s="255" t="s">
        <v>416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6">
      <c r="A2" s="1"/>
      <c r="B2" s="33" t="s">
        <v>417</v>
      </c>
      <c r="C2" s="32"/>
      <c r="D2" s="256"/>
      <c r="E2" s="98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5.6">
      <c r="A3" s="1"/>
      <c r="B3" s="1"/>
      <c r="C3" s="89" t="s">
        <v>149</v>
      </c>
      <c r="D3" s="257" t="str">
        <f>Company_Name</f>
        <v>Aritzia Inc</v>
      </c>
      <c r="E3" s="1"/>
      <c r="F3" s="1"/>
      <c r="G3" s="1"/>
      <c r="H3" s="1"/>
      <c r="I3" s="17" t="s">
        <v>418</v>
      </c>
      <c r="J3" s="15"/>
      <c r="K3" s="15"/>
      <c r="L3" s="15"/>
      <c r="M3" s="1"/>
      <c r="N3" s="17" t="s">
        <v>419</v>
      </c>
      <c r="O3" s="15"/>
      <c r="P3" s="15"/>
      <c r="Q3" s="15"/>
    </row>
    <row r="4" spans="1:17" ht="15.6">
      <c r="A4" s="1"/>
      <c r="B4" s="1"/>
      <c r="C4" s="89" t="s">
        <v>420</v>
      </c>
      <c r="D4" s="257" t="str">
        <f>Ticker</f>
        <v>ATZ.TO</v>
      </c>
      <c r="E4" s="1"/>
      <c r="F4" s="1"/>
      <c r="G4" s="1"/>
      <c r="H4" s="1"/>
      <c r="I4" s="1" t="s">
        <v>421</v>
      </c>
      <c r="J4" s="1"/>
      <c r="K4" s="1"/>
      <c r="L4" s="258">
        <v>8</v>
      </c>
      <c r="M4" s="1"/>
      <c r="N4" s="1" t="s">
        <v>422</v>
      </c>
      <c r="O4" s="1"/>
      <c r="P4" s="1"/>
      <c r="Q4" s="97">
        <v>3.4000000000000002E-2</v>
      </c>
    </row>
    <row r="5" spans="1:17" ht="15.6">
      <c r="A5" s="1"/>
      <c r="B5" s="1"/>
      <c r="C5" s="89" t="s">
        <v>141</v>
      </c>
      <c r="D5" s="259">
        <f>Conversion_Unit</f>
        <v>1000</v>
      </c>
      <c r="E5" s="1"/>
      <c r="F5" s="1"/>
      <c r="G5" s="1"/>
      <c r="H5" s="1"/>
      <c r="I5" s="1" t="s">
        <v>423</v>
      </c>
      <c r="J5" s="1"/>
      <c r="K5" s="1"/>
      <c r="L5" s="18">
        <f>Q30*L4</f>
        <v>7929.1339600859801</v>
      </c>
      <c r="M5" s="1"/>
      <c r="N5" s="1" t="s">
        <v>423</v>
      </c>
      <c r="O5" s="1"/>
      <c r="P5" s="1"/>
      <c r="Q5" s="18">
        <f>Q28*(1+Q4)/($D$11-Q4)</f>
        <v>6542.7652571003955</v>
      </c>
    </row>
    <row r="6" spans="1:17" ht="15.6">
      <c r="A6" s="1"/>
      <c r="B6" s="1"/>
      <c r="C6" s="89" t="s">
        <v>139</v>
      </c>
      <c r="D6" s="260">
        <f>Share_Price</f>
        <v>24.12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6">
      <c r="A7" s="1"/>
      <c r="B7" s="1"/>
      <c r="C7" s="89" t="s">
        <v>138</v>
      </c>
      <c r="D7" s="260">
        <v>115.301</v>
      </c>
      <c r="E7" s="1"/>
      <c r="F7" s="1"/>
      <c r="G7" s="1"/>
      <c r="H7" s="1"/>
      <c r="I7" s="1" t="s">
        <v>424</v>
      </c>
      <c r="J7" s="1"/>
      <c r="K7" s="1"/>
      <c r="L7" s="18">
        <f>H34</f>
        <v>1705.9617902635327</v>
      </c>
      <c r="M7" s="1"/>
      <c r="N7" s="1" t="s">
        <v>424</v>
      </c>
      <c r="O7" s="1"/>
      <c r="P7" s="1"/>
      <c r="Q7" s="18">
        <f>H34</f>
        <v>1705.9617902635327</v>
      </c>
    </row>
    <row r="8" spans="1:17" ht="15.6">
      <c r="A8" s="1"/>
      <c r="B8" s="1"/>
      <c r="C8" s="89" t="s">
        <v>137</v>
      </c>
      <c r="D8" s="261">
        <f>Exchange_Rate</f>
        <v>0.75</v>
      </c>
      <c r="E8" s="1"/>
      <c r="F8" s="1"/>
      <c r="G8" s="1"/>
      <c r="H8" s="1"/>
      <c r="I8" s="1" t="s">
        <v>425</v>
      </c>
      <c r="J8" s="1"/>
      <c r="K8" s="1"/>
      <c r="L8" s="18">
        <f>L5*Q33</f>
        <v>3004.1522804690812</v>
      </c>
      <c r="M8" s="1"/>
      <c r="N8" s="1" t="s">
        <v>425</v>
      </c>
      <c r="O8" s="1"/>
      <c r="P8" s="1"/>
      <c r="Q8" s="18">
        <f>Q5*Q33</f>
        <v>2478.8915493967634</v>
      </c>
    </row>
    <row r="9" spans="1:17" ht="15.6">
      <c r="A9" s="1"/>
      <c r="B9" s="1"/>
      <c r="C9" s="89" t="s">
        <v>426</v>
      </c>
      <c r="D9" s="262">
        <f ca="1">TODAY()</f>
        <v>45159</v>
      </c>
      <c r="E9" s="1"/>
      <c r="F9" s="1"/>
      <c r="G9" s="1"/>
      <c r="H9" s="1"/>
      <c r="I9" s="1"/>
      <c r="J9" s="1"/>
      <c r="K9" s="1"/>
      <c r="L9" s="18"/>
      <c r="M9" s="1"/>
      <c r="N9" s="1"/>
      <c r="O9" s="1"/>
      <c r="P9" s="1"/>
      <c r="Q9" s="1"/>
    </row>
    <row r="10" spans="1:17" ht="15.6">
      <c r="A10" s="1"/>
      <c r="B10" s="1"/>
      <c r="C10" s="89"/>
      <c r="D10" s="1"/>
      <c r="E10" s="1"/>
      <c r="F10" s="1"/>
      <c r="G10" s="1"/>
      <c r="H10" s="1"/>
      <c r="I10" s="140" t="s">
        <v>246</v>
      </c>
      <c r="J10" s="140"/>
      <c r="K10" s="140"/>
      <c r="L10" s="134">
        <f>L8+L7</f>
        <v>4710.114070732614</v>
      </c>
      <c r="M10" s="1"/>
      <c r="N10" s="140" t="s">
        <v>246</v>
      </c>
      <c r="O10" s="140"/>
      <c r="P10" s="140"/>
      <c r="Q10" s="134">
        <f>Q8+Q7</f>
        <v>4184.8533396602961</v>
      </c>
    </row>
    <row r="11" spans="1:17" ht="15.6">
      <c r="A11" s="1"/>
      <c r="B11" s="1"/>
      <c r="C11" s="1" t="s">
        <v>427</v>
      </c>
      <c r="D11" s="97">
        <f>[2]WACC!$D$7</f>
        <v>0.11550000000000002</v>
      </c>
      <c r="E11" s="1"/>
      <c r="F11" s="1"/>
      <c r="G11" s="1"/>
      <c r="H11" s="1"/>
      <c r="I11" s="7" t="s">
        <v>428</v>
      </c>
      <c r="J11" s="1"/>
      <c r="K11" s="1"/>
      <c r="L11" s="18">
        <f>Cash</f>
        <v>86.51</v>
      </c>
      <c r="M11" s="1"/>
      <c r="N11" s="7" t="s">
        <v>428</v>
      </c>
      <c r="O11" s="1"/>
      <c r="P11" s="1"/>
      <c r="Q11" s="18">
        <f>Cash</f>
        <v>86.51</v>
      </c>
    </row>
    <row r="12" spans="1:17" ht="15.6">
      <c r="A12" s="1"/>
      <c r="B12" s="17" t="s">
        <v>242</v>
      </c>
      <c r="C12" s="15"/>
      <c r="D12" s="15"/>
      <c r="E12" s="1"/>
      <c r="F12" s="1"/>
      <c r="G12" s="1"/>
      <c r="H12" s="1"/>
      <c r="I12" s="7" t="s">
        <v>429</v>
      </c>
      <c r="J12" s="1"/>
      <c r="K12" s="1"/>
      <c r="L12" s="18">
        <v>0</v>
      </c>
      <c r="M12" s="1"/>
      <c r="N12" s="7" t="s">
        <v>429</v>
      </c>
      <c r="O12" s="1"/>
      <c r="P12" s="1"/>
      <c r="Q12" s="18">
        <v>0</v>
      </c>
    </row>
    <row r="13" spans="1:17" ht="15.6">
      <c r="A13" s="1"/>
      <c r="B13" s="2" t="s">
        <v>243</v>
      </c>
      <c r="C13" s="2"/>
      <c r="D13" s="41">
        <f>D7*D6</f>
        <v>2781.0601200000001</v>
      </c>
      <c r="E13" s="1"/>
      <c r="F13" s="1"/>
      <c r="G13" s="1"/>
      <c r="H13" s="1"/>
      <c r="I13" s="140" t="s">
        <v>430</v>
      </c>
      <c r="J13" s="140"/>
      <c r="K13" s="140"/>
      <c r="L13" s="134">
        <f>L10+L11+L12</f>
        <v>4796.6240707326142</v>
      </c>
      <c r="M13" s="1"/>
      <c r="N13" s="140" t="s">
        <v>430</v>
      </c>
      <c r="O13" s="140"/>
      <c r="P13" s="140"/>
      <c r="Q13" s="134">
        <f>SUM(Q10:Q12)</f>
        <v>4271.3633396602963</v>
      </c>
    </row>
    <row r="14" spans="1:17" ht="15.6">
      <c r="A14" s="1"/>
      <c r="B14" s="7" t="s">
        <v>244</v>
      </c>
      <c r="C14" s="1"/>
      <c r="D14" s="18">
        <f>-Cash</f>
        <v>-86.51</v>
      </c>
      <c r="E14" s="1"/>
      <c r="F14" s="1"/>
      <c r="G14" s="1"/>
      <c r="H14" s="1"/>
      <c r="I14" s="2" t="s">
        <v>431</v>
      </c>
      <c r="J14" s="2"/>
      <c r="K14" s="2"/>
      <c r="L14" s="41">
        <f>L13/$D$7</f>
        <v>41.600888723711108</v>
      </c>
      <c r="M14" s="1"/>
      <c r="N14" s="2" t="s">
        <v>431</v>
      </c>
      <c r="O14" s="2"/>
      <c r="P14" s="2"/>
      <c r="Q14" s="41">
        <f>Q13/$D$7</f>
        <v>37.045327791261968</v>
      </c>
    </row>
    <row r="15" spans="1:17" ht="15.6">
      <c r="A15" s="1"/>
      <c r="B15" s="7" t="s">
        <v>245</v>
      </c>
      <c r="C15" s="1"/>
      <c r="D15" s="18">
        <v>0</v>
      </c>
      <c r="E15" s="1"/>
      <c r="F15" s="1"/>
      <c r="G15" s="1"/>
      <c r="H15" s="1"/>
      <c r="I15" s="109" t="s">
        <v>108</v>
      </c>
      <c r="L15" s="109">
        <f>L14/D6-1</f>
        <v>0.72474663033628128</v>
      </c>
      <c r="M15" s="1"/>
      <c r="N15" s="2" t="s">
        <v>108</v>
      </c>
      <c r="O15" s="1"/>
      <c r="P15" s="1"/>
      <c r="Q15" s="109">
        <f>Q14/Share_Price-1</f>
        <v>0.53587594491135859</v>
      </c>
    </row>
    <row r="16" spans="1:17" ht="15.6">
      <c r="A16" s="1"/>
      <c r="B16" s="2" t="s">
        <v>246</v>
      </c>
      <c r="C16" s="1"/>
      <c r="D16" s="41">
        <f>SUM(D13:D15)</f>
        <v>2694.5501199999999</v>
      </c>
      <c r="E16" s="1"/>
      <c r="F16" s="1"/>
      <c r="G16" s="1"/>
      <c r="H16" s="1"/>
      <c r="M16" s="1"/>
    </row>
    <row r="17" spans="1:18" ht="15.6">
      <c r="A17" s="1"/>
      <c r="D17" s="1"/>
      <c r="E17" s="1"/>
      <c r="F17" s="1"/>
      <c r="G17" s="1"/>
      <c r="H17" s="1"/>
      <c r="I17" s="1"/>
      <c r="J17" s="1"/>
      <c r="K17" s="18"/>
      <c r="L17" s="1"/>
      <c r="M17" s="1"/>
      <c r="N17" s="1"/>
      <c r="O17" s="1"/>
      <c r="P17" s="1"/>
      <c r="Q17" s="1"/>
    </row>
    <row r="18" spans="1:18" ht="15.6">
      <c r="B18" s="33"/>
      <c r="C18" s="32"/>
      <c r="D18" s="31"/>
      <c r="E18" s="30" t="s">
        <v>432</v>
      </c>
      <c r="F18" s="30"/>
      <c r="G18" s="29"/>
      <c r="H18" s="29" t="s">
        <v>22</v>
      </c>
      <c r="I18" s="30"/>
      <c r="J18" s="30"/>
      <c r="K18" s="30"/>
      <c r="L18" s="30"/>
      <c r="M18" s="30"/>
      <c r="N18" s="30"/>
      <c r="O18" s="30"/>
      <c r="P18" s="30"/>
      <c r="Q18" s="29"/>
    </row>
    <row r="19" spans="1:18" ht="15.6">
      <c r="B19" s="33" t="s">
        <v>433</v>
      </c>
      <c r="C19" s="32"/>
      <c r="D19" s="104" t="s">
        <v>20</v>
      </c>
      <c r="E19" s="105">
        <f>DATE(2020,12,31)</f>
        <v>44196</v>
      </c>
      <c r="F19" s="105">
        <f>EDATE(E19,12)</f>
        <v>44561</v>
      </c>
      <c r="G19" s="263">
        <f>EDATE(F19,12)</f>
        <v>44926</v>
      </c>
      <c r="H19" s="105">
        <f t="shared" ref="H19:Q19" si="0">EDATE(G19,12)</f>
        <v>45291</v>
      </c>
      <c r="I19" s="105">
        <f t="shared" si="0"/>
        <v>45657</v>
      </c>
      <c r="J19" s="105">
        <f t="shared" si="0"/>
        <v>46022</v>
      </c>
      <c r="K19" s="105">
        <f t="shared" si="0"/>
        <v>46387</v>
      </c>
      <c r="L19" s="105">
        <f t="shared" si="0"/>
        <v>46752</v>
      </c>
      <c r="M19" s="105">
        <f t="shared" si="0"/>
        <v>47118</v>
      </c>
      <c r="N19" s="105">
        <f t="shared" si="0"/>
        <v>47483</v>
      </c>
      <c r="O19" s="105">
        <f t="shared" si="0"/>
        <v>47848</v>
      </c>
      <c r="P19" s="105">
        <f t="shared" si="0"/>
        <v>48213</v>
      </c>
      <c r="Q19" s="105">
        <f t="shared" si="0"/>
        <v>48579</v>
      </c>
    </row>
    <row r="20" spans="1:18" s="2" customFormat="1" ht="15.6">
      <c r="C20" s="2" t="s">
        <v>62</v>
      </c>
      <c r="E20" s="23">
        <f>[2]Financial_Model!E78</f>
        <v>28.198000000000008</v>
      </c>
      <c r="F20" s="23">
        <f>[2]Financial_Model!F78</f>
        <v>212.83900000000008</v>
      </c>
      <c r="G20" s="23">
        <f>[2]Financial_Model!G78</f>
        <v>259.81400000000008</v>
      </c>
      <c r="H20" s="23">
        <f>[2]Financial_Model!H78</f>
        <v>277.37611882254544</v>
      </c>
      <c r="I20" s="23">
        <f>[2]Financial_Model!I78</f>
        <v>366.13594220762798</v>
      </c>
      <c r="J20" s="23">
        <f>[2]Financial_Model!J78</f>
        <v>459.9630043123932</v>
      </c>
      <c r="K20" s="23">
        <f>[2]Financial_Model!K78</f>
        <v>512.07706125131699</v>
      </c>
      <c r="L20" s="23">
        <f>[2]Financial_Model!L78</f>
        <v>575.82364432795407</v>
      </c>
      <c r="M20" s="23">
        <f>[2]Financial_Model!M78</f>
        <v>650.23389285755729</v>
      </c>
      <c r="N20" s="23">
        <f>[2]Financial_Model!N78</f>
        <v>724.30257966774116</v>
      </c>
      <c r="O20" s="23">
        <f>[2]Financial_Model!O78</f>
        <v>794.6218110260811</v>
      </c>
      <c r="P20" s="23">
        <f>[2]Financial_Model!P78</f>
        <v>876.96529261099477</v>
      </c>
      <c r="Q20" s="23">
        <f>[2]Financial_Model!Q78</f>
        <v>919.0719223841852</v>
      </c>
    </row>
    <row r="21" spans="1:18" s="1" customFormat="1" ht="15.6">
      <c r="C21" s="12" t="s">
        <v>434</v>
      </c>
      <c r="D21" s="10"/>
      <c r="E21" s="39">
        <f t="shared" ref="E21:Q21" si="1">-E20*Tax_Rate</f>
        <v>-8.1469535000966609</v>
      </c>
      <c r="F21" s="39">
        <f t="shared" si="1"/>
        <v>-61.493348322826918</v>
      </c>
      <c r="G21" s="39">
        <f t="shared" si="1"/>
        <v>-75.065344232715574</v>
      </c>
      <c r="H21" s="39">
        <f t="shared" si="1"/>
        <v>-80.139383718156012</v>
      </c>
      <c r="I21" s="39">
        <f t="shared" si="1"/>
        <v>-105.78383204055687</v>
      </c>
      <c r="J21" s="39">
        <f t="shared" si="1"/>
        <v>-132.89230469883773</v>
      </c>
      <c r="K21" s="39">
        <f t="shared" si="1"/>
        <v>-147.94907463226571</v>
      </c>
      <c r="L21" s="39">
        <f t="shared" si="1"/>
        <v>-166.36670879480951</v>
      </c>
      <c r="M21" s="39">
        <f t="shared" si="1"/>
        <v>-187.86528439241621</v>
      </c>
      <c r="N21" s="39">
        <f t="shared" si="1"/>
        <v>-209.26517613139737</v>
      </c>
      <c r="O21" s="39">
        <f t="shared" si="1"/>
        <v>-229.58177688460449</v>
      </c>
      <c r="P21" s="39">
        <f t="shared" si="1"/>
        <v>-253.37241861481078</v>
      </c>
      <c r="Q21" s="39">
        <f t="shared" si="1"/>
        <v>-265.53784718449543</v>
      </c>
    </row>
    <row r="22" spans="1:18" s="2" customFormat="1" ht="15.6">
      <c r="C22" s="2" t="s">
        <v>435</v>
      </c>
      <c r="E22" s="41">
        <f>E21+E20</f>
        <v>20.051046499903347</v>
      </c>
      <c r="F22" s="41">
        <f t="shared" ref="F22:Q22" si="2">F21+F20</f>
        <v>151.34565167717318</v>
      </c>
      <c r="G22" s="41">
        <f t="shared" si="2"/>
        <v>184.7486557672845</v>
      </c>
      <c r="H22" s="41">
        <f t="shared" si="2"/>
        <v>197.23673510438942</v>
      </c>
      <c r="I22" s="41">
        <f t="shared" si="2"/>
        <v>260.35211016707109</v>
      </c>
      <c r="J22" s="41">
        <f t="shared" si="2"/>
        <v>327.07069961355546</v>
      </c>
      <c r="K22" s="41">
        <f t="shared" si="2"/>
        <v>364.12798661905128</v>
      </c>
      <c r="L22" s="41">
        <f t="shared" si="2"/>
        <v>409.45693553314459</v>
      </c>
      <c r="M22" s="41">
        <f t="shared" si="2"/>
        <v>462.36860846514105</v>
      </c>
      <c r="N22" s="41">
        <f t="shared" si="2"/>
        <v>515.03740353634385</v>
      </c>
      <c r="O22" s="41">
        <f t="shared" si="2"/>
        <v>565.04003414147655</v>
      </c>
      <c r="P22" s="41">
        <f t="shared" si="2"/>
        <v>623.59287399618393</v>
      </c>
      <c r="Q22" s="41">
        <f t="shared" si="2"/>
        <v>653.53407519968982</v>
      </c>
    </row>
    <row r="23" spans="1:18" s="1" customFormat="1" ht="15.6">
      <c r="C23" s="7" t="s">
        <v>16</v>
      </c>
      <c r="E23" s="114">
        <f>[2]Financial_Model!E130</f>
        <v>38.871000000000002</v>
      </c>
      <c r="F23" s="114">
        <f>[2]Financial_Model!F130</f>
        <v>44.569000000000003</v>
      </c>
      <c r="G23" s="114">
        <f>[2]Financial_Model!G130</f>
        <v>52.854999999999997</v>
      </c>
      <c r="H23" s="114">
        <f>[2]Financial_Model!H130</f>
        <v>55.062920016</v>
      </c>
      <c r="I23" s="114">
        <f>[2]Financial_Model!I130</f>
        <v>49.964997562365596</v>
      </c>
      <c r="J23" s="114">
        <f>[2]Financial_Model!J130</f>
        <v>53.267742438003729</v>
      </c>
      <c r="K23" s="114">
        <f>[2]Financial_Model!K130</f>
        <v>56.290821335861551</v>
      </c>
      <c r="L23" s="114">
        <f>[2]Financial_Model!L130</f>
        <v>59.532918024894848</v>
      </c>
      <c r="M23" s="114">
        <f>[2]Financial_Model!M130</f>
        <v>62.860681476703441</v>
      </c>
      <c r="N23" s="114">
        <f>[2]Financial_Model!N130</f>
        <v>65.548761368350966</v>
      </c>
      <c r="O23" s="114">
        <f>[2]Financial_Model!O130</f>
        <v>67.404855703564408</v>
      </c>
      <c r="P23" s="114">
        <f>[2]Financial_Model!P130</f>
        <v>69.004320799755419</v>
      </c>
      <c r="Q23" s="114">
        <f>[2]Financial_Model!Q130</f>
        <v>72.069822626562342</v>
      </c>
    </row>
    <row r="24" spans="1:18" s="1" customFormat="1" ht="15.6">
      <c r="C24" s="7" t="s">
        <v>220</v>
      </c>
      <c r="E24" s="114">
        <f>[2]Financial_Model!E138</f>
        <v>-50.255000000000003</v>
      </c>
      <c r="F24" s="114">
        <f>[2]Financial_Model!F138</f>
        <v>-65.427000000000007</v>
      </c>
      <c r="G24" s="114">
        <f>[2]Financial_Model!G138</f>
        <v>-122.767</v>
      </c>
      <c r="H24" s="114">
        <f>[2]Financial_Model!H138</f>
        <v>-153.94008784732105</v>
      </c>
      <c r="I24" s="114">
        <f>[2]Financial_Model!I138</f>
        <v>-169.59535130386732</v>
      </c>
      <c r="J24" s="114">
        <f>[2]Financial_Model!J138</f>
        <v>-181.16654285490193</v>
      </c>
      <c r="K24" s="114">
        <f>[2]Financial_Model!K138</f>
        <v>-177.16127812605563</v>
      </c>
      <c r="L24" s="114">
        <f>[2]Financial_Model!L138</f>
        <v>-171.04639783942716</v>
      </c>
      <c r="M24" s="114">
        <f>[2]Financial_Model!M138</f>
        <v>-161.94089058277473</v>
      </c>
      <c r="N24" s="114">
        <f>[2]Financial_Model!N138</f>
        <v>-147.70842157861674</v>
      </c>
      <c r="O24" s="114">
        <f>[2]Financial_Model!O138</f>
        <v>-158.79510334399689</v>
      </c>
      <c r="P24" s="114">
        <f>[2]Financial_Model!P138</f>
        <v>-170.30429254372001</v>
      </c>
      <c r="Q24" s="114">
        <f>[2]Financial_Model!Q138</f>
        <v>-181.32381027416847</v>
      </c>
    </row>
    <row r="25" spans="1:18" s="1" customFormat="1" ht="15.6">
      <c r="C25" s="7" t="s">
        <v>436</v>
      </c>
      <c r="E25" s="114">
        <f>[2]Financial_Model!E134</f>
        <v>3.9129999999999998</v>
      </c>
      <c r="F25" s="114">
        <f>[2]Financial_Model!F134</f>
        <v>18.722999999999999</v>
      </c>
      <c r="G25" s="114">
        <f>[2]Financial_Model!G134</f>
        <v>-228.95599999999999</v>
      </c>
      <c r="H25" s="114">
        <f>[2]Financial_Model!H134</f>
        <v>19.387721956073051</v>
      </c>
      <c r="I25" s="114">
        <f>[2]Financial_Model!I134</f>
        <v>-42.109047248045442</v>
      </c>
      <c r="J25" s="114">
        <f>[2]Financial_Model!J134</f>
        <v>-44.032145580653548</v>
      </c>
      <c r="K25" s="114">
        <f>[2]Financial_Model!K134</f>
        <v>-25.831975982569361</v>
      </c>
      <c r="L25" s="114">
        <f>[2]Financial_Model!L134</f>
        <v>-28.834142425389359</v>
      </c>
      <c r="M25" s="114">
        <f>[2]Financial_Model!M134</f>
        <v>-31.354126143687949</v>
      </c>
      <c r="N25" s="114">
        <f>[2]Financial_Model!N134</f>
        <v>-29.60086971816213</v>
      </c>
      <c r="O25" s="114">
        <f>[2]Financial_Model!O134</f>
        <v>-26.482340282193263</v>
      </c>
      <c r="P25" s="114">
        <f>[2]Financial_Model!P134</f>
        <v>-26.220987864391759</v>
      </c>
      <c r="Q25" s="114">
        <f>[2]Financial_Model!Q134</f>
        <v>-30.220470330712487</v>
      </c>
      <c r="R25" s="18"/>
    </row>
    <row r="26" spans="1:18" s="1" customFormat="1" ht="15.6">
      <c r="C26" s="7" t="s">
        <v>218</v>
      </c>
      <c r="E26" s="114">
        <f>[2]Financial_Model!E132</f>
        <v>4.3040000000000003</v>
      </c>
      <c r="F26" s="114">
        <f>[2]Financial_Model!F132</f>
        <v>36.518000000000001</v>
      </c>
      <c r="G26" s="114">
        <f>[2]Financial_Model!G132</f>
        <v>-47.197000000000003</v>
      </c>
      <c r="H26" s="114">
        <f>[2]Financial_Model!H132</f>
        <v>2.1284464120869337</v>
      </c>
      <c r="I26" s="114">
        <f>[2]Financial_Model!I132</f>
        <v>3.5242178203565278</v>
      </c>
      <c r="J26" s="114">
        <f>[2]Financial_Model!J132</f>
        <v>3.62925972483694</v>
      </c>
      <c r="K26" s="114">
        <f>[2]Financial_Model!K132</f>
        <v>2.0294859843258877</v>
      </c>
      <c r="L26" s="114">
        <f>[2]Financial_Model!L132</f>
        <v>2.4962030110336961</v>
      </c>
      <c r="M26" s="114">
        <f>[2]Financial_Model!M132</f>
        <v>2.8943101548438328</v>
      </c>
      <c r="N26" s="114">
        <f>[2]Financial_Model!N132</f>
        <v>2.8883354778682744</v>
      </c>
      <c r="O26" s="114">
        <f>[2]Financial_Model!O132</f>
        <v>2.7431406439604373</v>
      </c>
      <c r="P26" s="114">
        <f>[2]Financial_Model!P132</f>
        <v>3.2088115168068505</v>
      </c>
      <c r="Q26" s="114">
        <f>[2]Financial_Model!Q132</f>
        <v>1.6418996583990051</v>
      </c>
    </row>
    <row r="27" spans="1:18" s="1" customFormat="1" ht="15.6">
      <c r="C27" s="7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</row>
    <row r="28" spans="1:18" s="1" customFormat="1" ht="15.6">
      <c r="B28" s="264"/>
      <c r="C28" s="264" t="s">
        <v>433</v>
      </c>
      <c r="D28" s="265"/>
      <c r="E28" s="266">
        <f>SUM(E22:E26)</f>
        <v>16.884046499903341</v>
      </c>
      <c r="F28" s="266">
        <f t="shared" ref="F28:Q28" si="3">SUM(F22:F26)</f>
        <v>185.72865167717319</v>
      </c>
      <c r="G28" s="266">
        <f t="shared" si="3"/>
        <v>-161.31634423271549</v>
      </c>
      <c r="H28" s="266">
        <f t="shared" si="3"/>
        <v>119.87573564122835</v>
      </c>
      <c r="I28" s="266">
        <f t="shared" si="3"/>
        <v>102.13692699788042</v>
      </c>
      <c r="J28" s="266">
        <f t="shared" si="3"/>
        <v>158.76901334084064</v>
      </c>
      <c r="K28" s="266">
        <f t="shared" si="3"/>
        <v>219.45503983061371</v>
      </c>
      <c r="L28" s="266">
        <f t="shared" si="3"/>
        <v>271.60551630425664</v>
      </c>
      <c r="M28" s="266">
        <f t="shared" si="3"/>
        <v>334.82858337022566</v>
      </c>
      <c r="N28" s="266">
        <f t="shared" si="3"/>
        <v>406.16520908578423</v>
      </c>
      <c r="O28" s="266">
        <f t="shared" si="3"/>
        <v>449.91058686281127</v>
      </c>
      <c r="P28" s="266">
        <f t="shared" si="3"/>
        <v>499.28072590463449</v>
      </c>
      <c r="Q28" s="266">
        <f t="shared" si="3"/>
        <v>515.70151687977011</v>
      </c>
    </row>
    <row r="30" spans="1:18" ht="15.6">
      <c r="B30" s="267"/>
      <c r="C30" s="268" t="s">
        <v>251</v>
      </c>
      <c r="D30" s="267"/>
      <c r="E30" s="269">
        <f>E20+E23</f>
        <v>67.069000000000017</v>
      </c>
      <c r="F30" s="269">
        <f t="shared" ref="F30:Q30" si="4">F20+F23</f>
        <v>257.40800000000007</v>
      </c>
      <c r="G30" s="269">
        <f t="shared" si="4"/>
        <v>312.6690000000001</v>
      </c>
      <c r="H30" s="269">
        <f t="shared" si="4"/>
        <v>332.43903883854546</v>
      </c>
      <c r="I30" s="269">
        <f t="shared" si="4"/>
        <v>416.1009397699936</v>
      </c>
      <c r="J30" s="269">
        <f t="shared" si="4"/>
        <v>513.23074675039697</v>
      </c>
      <c r="K30" s="269">
        <f t="shared" si="4"/>
        <v>568.36788258717854</v>
      </c>
      <c r="L30" s="269">
        <f t="shared" si="4"/>
        <v>635.35656235284887</v>
      </c>
      <c r="M30" s="269">
        <f t="shared" si="4"/>
        <v>713.09457433426076</v>
      </c>
      <c r="N30" s="269">
        <f t="shared" si="4"/>
        <v>789.85134103609209</v>
      </c>
      <c r="O30" s="269">
        <f t="shared" si="4"/>
        <v>862.02666672964551</v>
      </c>
      <c r="P30" s="269">
        <f t="shared" si="4"/>
        <v>945.96961341075018</v>
      </c>
      <c r="Q30" s="269">
        <f t="shared" si="4"/>
        <v>991.14174501074751</v>
      </c>
    </row>
    <row r="32" spans="1:18">
      <c r="C32" t="s">
        <v>437</v>
      </c>
      <c r="H32" s="270">
        <f>0.5*_xlfn.DAYS(H19,DATE(2023,8,15))/365</f>
        <v>0.18904109589041096</v>
      </c>
      <c r="I32" s="270">
        <f>(_xlfn.DAYS(H19,DATE(2023,8,15))+_xlfn.DAYS(I19,H19)*0.5)/365</f>
        <v>0.8794520547945206</v>
      </c>
      <c r="J32" s="270">
        <f>I32+1</f>
        <v>1.8794520547945206</v>
      </c>
      <c r="K32" s="270">
        <f t="shared" ref="K32:Q32" si="5">J32+1</f>
        <v>2.8794520547945206</v>
      </c>
      <c r="L32" s="270">
        <f t="shared" si="5"/>
        <v>3.8794520547945206</v>
      </c>
      <c r="M32" s="270">
        <f t="shared" si="5"/>
        <v>4.8794520547945206</v>
      </c>
      <c r="N32" s="270">
        <f t="shared" si="5"/>
        <v>5.8794520547945206</v>
      </c>
      <c r="O32" s="270">
        <f t="shared" si="5"/>
        <v>6.8794520547945206</v>
      </c>
      <c r="P32" s="270">
        <f t="shared" si="5"/>
        <v>7.8794520547945206</v>
      </c>
      <c r="Q32" s="270">
        <f t="shared" si="5"/>
        <v>8.8794520547945197</v>
      </c>
    </row>
    <row r="33" spans="3:17">
      <c r="C33" t="s">
        <v>438</v>
      </c>
      <c r="H33" s="270">
        <f>1/(1+$D$11)^H32</f>
        <v>0.97954930222817571</v>
      </c>
      <c r="I33" s="270">
        <f t="shared" ref="I33:Q33" si="6">1/(1+$D$11)^I32</f>
        <v>0.90834908920092361</v>
      </c>
      <c r="J33" s="270">
        <f t="shared" si="6"/>
        <v>0.81429770434865412</v>
      </c>
      <c r="K33" s="270">
        <f t="shared" si="6"/>
        <v>0.72998449515791508</v>
      </c>
      <c r="L33" s="270">
        <f t="shared" si="6"/>
        <v>0.65440116105595258</v>
      </c>
      <c r="M33" s="270">
        <f t="shared" si="6"/>
        <v>0.58664380193272314</v>
      </c>
      <c r="N33" s="270">
        <f t="shared" si="6"/>
        <v>0.52590210841122642</v>
      </c>
      <c r="O33" s="270">
        <f t="shared" si="6"/>
        <v>0.47144967136819949</v>
      </c>
      <c r="P33" s="270">
        <f t="shared" si="6"/>
        <v>0.42263529481685297</v>
      </c>
      <c r="Q33" s="270">
        <f t="shared" si="6"/>
        <v>0.37887520826253079</v>
      </c>
    </row>
    <row r="34" spans="3:17">
      <c r="C34" t="s">
        <v>424</v>
      </c>
      <c r="H34" s="270">
        <f>SUMPRODUCT(H33:Q33,H28:Q28)</f>
        <v>1705.9617902635327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D871-76D9-4ABD-8E93-70832D3E1B2C}">
  <dimension ref="A1:Q39"/>
  <sheetViews>
    <sheetView showGridLines="0" zoomScale="85" zoomScaleNormal="85" workbookViewId="0">
      <selection activeCell="A20" sqref="A20"/>
    </sheetView>
  </sheetViews>
  <sheetFormatPr defaultRowHeight="14.4" outlineLevelCol="1"/>
  <cols>
    <col min="1" max="1" width="1.77734375" customWidth="1"/>
    <col min="2" max="2" width="3.77734375" customWidth="1"/>
    <col min="3" max="3" width="28.6640625" bestFit="1" customWidth="1"/>
    <col min="4" max="4" width="13.77734375" bestFit="1" customWidth="1"/>
    <col min="5" max="7" width="15.77734375" customWidth="1" outlineLevel="1"/>
    <col min="8" max="17" width="15.77734375" customWidth="1"/>
  </cols>
  <sheetData>
    <row r="1" spans="1:17" ht="19.8">
      <c r="A1" s="255" t="s">
        <v>439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6">
      <c r="A2" s="1"/>
      <c r="B2" s="33" t="s">
        <v>417</v>
      </c>
      <c r="C2" s="32"/>
      <c r="D2" s="256"/>
      <c r="E2" s="98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5.6">
      <c r="A3" s="1"/>
      <c r="B3" s="1"/>
      <c r="C3" s="89" t="s">
        <v>149</v>
      </c>
      <c r="D3" s="257" t="str">
        <f>Company_Name</f>
        <v>Lululemon</v>
      </c>
      <c r="E3" s="1"/>
      <c r="F3" s="1"/>
      <c r="G3" s="1"/>
      <c r="H3" s="1"/>
      <c r="I3" s="17" t="s">
        <v>418</v>
      </c>
      <c r="J3" s="15"/>
      <c r="K3" s="15"/>
      <c r="L3" s="15"/>
      <c r="M3" s="1"/>
      <c r="N3" s="17" t="s">
        <v>419</v>
      </c>
      <c r="O3" s="15"/>
      <c r="P3" s="15"/>
      <c r="Q3" s="15"/>
    </row>
    <row r="4" spans="1:17" ht="15.6">
      <c r="A4" s="1"/>
      <c r="B4" s="1"/>
      <c r="C4" s="89" t="s">
        <v>420</v>
      </c>
      <c r="D4" s="257" t="str">
        <f>Ticker</f>
        <v>LULU</v>
      </c>
      <c r="E4" s="1"/>
      <c r="F4" s="1"/>
      <c r="G4" s="1"/>
      <c r="H4" s="1"/>
      <c r="I4" s="1" t="s">
        <v>421</v>
      </c>
      <c r="J4" s="1"/>
      <c r="K4" s="1"/>
      <c r="L4" s="258">
        <v>10</v>
      </c>
      <c r="M4" s="1"/>
      <c r="N4" s="1" t="s">
        <v>422</v>
      </c>
      <c r="O4" s="1"/>
      <c r="P4" s="1"/>
      <c r="Q4" s="97">
        <v>3.5999999999999997E-2</v>
      </c>
    </row>
    <row r="5" spans="1:17" ht="15.6">
      <c r="A5" s="1"/>
      <c r="B5" s="1"/>
      <c r="C5" s="89" t="s">
        <v>141</v>
      </c>
      <c r="D5" s="259">
        <f>Conversion_Unit</f>
        <v>1000</v>
      </c>
      <c r="E5" s="1"/>
      <c r="F5" s="1"/>
      <c r="G5" s="1"/>
      <c r="H5" s="1"/>
      <c r="I5" s="1" t="s">
        <v>423</v>
      </c>
      <c r="J5" s="1"/>
      <c r="K5" s="1"/>
      <c r="L5" s="18">
        <f>L4*Q30</f>
        <v>68244.150857602013</v>
      </c>
      <c r="M5" s="1"/>
      <c r="N5" s="1" t="s">
        <v>423</v>
      </c>
      <c r="O5" s="1"/>
      <c r="P5" s="1"/>
      <c r="Q5" s="18">
        <f>Q28*(1+Q4)/(D11-Q4)</f>
        <v>43983.57513919843</v>
      </c>
    </row>
    <row r="6" spans="1:17" ht="15.6">
      <c r="A6" s="1"/>
      <c r="B6" s="1"/>
      <c r="C6" s="89" t="s">
        <v>139</v>
      </c>
      <c r="D6" s="260">
        <f>Share_Price</f>
        <v>384.61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6">
      <c r="A7" s="1"/>
      <c r="B7" s="1"/>
      <c r="C7" s="89" t="s">
        <v>138</v>
      </c>
      <c r="D7" s="260">
        <f>Diluted_Share_Counts</f>
        <v>128.017</v>
      </c>
      <c r="E7" s="1"/>
      <c r="F7" s="1"/>
      <c r="G7" s="1"/>
      <c r="H7" s="1"/>
      <c r="I7" s="1" t="s">
        <v>424</v>
      </c>
      <c r="J7" s="1"/>
      <c r="K7" s="1"/>
      <c r="L7" s="18">
        <f>G35</f>
        <v>12131.415810028033</v>
      </c>
      <c r="M7" s="1"/>
      <c r="N7" s="1" t="s">
        <v>424</v>
      </c>
      <c r="O7" s="1"/>
      <c r="P7" s="1"/>
      <c r="Q7" s="18">
        <f>L7</f>
        <v>12131.415810028033</v>
      </c>
    </row>
    <row r="8" spans="1:17" ht="15.6">
      <c r="A8" s="1"/>
      <c r="B8" s="1"/>
      <c r="C8" s="89" t="s">
        <v>137</v>
      </c>
      <c r="D8" s="261">
        <f>Exchange_Rate</f>
        <v>1</v>
      </c>
      <c r="E8" s="1"/>
      <c r="F8" s="1"/>
      <c r="G8" s="1"/>
      <c r="H8" s="1"/>
      <c r="I8" s="1" t="s">
        <v>425</v>
      </c>
      <c r="J8" s="1"/>
      <c r="K8" s="1"/>
      <c r="L8" s="18">
        <f>L5*Q33</f>
        <v>23572.001439308169</v>
      </c>
      <c r="M8" s="1"/>
      <c r="N8" s="1" t="s">
        <v>425</v>
      </c>
      <c r="O8" s="1"/>
      <c r="P8" s="1"/>
      <c r="Q8" s="18">
        <f>Q5*Q33</f>
        <v>15192.230886577334</v>
      </c>
    </row>
    <row r="9" spans="1:17" ht="15.6">
      <c r="A9" s="1"/>
      <c r="B9" s="1"/>
      <c r="C9" s="89" t="s">
        <v>426</v>
      </c>
      <c r="D9" s="262">
        <f ca="1">TODAY()</f>
        <v>45159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6">
      <c r="A10" s="1"/>
      <c r="B10" s="1"/>
      <c r="C10" s="89"/>
      <c r="D10" s="1"/>
      <c r="E10" s="1"/>
      <c r="F10" s="1"/>
      <c r="G10" s="1"/>
      <c r="H10" s="1"/>
      <c r="I10" s="140" t="s">
        <v>246</v>
      </c>
      <c r="J10" s="140"/>
      <c r="K10" s="140"/>
      <c r="L10" s="134">
        <f>L8+L7</f>
        <v>35703.417249336198</v>
      </c>
      <c r="M10" s="1"/>
      <c r="N10" s="140" t="s">
        <v>246</v>
      </c>
      <c r="O10" s="140"/>
      <c r="P10" s="140"/>
      <c r="Q10" s="134">
        <f>Q8+Q7</f>
        <v>27323.646696605367</v>
      </c>
    </row>
    <row r="11" spans="1:17" ht="15.6">
      <c r="A11" s="1"/>
      <c r="B11" s="1"/>
      <c r="C11" s="1" t="s">
        <v>427</v>
      </c>
      <c r="D11" s="97">
        <v>0.12720000000000001</v>
      </c>
      <c r="E11" s="1"/>
      <c r="F11" s="1"/>
      <c r="G11" s="1"/>
      <c r="H11" s="1"/>
      <c r="I11" s="7" t="s">
        <v>428</v>
      </c>
      <c r="J11" s="1"/>
      <c r="K11" s="1"/>
      <c r="L11" s="18">
        <f>Current_Cash</f>
        <v>1154.867</v>
      </c>
      <c r="M11" s="1"/>
      <c r="N11" s="7" t="s">
        <v>428</v>
      </c>
      <c r="O11" s="1"/>
      <c r="P11" s="1"/>
      <c r="Q11" s="18">
        <f>Current_Cash</f>
        <v>1154.867</v>
      </c>
    </row>
    <row r="12" spans="1:17" ht="15.6">
      <c r="A12" s="1"/>
      <c r="B12" s="17" t="s">
        <v>242</v>
      </c>
      <c r="C12" s="15"/>
      <c r="D12" s="271">
        <f>D6*D7</f>
        <v>49236.618370000004</v>
      </c>
      <c r="E12" s="1"/>
      <c r="F12" s="1"/>
      <c r="G12" s="1"/>
      <c r="H12" s="1"/>
      <c r="I12" s="7" t="s">
        <v>429</v>
      </c>
      <c r="J12" s="1"/>
      <c r="K12" s="1"/>
      <c r="L12" s="18">
        <v>0</v>
      </c>
      <c r="M12" s="1"/>
      <c r="N12" s="7" t="s">
        <v>429</v>
      </c>
      <c r="O12" s="1"/>
      <c r="P12" s="1"/>
      <c r="Q12" s="18">
        <v>0</v>
      </c>
    </row>
    <row r="13" spans="1:17" ht="15.6">
      <c r="A13" s="1"/>
      <c r="B13" s="2" t="s">
        <v>243</v>
      </c>
      <c r="C13" s="2"/>
      <c r="D13" s="41"/>
      <c r="E13" s="1"/>
      <c r="F13" s="1"/>
      <c r="G13" s="1"/>
      <c r="H13" s="1"/>
      <c r="I13" s="140" t="s">
        <v>430</v>
      </c>
      <c r="J13" s="140"/>
      <c r="K13" s="140"/>
      <c r="L13" s="134">
        <f>SUM(L11:L12)+L10</f>
        <v>36858.284249336197</v>
      </c>
      <c r="M13" s="1"/>
      <c r="N13" s="140" t="s">
        <v>430</v>
      </c>
      <c r="O13" s="140"/>
      <c r="P13" s="140"/>
      <c r="Q13" s="134">
        <f>SUM(Q10:Q12)</f>
        <v>28478.513696605365</v>
      </c>
    </row>
    <row r="14" spans="1:17" ht="15.6">
      <c r="A14" s="1"/>
      <c r="B14" s="7" t="s">
        <v>244</v>
      </c>
      <c r="C14" s="1"/>
      <c r="D14" s="18">
        <f>-Current_Cash</f>
        <v>-1154.867</v>
      </c>
      <c r="E14" s="1"/>
      <c r="F14" s="1"/>
      <c r="G14" s="1"/>
      <c r="H14" s="1"/>
      <c r="I14" s="2" t="s">
        <v>431</v>
      </c>
      <c r="J14" s="2"/>
      <c r="K14" s="2"/>
      <c r="L14" s="41">
        <f>L13/D7</f>
        <v>287.91710670720448</v>
      </c>
      <c r="M14" s="1"/>
      <c r="N14" s="2" t="s">
        <v>431</v>
      </c>
      <c r="O14" s="1"/>
      <c r="P14" s="1"/>
      <c r="Q14" s="41">
        <f>Q13/Diluted_Share_Counts</f>
        <v>222.4588429396515</v>
      </c>
    </row>
    <row r="15" spans="1:17" ht="15.6">
      <c r="A15" s="1"/>
      <c r="B15" s="7" t="s">
        <v>245</v>
      </c>
      <c r="C15" s="1"/>
      <c r="D15" s="18">
        <v>0</v>
      </c>
      <c r="E15" s="1"/>
      <c r="F15" s="1"/>
      <c r="G15" s="1"/>
      <c r="H15" s="1"/>
      <c r="I15" s="108" t="s">
        <v>108</v>
      </c>
      <c r="J15" s="1"/>
      <c r="K15" s="1"/>
      <c r="L15" s="109">
        <f>L14/Share_Price-1</f>
        <v>-0.25140504223185967</v>
      </c>
      <c r="M15" s="1"/>
      <c r="N15" s="108" t="s">
        <v>108</v>
      </c>
      <c r="O15" s="1"/>
      <c r="P15" s="1"/>
      <c r="Q15" s="109">
        <f>Q14/Share_Price-1</f>
        <v>-0.42159891074165645</v>
      </c>
    </row>
    <row r="16" spans="1:17" ht="15.6">
      <c r="A16" s="1"/>
      <c r="B16" s="2" t="s">
        <v>246</v>
      </c>
      <c r="C16" s="1"/>
      <c r="D16" s="18">
        <f>D12+D14+D15</f>
        <v>48081.751370000005</v>
      </c>
      <c r="E16" s="1"/>
      <c r="F16" s="1"/>
      <c r="G16" s="1"/>
      <c r="H16" s="1"/>
      <c r="M16" s="1"/>
    </row>
    <row r="17" spans="1:17" ht="15.6">
      <c r="A17" s="1"/>
      <c r="B17" s="7"/>
      <c r="C17" s="1"/>
      <c r="D17" s="18"/>
      <c r="E17" s="1"/>
      <c r="F17" s="1"/>
      <c r="G17" s="1"/>
      <c r="H17" s="1"/>
      <c r="M17" s="1"/>
    </row>
    <row r="18" spans="1:17" ht="15.6">
      <c r="A18" s="1"/>
      <c r="B18" s="1"/>
      <c r="C18" s="1"/>
      <c r="D18" s="1"/>
      <c r="E18" s="1"/>
      <c r="F18" s="1"/>
      <c r="G18" s="1"/>
      <c r="H18" s="1"/>
      <c r="I18" s="1"/>
      <c r="J18" s="1"/>
      <c r="K18" s="18"/>
      <c r="L18" s="1"/>
      <c r="M18" s="1"/>
      <c r="N18" s="1"/>
      <c r="O18" s="1"/>
      <c r="P18" s="1"/>
      <c r="Q18" s="1"/>
    </row>
    <row r="19" spans="1:17" ht="15.6">
      <c r="B19" s="33"/>
      <c r="C19" s="32"/>
      <c r="D19" s="31"/>
      <c r="E19" s="30" t="s">
        <v>432</v>
      </c>
      <c r="F19" s="30"/>
      <c r="G19" s="29"/>
      <c r="H19" s="29" t="s">
        <v>22</v>
      </c>
      <c r="I19" s="30"/>
      <c r="J19" s="30"/>
      <c r="K19" s="30"/>
      <c r="L19" s="30"/>
      <c r="M19" s="30"/>
      <c r="N19" s="30"/>
      <c r="O19" s="30"/>
      <c r="P19" s="30"/>
      <c r="Q19" s="29"/>
    </row>
    <row r="20" spans="1:17" ht="15.6">
      <c r="B20" s="33" t="s">
        <v>433</v>
      </c>
      <c r="C20" s="32"/>
      <c r="D20" s="104" t="s">
        <v>20</v>
      </c>
      <c r="E20" s="105">
        <f>DATE(2020,12,31)</f>
        <v>44196</v>
      </c>
      <c r="F20" s="105">
        <f>EDATE(E20,12)</f>
        <v>44561</v>
      </c>
      <c r="G20" s="263">
        <f>EDATE(F20,12)</f>
        <v>44926</v>
      </c>
      <c r="H20" s="105">
        <f t="shared" ref="H20:Q20" si="0">EDATE(G20,12)</f>
        <v>45291</v>
      </c>
      <c r="I20" s="105">
        <f t="shared" si="0"/>
        <v>45657</v>
      </c>
      <c r="J20" s="105">
        <f t="shared" si="0"/>
        <v>46022</v>
      </c>
      <c r="K20" s="105">
        <f t="shared" si="0"/>
        <v>46387</v>
      </c>
      <c r="L20" s="105">
        <f t="shared" si="0"/>
        <v>46752</v>
      </c>
      <c r="M20" s="105">
        <f t="shared" si="0"/>
        <v>47118</v>
      </c>
      <c r="N20" s="105">
        <f t="shared" si="0"/>
        <v>47483</v>
      </c>
      <c r="O20" s="105">
        <f t="shared" si="0"/>
        <v>47848</v>
      </c>
      <c r="P20" s="105">
        <f t="shared" si="0"/>
        <v>48213</v>
      </c>
      <c r="Q20" s="105">
        <f t="shared" si="0"/>
        <v>48579</v>
      </c>
    </row>
    <row r="21" spans="1:17" s="2" customFormat="1" ht="15.6">
      <c r="C21" s="2" t="s">
        <v>62</v>
      </c>
      <c r="D21" s="4" t="s">
        <v>0</v>
      </c>
      <c r="E21" s="41">
        <f>[1]Financial_Model!G119</f>
        <v>583.61800000000005</v>
      </c>
      <c r="F21" s="41">
        <f>[1]Financial_Model!H119</f>
        <v>1055.982</v>
      </c>
      <c r="G21" s="41">
        <f>[1]Financial_Model!I119</f>
        <v>1349.1429999999993</v>
      </c>
      <c r="H21" s="41">
        <f>[1]Financial_Model!J119</f>
        <v>1709.2965788206775</v>
      </c>
      <c r="I21" s="41">
        <f>[1]Financial_Model!K119</f>
        <v>2092.8686350983817</v>
      </c>
      <c r="J21" s="41">
        <f>[1]Financial_Model!L119</f>
        <v>2541.6045707258636</v>
      </c>
      <c r="K21" s="41">
        <f>[1]Financial_Model!M119</f>
        <v>3044.6527316102374</v>
      </c>
      <c r="L21" s="41">
        <f>[1]Financial_Model!N119</f>
        <v>3567.3862682905983</v>
      </c>
      <c r="M21" s="41">
        <f>[1]Financial_Model!O119</f>
        <v>4074.0812639527776</v>
      </c>
      <c r="N21" s="41">
        <f>[1]Financial_Model!P119</f>
        <v>4593.9808095849803</v>
      </c>
      <c r="O21" s="41">
        <f>[1]Financial_Model!Q119</f>
        <v>5125.4075563180195</v>
      </c>
      <c r="P21" s="41">
        <f>[1]Financial_Model!R119</f>
        <v>5670.0934877185155</v>
      </c>
      <c r="Q21" s="41">
        <f>[1]Financial_Model!S119</f>
        <v>6220.447032663662</v>
      </c>
    </row>
    <row r="22" spans="1:17" s="1" customFormat="1" ht="15.6">
      <c r="C22" s="7" t="s">
        <v>440</v>
      </c>
      <c r="D22" s="4" t="s">
        <v>0</v>
      </c>
      <c r="E22" s="18">
        <f t="shared" ref="E22:Q22" si="1">-E21*Tax_Rate</f>
        <v>-209.24645326815616</v>
      </c>
      <c r="F22" s="18">
        <f t="shared" si="1"/>
        <v>-378.60464929973728</v>
      </c>
      <c r="G22" s="18">
        <f t="shared" si="1"/>
        <v>-483.71261287616193</v>
      </c>
      <c r="H22" s="18">
        <f t="shared" si="1"/>
        <v>-612.83964288562049</v>
      </c>
      <c r="I22" s="18">
        <f t="shared" si="1"/>
        <v>-750.36297552594897</v>
      </c>
      <c r="J22" s="18">
        <f t="shared" si="1"/>
        <v>-911.24972505049789</v>
      </c>
      <c r="K22" s="18">
        <f t="shared" si="1"/>
        <v>-1091.6092127430022</v>
      </c>
      <c r="L22" s="18">
        <f t="shared" si="1"/>
        <v>-1279.0265620274404</v>
      </c>
      <c r="M22" s="18">
        <f t="shared" si="1"/>
        <v>-1460.6935612136112</v>
      </c>
      <c r="N22" s="18">
        <f t="shared" si="1"/>
        <v>-1647.094830501509</v>
      </c>
      <c r="O22" s="18">
        <f t="shared" si="1"/>
        <v>-1837.6289845641377</v>
      </c>
      <c r="P22" s="18">
        <f t="shared" si="1"/>
        <v>-2032.9169970836556</v>
      </c>
      <c r="Q22" s="18">
        <f t="shared" si="1"/>
        <v>-2230.2370374582306</v>
      </c>
    </row>
    <row r="23" spans="1:17" s="1" customFormat="1" ht="15.6">
      <c r="C23" s="2" t="s">
        <v>441</v>
      </c>
      <c r="D23" s="4" t="s">
        <v>0</v>
      </c>
      <c r="E23" s="41">
        <f>E22+E21</f>
        <v>374.37154673184386</v>
      </c>
      <c r="F23" s="41">
        <f t="shared" ref="F23:Q23" si="2">F22+F21</f>
        <v>677.3773507002627</v>
      </c>
      <c r="G23" s="41">
        <f t="shared" si="2"/>
        <v>865.43038712383736</v>
      </c>
      <c r="H23" s="41">
        <f t="shared" si="2"/>
        <v>1096.4569359350571</v>
      </c>
      <c r="I23" s="41">
        <f t="shared" si="2"/>
        <v>1342.5056595724327</v>
      </c>
      <c r="J23" s="41">
        <f t="shared" si="2"/>
        <v>1630.3548456753656</v>
      </c>
      <c r="K23" s="41">
        <f t="shared" si="2"/>
        <v>1953.0435188672352</v>
      </c>
      <c r="L23" s="41">
        <f t="shared" si="2"/>
        <v>2288.3597062631579</v>
      </c>
      <c r="M23" s="41">
        <f t="shared" si="2"/>
        <v>2613.3877027391663</v>
      </c>
      <c r="N23" s="41">
        <f t="shared" si="2"/>
        <v>2946.8859790834713</v>
      </c>
      <c r="O23" s="41">
        <f t="shared" si="2"/>
        <v>3287.7785717538818</v>
      </c>
      <c r="P23" s="41">
        <f t="shared" si="2"/>
        <v>3637.1764906348599</v>
      </c>
      <c r="Q23" s="41">
        <f t="shared" si="2"/>
        <v>3990.2099952054314</v>
      </c>
    </row>
    <row r="24" spans="1:17" s="1" customFormat="1" ht="15.6">
      <c r="C24" s="7" t="s">
        <v>442</v>
      </c>
      <c r="D24" s="4" t="s">
        <v>0</v>
      </c>
      <c r="E24" s="18">
        <f>[1]Financial_Model!G172</f>
        <v>185.47800000000001</v>
      </c>
      <c r="F24" s="18">
        <f>[1]Financial_Model!H172</f>
        <v>224.20599999999999</v>
      </c>
      <c r="G24" s="18">
        <f>[1]Financial_Model!I172</f>
        <v>291.791</v>
      </c>
      <c r="H24" s="18">
        <f>[1]Financial_Model!J172</f>
        <v>359.95642130356538</v>
      </c>
      <c r="I24" s="18">
        <f>[1]Financial_Model!K172</f>
        <v>380.61855211308119</v>
      </c>
      <c r="J24" s="18">
        <f>[1]Financial_Model!L172</f>
        <v>388.8880253661643</v>
      </c>
      <c r="K24" s="18">
        <f>[1]Financial_Model!M172</f>
        <v>377.88062047869465</v>
      </c>
      <c r="L24" s="18">
        <f>[1]Financial_Model!N172</f>
        <v>339.5499637441302</v>
      </c>
      <c r="M24" s="18">
        <f>[1]Financial_Model!O172</f>
        <v>381.96455126879772</v>
      </c>
      <c r="N24" s="18">
        <f>[1]Financial_Model!P172</f>
        <v>435.02405510985875</v>
      </c>
      <c r="O24" s="18">
        <f>[1]Financial_Model!Q172</f>
        <v>489.8091375206227</v>
      </c>
      <c r="P24" s="18">
        <f>[1]Financial_Model!R172</f>
        <v>546.33186104740946</v>
      </c>
      <c r="Q24" s="18">
        <f>[1]Financial_Model!S172</f>
        <v>603.96805309653905</v>
      </c>
    </row>
    <row r="25" spans="1:17" s="1" customFormat="1" ht="15.6">
      <c r="C25" s="7" t="s">
        <v>443</v>
      </c>
      <c r="D25" s="4" t="s">
        <v>0</v>
      </c>
      <c r="E25" s="18">
        <f>[1]Financial_Model!G182</f>
        <v>-229.226</v>
      </c>
      <c r="F25" s="18">
        <f>[1]Financial_Model!H182</f>
        <v>-394.50200000000001</v>
      </c>
      <c r="G25" s="18">
        <f>[1]Financial_Model!I182</f>
        <v>-638.65700000000004</v>
      </c>
      <c r="H25" s="18">
        <f>[1]Financial_Model!J182</f>
        <v>-689.16028744066432</v>
      </c>
      <c r="I25" s="18">
        <f>[1]Financial_Model!K182</f>
        <v>-723.45852916357558</v>
      </c>
      <c r="J25" s="18">
        <f>[1]Financial_Model!L182</f>
        <v>-731.72677682946085</v>
      </c>
      <c r="K25" s="18">
        <f>[1]Financial_Model!M182</f>
        <v>-700.31367542531746</v>
      </c>
      <c r="L25" s="18">
        <f>[1]Financial_Model!N182</f>
        <v>-613.6149176660731</v>
      </c>
      <c r="M25" s="18">
        <f>[1]Financial_Model!O182</f>
        <v>-461.91323823743176</v>
      </c>
      <c r="N25" s="18">
        <f>[1]Financial_Model!P182</f>
        <v>-449.05708914566065</v>
      </c>
      <c r="O25" s="18">
        <f>[1]Financial_Model!Q182</f>
        <v>-505.60943227935246</v>
      </c>
      <c r="P25" s="18">
        <f>[1]Financial_Model!R182</f>
        <v>-563.95546946829359</v>
      </c>
      <c r="Q25" s="18">
        <f>[1]Financial_Model!S182</f>
        <v>-623.4508935190081</v>
      </c>
    </row>
    <row r="26" spans="1:17" s="1" customFormat="1" ht="15.6">
      <c r="C26" s="7" t="s">
        <v>444</v>
      </c>
      <c r="D26" s="4" t="s">
        <v>0</v>
      </c>
      <c r="E26" s="18">
        <f>[1]Financial_Model!G178</f>
        <v>-47.549000000000092</v>
      </c>
      <c r="F26" s="18">
        <f>[1]Financial_Model!H178</f>
        <v>129.13100000000031</v>
      </c>
      <c r="G26" s="18">
        <f>[1]Financial_Model!I178</f>
        <v>-596.99199999999928</v>
      </c>
      <c r="H26" s="18">
        <f>[1]Financial_Model!J178</f>
        <v>187.75490472717479</v>
      </c>
      <c r="I26" s="18">
        <f>[1]Financial_Model!K178</f>
        <v>-68.947665395243121</v>
      </c>
      <c r="J26" s="18">
        <f>[1]Financial_Model!L178</f>
        <v>-66.647954199921969</v>
      </c>
      <c r="K26" s="18">
        <f>[1]Financial_Model!M178</f>
        <v>-63.050944837466886</v>
      </c>
      <c r="L26" s="18">
        <f>[1]Financial_Model!N178</f>
        <v>-48.350906349211073</v>
      </c>
      <c r="M26" s="18">
        <f>[1]Financial_Model!O178</f>
        <v>-25.158708828735143</v>
      </c>
      <c r="N26" s="18">
        <f>[1]Financial_Model!P178</f>
        <v>-9.6353218389176618</v>
      </c>
      <c r="O26" s="18">
        <f>[1]Financial_Model!Q178</f>
        <v>23.910918363647397</v>
      </c>
      <c r="P26" s="18">
        <f>[1]Financial_Model!R178</f>
        <v>59.269622101056484</v>
      </c>
      <c r="Q26" s="18">
        <f>[1]Financial_Model!S178</f>
        <v>-97.307033112073441</v>
      </c>
    </row>
    <row r="27" spans="1:17" s="1" customFormat="1" ht="15.6">
      <c r="C27" s="7" t="s">
        <v>445</v>
      </c>
      <c r="D27" s="4" t="s">
        <v>0</v>
      </c>
      <c r="E27" s="18">
        <f>[1]Financial_Model!G177</f>
        <v>34.908000000000001</v>
      </c>
      <c r="F27" s="18">
        <f>[1]Financial_Model!H177</f>
        <v>-5.18</v>
      </c>
      <c r="G27" s="18">
        <f>[1]Financial_Model!I177</f>
        <v>3.0419999999999998</v>
      </c>
      <c r="H27" s="18">
        <f>[1]Financial_Model!J177</f>
        <v>-3.5227964441681081</v>
      </c>
      <c r="I27" s="18">
        <f>[1]Financial_Model!K177</f>
        <v>-3.8212744845591473</v>
      </c>
      <c r="J27" s="18">
        <f>[1]Financial_Model!L177</f>
        <v>-4.0793035319064046</v>
      </c>
      <c r="K27" s="18">
        <f>[1]Financial_Model!M177</f>
        <v>-4.2476181396777477</v>
      </c>
      <c r="L27" s="18">
        <f>[1]Financial_Model!N177</f>
        <v>-4.2578406144374306</v>
      </c>
      <c r="M27" s="18">
        <f>[1]Financial_Model!O177</f>
        <v>-4.0653787222439099</v>
      </c>
      <c r="N27" s="18">
        <f>[1]Financial_Model!P177</f>
        <v>-3.7014520496886156</v>
      </c>
      <c r="O27" s="18">
        <f>[1]Financial_Model!Q177</f>
        <v>-3.1579639158286206</v>
      </c>
      <c r="P27" s="18">
        <f>[1]Financial_Model!R177</f>
        <v>-2.4294322006275717</v>
      </c>
      <c r="Q27" s="18">
        <f>[1]Financial_Model!S177</f>
        <v>-1.5069433939611638</v>
      </c>
    </row>
    <row r="28" spans="1:17" s="1" customFormat="1" ht="15.6">
      <c r="B28" s="264"/>
      <c r="C28" s="264" t="s">
        <v>433</v>
      </c>
      <c r="D28" s="265" t="s">
        <v>0</v>
      </c>
      <c r="E28" s="266">
        <f>SUM(E23:E27)</f>
        <v>317.98254673184385</v>
      </c>
      <c r="F28" s="266">
        <f t="shared" ref="F28:Q28" si="3">SUM(F23:F27)</f>
        <v>631.03235070026301</v>
      </c>
      <c r="G28" s="266">
        <f t="shared" si="3"/>
        <v>-75.385612876162014</v>
      </c>
      <c r="H28" s="266">
        <f t="shared" si="3"/>
        <v>951.48517808096483</v>
      </c>
      <c r="I28" s="266">
        <f t="shared" si="3"/>
        <v>926.89674264213613</v>
      </c>
      <c r="J28" s="266">
        <f t="shared" si="3"/>
        <v>1216.7888364802409</v>
      </c>
      <c r="K28" s="266">
        <f t="shared" si="3"/>
        <v>1563.3119009434677</v>
      </c>
      <c r="L28" s="266">
        <f t="shared" si="3"/>
        <v>1961.6860053775667</v>
      </c>
      <c r="M28" s="266">
        <f t="shared" si="3"/>
        <v>2504.2149282195528</v>
      </c>
      <c r="N28" s="266">
        <f t="shared" si="3"/>
        <v>2919.5161711590631</v>
      </c>
      <c r="O28" s="266">
        <f t="shared" si="3"/>
        <v>3292.731231442971</v>
      </c>
      <c r="P28" s="266">
        <f t="shared" si="3"/>
        <v>3676.3930721144047</v>
      </c>
      <c r="Q28" s="266">
        <f t="shared" si="3"/>
        <v>3871.9131782769277</v>
      </c>
    </row>
    <row r="29" spans="1:17" s="1" customFormat="1" ht="15.6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s="1" customFormat="1" ht="15.6">
      <c r="B30" s="267"/>
      <c r="C30" s="268" t="s">
        <v>251</v>
      </c>
      <c r="D30" s="267" t="s">
        <v>0</v>
      </c>
      <c r="E30" s="269">
        <f>E21+E24</f>
        <v>769.096</v>
      </c>
      <c r="F30" s="269">
        <f t="shared" ref="F30:Q30" si="4">F21+F24</f>
        <v>1280.1879999999999</v>
      </c>
      <c r="G30" s="269">
        <f t="shared" si="4"/>
        <v>1640.9339999999993</v>
      </c>
      <c r="H30" s="269">
        <f t="shared" si="4"/>
        <v>2069.253000124243</v>
      </c>
      <c r="I30" s="269">
        <f t="shared" si="4"/>
        <v>2473.4871872114627</v>
      </c>
      <c r="J30" s="269">
        <f t="shared" si="4"/>
        <v>2930.4925960920277</v>
      </c>
      <c r="K30" s="269">
        <f t="shared" si="4"/>
        <v>3422.5333520889321</v>
      </c>
      <c r="L30" s="269">
        <f t="shared" si="4"/>
        <v>3906.9362320347286</v>
      </c>
      <c r="M30" s="269">
        <f t="shared" si="4"/>
        <v>4456.0458152215751</v>
      </c>
      <c r="N30" s="269">
        <f t="shared" si="4"/>
        <v>5029.0048646948389</v>
      </c>
      <c r="O30" s="269">
        <f t="shared" si="4"/>
        <v>5615.2166938386417</v>
      </c>
      <c r="P30" s="269">
        <f t="shared" si="4"/>
        <v>6216.4253487659253</v>
      </c>
      <c r="Q30" s="269">
        <f t="shared" si="4"/>
        <v>6824.4150857602008</v>
      </c>
    </row>
    <row r="31" spans="1:17" s="1" customFormat="1" ht="15.6"/>
    <row r="32" spans="1:17" s="1" customFormat="1" ht="15.6">
      <c r="C32" s="1" t="s">
        <v>446</v>
      </c>
      <c r="H32" s="38">
        <f>_xlfn.DAYS(H20,DATE(2023,8,15))/365*0.5</f>
        <v>0.18904109589041096</v>
      </c>
      <c r="I32" s="38">
        <f>H32*2+0.5</f>
        <v>0.87808219178082192</v>
      </c>
      <c r="J32" s="38">
        <f>I32+1</f>
        <v>1.8780821917808219</v>
      </c>
      <c r="K32" s="38">
        <f t="shared" ref="K32:Q32" si="5">J32+1</f>
        <v>2.8780821917808219</v>
      </c>
      <c r="L32" s="38">
        <f t="shared" si="5"/>
        <v>3.8780821917808219</v>
      </c>
      <c r="M32" s="38">
        <f t="shared" si="5"/>
        <v>4.8780821917808215</v>
      </c>
      <c r="N32" s="38">
        <f t="shared" si="5"/>
        <v>5.8780821917808215</v>
      </c>
      <c r="O32" s="38">
        <f t="shared" si="5"/>
        <v>6.8780821917808215</v>
      </c>
      <c r="P32" s="38">
        <f t="shared" si="5"/>
        <v>7.8780821917808215</v>
      </c>
      <c r="Q32" s="38">
        <f t="shared" si="5"/>
        <v>8.8780821917808215</v>
      </c>
    </row>
    <row r="33" spans="3:17" s="1" customFormat="1" ht="15.6">
      <c r="C33" s="1" t="s">
        <v>438</v>
      </c>
      <c r="H33" s="38">
        <f>1/(1+$D$11)^H32</f>
        <v>0.97761909961293059</v>
      </c>
      <c r="I33" s="38">
        <f t="shared" ref="I33:Q33" si="6">1/(1+$D$11)^I32</f>
        <v>0.90019970320893894</v>
      </c>
      <c r="J33" s="38">
        <f t="shared" si="6"/>
        <v>0.79861577644511961</v>
      </c>
      <c r="K33" s="38">
        <f t="shared" si="6"/>
        <v>0.70849518847153981</v>
      </c>
      <c r="L33" s="38">
        <f t="shared" si="6"/>
        <v>0.62854434747297716</v>
      </c>
      <c r="M33" s="38">
        <f t="shared" si="6"/>
        <v>0.55761563828333682</v>
      </c>
      <c r="N33" s="38">
        <f t="shared" si="6"/>
        <v>0.49469094950615394</v>
      </c>
      <c r="O33" s="38">
        <f t="shared" si="6"/>
        <v>0.43886705953349359</v>
      </c>
      <c r="P33" s="38">
        <f t="shared" si="6"/>
        <v>0.38934267169401493</v>
      </c>
      <c r="Q33" s="38">
        <f t="shared" si="6"/>
        <v>0.34540691243258953</v>
      </c>
    </row>
    <row r="34" spans="3:17" s="1" customFormat="1" ht="15.6"/>
    <row r="35" spans="3:17" s="1" customFormat="1" ht="15.6">
      <c r="C35" s="1" t="s">
        <v>424</v>
      </c>
      <c r="D35" s="4" t="s">
        <v>0</v>
      </c>
      <c r="G35" s="38">
        <f>SUMPRODUCT(H28:Q28,H33:Q33)</f>
        <v>12131.415810028033</v>
      </c>
    </row>
    <row r="36" spans="3:17" s="1" customFormat="1" ht="15.6"/>
    <row r="37" spans="3:17" s="1" customFormat="1" ht="15.6"/>
    <row r="38" spans="3:17" s="1" customFormat="1" ht="15.6"/>
    <row r="39" spans="3:17" s="1" customFormat="1" ht="15.6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Merger_Model</vt:lpstr>
      <vt:lpstr>Synergy</vt:lpstr>
      <vt:lpstr>LULU_Financial</vt:lpstr>
      <vt:lpstr>Aritzia_Financial</vt:lpstr>
      <vt:lpstr>Aritzia_DCF</vt:lpstr>
      <vt:lpstr>LULU_DCF</vt:lpstr>
      <vt:lpstr>Acquier_Ticker</vt:lpstr>
      <vt:lpstr>Acquirer_Name</vt:lpstr>
      <vt:lpstr>Acquirer_Price</vt:lpstr>
      <vt:lpstr>ARITZIA_PRICE_CAD</vt:lpstr>
      <vt:lpstr>ARITZIA_SHARE_NUMBER</vt:lpstr>
      <vt:lpstr>CAD_to_USD</vt:lpstr>
      <vt:lpstr>Aritzia_Financial!Cases</vt:lpstr>
      <vt:lpstr>LULU_Financial!Cases</vt:lpstr>
      <vt:lpstr>Cash</vt:lpstr>
      <vt:lpstr>Aritzia_Financial!Company_Name</vt:lpstr>
      <vt:lpstr>LULU_Financial!Company_Name</vt:lpstr>
      <vt:lpstr>LULU_Financial!Company_Store_per_Total_Sale</vt:lpstr>
      <vt:lpstr>Aritzia_Financial!Conversion_Unit</vt:lpstr>
      <vt:lpstr>LULU_Financial!Conversion_Unit</vt:lpstr>
      <vt:lpstr>LULU_Financial!Current_Cash</vt:lpstr>
      <vt:lpstr>Aritzia_Financial!Diluted_Share_Counts</vt:lpstr>
      <vt:lpstr>LULU_Financial!Diluted_Share_Counts</vt:lpstr>
      <vt:lpstr>LULU_Financial!Direct_per_total_sale</vt:lpstr>
      <vt:lpstr>Equity_Purchase_Price</vt:lpstr>
      <vt:lpstr>Excahnge_Rate</vt:lpstr>
      <vt:lpstr>Aritzia_Financial!Exchange_Rate</vt:lpstr>
      <vt:lpstr>LULU_Financial!Exchange_Rate</vt:lpstr>
      <vt:lpstr>LULU_Financial!Lease_Discount_Rate</vt:lpstr>
      <vt:lpstr>LULU_PRICE</vt:lpstr>
      <vt:lpstr>LULU_SHARE_COUNT</vt:lpstr>
      <vt:lpstr>LULU_SHARES_NUMBER</vt:lpstr>
      <vt:lpstr>LULU_TAX_RATE</vt:lpstr>
      <vt:lpstr>LULU_Financial!Rest_world_Growth</vt:lpstr>
      <vt:lpstr>Aritzia_Financial!Share_Price</vt:lpstr>
      <vt:lpstr>LULU_Financial!Share_Price</vt:lpstr>
      <vt:lpstr>Aritzia_Financial!Tax_Rate</vt:lpstr>
      <vt:lpstr>LULU_Financial!Tax_Rate</vt:lpstr>
      <vt:lpstr>Aritzia_Financial!Ticker</vt:lpstr>
      <vt:lpstr>LULU_Financial!Ticker</vt:lpstr>
      <vt:lpstr>Aritzia_Financial!US_GDP_Growth_Rate</vt:lpstr>
      <vt:lpstr>LULU_Financial!US_GDP_Growth_Rate</vt:lpstr>
      <vt:lpstr>Aritzia_Financial!US_Inflation_Rate</vt:lpstr>
      <vt:lpstr>LULU_Financial!US_Inflation_Rate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2015-06-05T18:17:20Z</dcterms:created>
  <dcterms:modified xsi:type="dcterms:W3CDTF">2023-08-21T19:41:48Z</dcterms:modified>
</cp:coreProperties>
</file>