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Financial Modelling\Southwest DCF\"/>
    </mc:Choice>
  </mc:AlternateContent>
  <xr:revisionPtr revIDLastSave="0" documentId="13_ncr:1_{2EE83E3C-B9F5-4B35-9D37-FD44E5F32A6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outhwest_DCF" sheetId="1" r:id="rId1"/>
  </sheets>
  <definedNames>
    <definedName name="Current_Price">Southwest_DCF!$D$6</definedName>
    <definedName name="LR_oilperASM">Southwest_DCF!$D$24</definedName>
    <definedName name="Operating_Case">Southwest_DCF!$D$8</definedName>
    <definedName name="Southwest_WACC">Southwest_DCF!$D$36</definedName>
    <definedName name="Tax_Rate">Southwest_DCF!$D$9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59" i="1" l="1"/>
  <c r="O59" i="1" s="1"/>
  <c r="P59" i="1" s="1"/>
  <c r="Q59" i="1" s="1"/>
  <c r="R59" i="1" s="1"/>
  <c r="S59" i="1" s="1"/>
  <c r="D196" i="1"/>
  <c r="D197" i="1" s="1"/>
  <c r="D198" i="1" s="1"/>
  <c r="D199" i="1" s="1"/>
  <c r="D200" i="1" s="1"/>
  <c r="M76" i="1"/>
  <c r="N75" i="1"/>
  <c r="O75" i="1" s="1"/>
  <c r="P75" i="1" s="1"/>
  <c r="Q75" i="1" s="1"/>
  <c r="R75" i="1" s="1"/>
  <c r="S75" i="1" s="1"/>
  <c r="H183" i="1"/>
  <c r="G183" i="1" s="1"/>
  <c r="F183" i="1" s="1"/>
  <c r="E183" i="1" s="1"/>
  <c r="J183" i="1"/>
  <c r="K183" i="1" s="1"/>
  <c r="L183" i="1" s="1"/>
  <c r="M183" i="1" s="1"/>
  <c r="N183" i="1" s="1"/>
  <c r="D185" i="1"/>
  <c r="D186" i="1" s="1"/>
  <c r="D187" i="1" s="1"/>
  <c r="D188" i="1" s="1"/>
  <c r="D189" i="1" s="1"/>
  <c r="H172" i="1"/>
  <c r="G172" i="1" s="1"/>
  <c r="F172" i="1" s="1"/>
  <c r="E172" i="1" s="1"/>
  <c r="D174" i="1"/>
  <c r="D175" i="1" s="1"/>
  <c r="D176" i="1" s="1"/>
  <c r="D177" i="1" s="1"/>
  <c r="D178" i="1" s="1"/>
  <c r="F161" i="1"/>
  <c r="G161" i="1" s="1"/>
  <c r="H161" i="1" s="1"/>
  <c r="I161" i="1" s="1"/>
  <c r="J161" i="1" s="1"/>
  <c r="K161" i="1" s="1"/>
  <c r="L161" i="1" s="1"/>
  <c r="M161" i="1" s="1"/>
  <c r="N161" i="1" s="1"/>
  <c r="D163" i="1"/>
  <c r="D164" i="1" s="1"/>
  <c r="D165" i="1" s="1"/>
  <c r="D166" i="1" s="1"/>
  <c r="D167" i="1" s="1"/>
  <c r="F150" i="1"/>
  <c r="G150" i="1" s="1"/>
  <c r="H150" i="1" s="1"/>
  <c r="I150" i="1" s="1"/>
  <c r="J150" i="1" s="1"/>
  <c r="K150" i="1" s="1"/>
  <c r="L150" i="1" s="1"/>
  <c r="M150" i="1" s="1"/>
  <c r="N150" i="1" s="1"/>
  <c r="D152" i="1"/>
  <c r="D153" i="1" s="1"/>
  <c r="D154" i="1" s="1"/>
  <c r="D155" i="1" s="1"/>
  <c r="D156" i="1" s="1"/>
  <c r="K80" i="1"/>
  <c r="J80" i="1"/>
  <c r="J65" i="1"/>
  <c r="F39" i="1"/>
  <c r="G39" i="1" s="1"/>
  <c r="H39" i="1" s="1"/>
  <c r="I39" i="1" s="1"/>
  <c r="I14" i="1"/>
  <c r="N14" i="1" s="1"/>
  <c r="I13" i="1"/>
  <c r="N13" i="1" s="1"/>
  <c r="D10" i="1"/>
  <c r="D34" i="1"/>
  <c r="D30" i="1"/>
  <c r="P60" i="1" l="1"/>
  <c r="Q60" i="1" s="1"/>
  <c r="R60" i="1" s="1"/>
  <c r="S60" i="1" s="1"/>
  <c r="R47" i="1"/>
  <c r="R48" i="1"/>
  <c r="J40" i="1"/>
  <c r="J41" i="1"/>
  <c r="K41" i="1" s="1"/>
  <c r="J42" i="1"/>
  <c r="K42" i="1" s="1"/>
  <c r="L42" i="1" s="1"/>
  <c r="M42" i="1" s="1"/>
  <c r="N42" i="1" s="1"/>
  <c r="O42" i="1" s="1"/>
  <c r="P42" i="1" s="1"/>
  <c r="Q42" i="1" s="1"/>
  <c r="J43" i="1"/>
  <c r="K43" i="1" s="1"/>
  <c r="L43" i="1" s="1"/>
  <c r="M43" i="1" s="1"/>
  <c r="N43" i="1" s="1"/>
  <c r="O43" i="1" s="1"/>
  <c r="P43" i="1" s="1"/>
  <c r="Q43" i="1" s="1"/>
  <c r="I80" i="1"/>
  <c r="F80" i="1"/>
  <c r="G80" i="1"/>
  <c r="H80" i="1"/>
  <c r="E80" i="1"/>
  <c r="F75" i="1"/>
  <c r="G75" i="1"/>
  <c r="H75" i="1"/>
  <c r="I75" i="1"/>
  <c r="E75" i="1"/>
  <c r="F57" i="1"/>
  <c r="G57" i="1"/>
  <c r="H57" i="1"/>
  <c r="I57" i="1"/>
  <c r="E57" i="1"/>
  <c r="F70" i="1"/>
  <c r="G70" i="1"/>
  <c r="H70" i="1"/>
  <c r="I70" i="1"/>
  <c r="E70" i="1"/>
  <c r="G48" i="1"/>
  <c r="H48" i="1"/>
  <c r="I48" i="1"/>
  <c r="F48" i="1"/>
  <c r="G47" i="1"/>
  <c r="H47" i="1"/>
  <c r="I47" i="1"/>
  <c r="F47" i="1"/>
  <c r="F55" i="1"/>
  <c r="F65" i="1" s="1"/>
  <c r="G55" i="1"/>
  <c r="G65" i="1" s="1"/>
  <c r="H55" i="1"/>
  <c r="H65" i="1" s="1"/>
  <c r="I55" i="1"/>
  <c r="I65" i="1" s="1"/>
  <c r="J68" i="1" s="1"/>
  <c r="K68" i="1" s="1"/>
  <c r="L68" i="1" s="1"/>
  <c r="M68" i="1" s="1"/>
  <c r="N68" i="1" s="1"/>
  <c r="O68" i="1" s="1"/>
  <c r="P68" i="1" s="1"/>
  <c r="Q68" i="1" s="1"/>
  <c r="R68" i="1" s="1"/>
  <c r="S68" i="1" s="1"/>
  <c r="E55" i="1"/>
  <c r="E65" i="1" s="1"/>
  <c r="G49" i="1"/>
  <c r="H49" i="1"/>
  <c r="I49" i="1"/>
  <c r="F49" i="1"/>
  <c r="E44" i="1"/>
  <c r="E51" i="1" s="1"/>
  <c r="F44" i="1"/>
  <c r="F51" i="1" s="1"/>
  <c r="G44" i="1"/>
  <c r="G51" i="1" s="1"/>
  <c r="H44" i="1"/>
  <c r="H51" i="1" s="1"/>
  <c r="I44" i="1"/>
  <c r="I51" i="1" s="1"/>
  <c r="D16" i="1"/>
  <c r="F134" i="1"/>
  <c r="G134" i="1"/>
  <c r="H134" i="1"/>
  <c r="I134" i="1"/>
  <c r="E134" i="1"/>
  <c r="I16" i="1" l="1"/>
  <c r="N16" i="1" s="1"/>
  <c r="J57" i="1"/>
  <c r="K57" i="1" s="1"/>
  <c r="J76" i="1"/>
  <c r="J77" i="1"/>
  <c r="J78" i="1"/>
  <c r="J66" i="1"/>
  <c r="K66" i="1" s="1"/>
  <c r="L66" i="1" s="1"/>
  <c r="M66" i="1" s="1"/>
  <c r="N66" i="1" s="1"/>
  <c r="O66" i="1" s="1"/>
  <c r="P66" i="1" s="1"/>
  <c r="Q66" i="1" s="1"/>
  <c r="R66" i="1" s="1"/>
  <c r="S66" i="1" s="1"/>
  <c r="K67" i="1"/>
  <c r="L82" i="1"/>
  <c r="D24" i="1"/>
  <c r="N80" i="1" s="1"/>
  <c r="O80" i="1" s="1"/>
  <c r="P80" i="1" s="1"/>
  <c r="Q80" i="1" s="1"/>
  <c r="R80" i="1" s="1"/>
  <c r="S80" i="1" s="1"/>
  <c r="K81" i="1"/>
  <c r="L81" i="1" s="1"/>
  <c r="M81" i="1" s="1"/>
  <c r="J83" i="1"/>
  <c r="K83" i="1" s="1"/>
  <c r="L83" i="1" s="1"/>
  <c r="M83" i="1" s="1"/>
  <c r="J44" i="1"/>
  <c r="J51" i="1"/>
  <c r="J55" i="1"/>
  <c r="J64" i="1" s="1"/>
  <c r="R42" i="1"/>
  <c r="S42" i="1" s="1"/>
  <c r="R43" i="1"/>
  <c r="S43" i="1" s="1"/>
  <c r="K40" i="1"/>
  <c r="L67" i="1" l="1"/>
  <c r="K65" i="1"/>
  <c r="J75" i="1"/>
  <c r="K77" i="1"/>
  <c r="M82" i="1"/>
  <c r="M80" i="1" s="1"/>
  <c r="L80" i="1"/>
  <c r="L57" i="1"/>
  <c r="J112" i="1"/>
  <c r="J62" i="1"/>
  <c r="J104" i="1" s="1"/>
  <c r="K51" i="1"/>
  <c r="J105" i="1"/>
  <c r="L40" i="1"/>
  <c r="L55" i="1" s="1"/>
  <c r="K55" i="1"/>
  <c r="K44" i="1"/>
  <c r="F107" i="1"/>
  <c r="E107" i="1"/>
  <c r="E89" i="1" s="1"/>
  <c r="G107" i="1"/>
  <c r="G89" i="1" s="1"/>
  <c r="H107" i="1"/>
  <c r="I107" i="1"/>
  <c r="I89" i="1" s="1"/>
  <c r="D15" i="1"/>
  <c r="I15" i="1" s="1"/>
  <c r="N15" i="1" s="1"/>
  <c r="D12" i="1"/>
  <c r="L77" i="1" l="1"/>
  <c r="K78" i="1"/>
  <c r="K75" i="1" s="1"/>
  <c r="M67" i="1"/>
  <c r="L65" i="1"/>
  <c r="M57" i="1"/>
  <c r="D36" i="1"/>
  <c r="H97" i="1"/>
  <c r="H89" i="1"/>
  <c r="F97" i="1"/>
  <c r="F89" i="1"/>
  <c r="J89" i="1" s="1"/>
  <c r="K89" i="1" s="1"/>
  <c r="L89" i="1" s="1"/>
  <c r="M89" i="1" s="1"/>
  <c r="N89" i="1" s="1"/>
  <c r="O89" i="1" s="1"/>
  <c r="P89" i="1" s="1"/>
  <c r="Q89" i="1" s="1"/>
  <c r="R89" i="1" s="1"/>
  <c r="S89" i="1" s="1"/>
  <c r="I108" i="1"/>
  <c r="I97" i="1"/>
  <c r="G108" i="1"/>
  <c r="G97" i="1"/>
  <c r="E99" i="1"/>
  <c r="E97" i="1"/>
  <c r="F108" i="1"/>
  <c r="H108" i="1"/>
  <c r="L51" i="1"/>
  <c r="K105" i="1"/>
  <c r="K64" i="1"/>
  <c r="K112" i="1" s="1"/>
  <c r="M40" i="1"/>
  <c r="L44" i="1"/>
  <c r="H99" i="1"/>
  <c r="G99" i="1"/>
  <c r="F99" i="1"/>
  <c r="I99" i="1"/>
  <c r="H93" i="1"/>
  <c r="H95" i="1"/>
  <c r="H94" i="1"/>
  <c r="H96" i="1"/>
  <c r="E94" i="1"/>
  <c r="E95" i="1"/>
  <c r="E96" i="1"/>
  <c r="E93" i="1"/>
  <c r="I93" i="1"/>
  <c r="I95" i="1"/>
  <c r="I94" i="1"/>
  <c r="I96" i="1"/>
  <c r="G93" i="1"/>
  <c r="G95" i="1"/>
  <c r="G94" i="1"/>
  <c r="G96" i="1"/>
  <c r="F93" i="1"/>
  <c r="F95" i="1"/>
  <c r="F94" i="1"/>
  <c r="F96" i="1"/>
  <c r="G91" i="1"/>
  <c r="I91" i="1"/>
  <c r="H91" i="1"/>
  <c r="E91" i="1"/>
  <c r="J91" i="1" s="1"/>
  <c r="F91" i="1"/>
  <c r="H53" i="1"/>
  <c r="H87" i="1"/>
  <c r="H85" i="1"/>
  <c r="I53" i="1"/>
  <c r="I87" i="1"/>
  <c r="I85" i="1"/>
  <c r="G53" i="1"/>
  <c r="G87" i="1"/>
  <c r="G85" i="1"/>
  <c r="E53" i="1"/>
  <c r="E87" i="1"/>
  <c r="E85" i="1"/>
  <c r="F53" i="1"/>
  <c r="F87" i="1"/>
  <c r="F85" i="1"/>
  <c r="G117" i="1"/>
  <c r="G118" i="1" s="1"/>
  <c r="G73" i="1"/>
  <c r="H117" i="1"/>
  <c r="H118" i="1" s="1"/>
  <c r="H73" i="1"/>
  <c r="E117" i="1"/>
  <c r="E118" i="1" s="1"/>
  <c r="E73" i="1"/>
  <c r="I117" i="1"/>
  <c r="I118" i="1" s="1"/>
  <c r="I73" i="1"/>
  <c r="F117" i="1"/>
  <c r="F118" i="1" s="1"/>
  <c r="F73" i="1"/>
  <c r="J39" i="1"/>
  <c r="K39" i="1" s="1"/>
  <c r="L39" i="1" s="1"/>
  <c r="M39" i="1" s="1"/>
  <c r="N39" i="1" s="1"/>
  <c r="O39" i="1" s="1"/>
  <c r="P39" i="1" s="1"/>
  <c r="Q39" i="1" s="1"/>
  <c r="R39" i="1" s="1"/>
  <c r="S39" i="1" s="1"/>
  <c r="S103" i="1" s="1"/>
  <c r="I103" i="1"/>
  <c r="G103" i="1"/>
  <c r="H103" i="1"/>
  <c r="E39" i="1"/>
  <c r="E103" i="1" s="1"/>
  <c r="F103" i="1"/>
  <c r="D20" i="1"/>
  <c r="N67" i="1" l="1"/>
  <c r="M65" i="1"/>
  <c r="L78" i="1"/>
  <c r="M77" i="1"/>
  <c r="L75" i="1"/>
  <c r="N57" i="1"/>
  <c r="J85" i="1"/>
  <c r="K85" i="1" s="1"/>
  <c r="L85" i="1" s="1"/>
  <c r="M85" i="1" s="1"/>
  <c r="N85" i="1" s="1"/>
  <c r="O85" i="1" s="1"/>
  <c r="P85" i="1" s="1"/>
  <c r="Q85" i="1" s="1"/>
  <c r="R85" i="1" s="1"/>
  <c r="S85" i="1" s="1"/>
  <c r="J53" i="1"/>
  <c r="J87" i="1"/>
  <c r="K87" i="1" s="1"/>
  <c r="L87" i="1" s="1"/>
  <c r="M87" i="1" s="1"/>
  <c r="N87" i="1" s="1"/>
  <c r="O87" i="1" s="1"/>
  <c r="P87" i="1" s="1"/>
  <c r="Q87" i="1" s="1"/>
  <c r="R87" i="1" s="1"/>
  <c r="S87" i="1" s="1"/>
  <c r="J73" i="1"/>
  <c r="K73" i="1" s="1"/>
  <c r="L73" i="1" s="1"/>
  <c r="M73" i="1" s="1"/>
  <c r="N73" i="1" s="1"/>
  <c r="O73" i="1" s="1"/>
  <c r="P73" i="1" s="1"/>
  <c r="Q73" i="1" s="1"/>
  <c r="R73" i="1" s="1"/>
  <c r="S73" i="1" s="1"/>
  <c r="J99" i="1"/>
  <c r="J97" i="1"/>
  <c r="K97" i="1" s="1"/>
  <c r="L97" i="1" s="1"/>
  <c r="M97" i="1" s="1"/>
  <c r="N97" i="1" s="1"/>
  <c r="O97" i="1" s="1"/>
  <c r="P97" i="1" s="1"/>
  <c r="Q97" i="1" s="1"/>
  <c r="R97" i="1" s="1"/>
  <c r="S97" i="1" s="1"/>
  <c r="K91" i="1"/>
  <c r="L91" i="1" s="1"/>
  <c r="M91" i="1" s="1"/>
  <c r="N91" i="1" s="1"/>
  <c r="O91" i="1" s="1"/>
  <c r="P91" i="1" s="1"/>
  <c r="Q91" i="1" s="1"/>
  <c r="R91" i="1" s="1"/>
  <c r="S91" i="1" s="1"/>
  <c r="J93" i="1"/>
  <c r="K62" i="1"/>
  <c r="K104" i="1" s="1"/>
  <c r="J94" i="1"/>
  <c r="J95" i="1"/>
  <c r="J96" i="1"/>
  <c r="M51" i="1"/>
  <c r="L105" i="1"/>
  <c r="L64" i="1"/>
  <c r="N40" i="1"/>
  <c r="M55" i="1"/>
  <c r="M44" i="1"/>
  <c r="F140" i="1"/>
  <c r="F120" i="1"/>
  <c r="I140" i="1"/>
  <c r="I120" i="1"/>
  <c r="G140" i="1"/>
  <c r="G120" i="1"/>
  <c r="H140" i="1"/>
  <c r="H120" i="1"/>
  <c r="E120" i="1"/>
  <c r="E140" i="1"/>
  <c r="K103" i="1"/>
  <c r="M103" i="1"/>
  <c r="L103" i="1"/>
  <c r="P103" i="1"/>
  <c r="J103" i="1"/>
  <c r="R103" i="1"/>
  <c r="N103" i="1"/>
  <c r="Q103" i="1"/>
  <c r="O103" i="1"/>
  <c r="M75" i="1" l="1"/>
  <c r="M78" i="1"/>
  <c r="O67" i="1"/>
  <c r="N65" i="1"/>
  <c r="O57" i="1"/>
  <c r="K142" i="1"/>
  <c r="J142" i="1"/>
  <c r="J143" i="1" s="1"/>
  <c r="K53" i="1"/>
  <c r="L53" i="1" s="1"/>
  <c r="M53" i="1" s="1"/>
  <c r="N53" i="1" s="1"/>
  <c r="O53" i="1" s="1"/>
  <c r="P53" i="1" s="1"/>
  <c r="Q53" i="1" s="1"/>
  <c r="R53" i="1" s="1"/>
  <c r="S53" i="1" s="1"/>
  <c r="J106" i="1"/>
  <c r="J107" i="1" s="1"/>
  <c r="K99" i="1"/>
  <c r="L99" i="1" s="1"/>
  <c r="K96" i="1"/>
  <c r="H121" i="1"/>
  <c r="H138" i="1" s="1"/>
  <c r="H100" i="1"/>
  <c r="K95" i="1"/>
  <c r="K94" i="1"/>
  <c r="K93" i="1"/>
  <c r="F121" i="1"/>
  <c r="F138" i="1" s="1"/>
  <c r="F100" i="1"/>
  <c r="E121" i="1"/>
  <c r="E138" i="1" s="1"/>
  <c r="E100" i="1"/>
  <c r="G121" i="1"/>
  <c r="G138" i="1" s="1"/>
  <c r="G100" i="1"/>
  <c r="I121" i="1"/>
  <c r="I138" i="1" s="1"/>
  <c r="I100" i="1"/>
  <c r="L62" i="1"/>
  <c r="L104" i="1" s="1"/>
  <c r="L112" i="1"/>
  <c r="N51" i="1"/>
  <c r="M105" i="1"/>
  <c r="M64" i="1"/>
  <c r="O40" i="1"/>
  <c r="O55" i="1" s="1"/>
  <c r="N55" i="1"/>
  <c r="N44" i="1"/>
  <c r="P67" i="1" l="1"/>
  <c r="O65" i="1"/>
  <c r="O64" i="1" s="1"/>
  <c r="P57" i="1"/>
  <c r="K143" i="1"/>
  <c r="L142" i="1"/>
  <c r="J114" i="1"/>
  <c r="J115" i="1"/>
  <c r="J124" i="1" s="1"/>
  <c r="J129" i="1"/>
  <c r="J132" i="1"/>
  <c r="J136" i="1"/>
  <c r="J130" i="1"/>
  <c r="J72" i="1"/>
  <c r="J111" i="1" s="1"/>
  <c r="J131" i="1"/>
  <c r="L106" i="1"/>
  <c r="L107" i="1" s="1"/>
  <c r="L136" i="1" s="1"/>
  <c r="K106" i="1"/>
  <c r="K107" i="1" s="1"/>
  <c r="J133" i="1"/>
  <c r="J113" i="1"/>
  <c r="J108" i="1"/>
  <c r="J116" i="1"/>
  <c r="M99" i="1"/>
  <c r="J100" i="1"/>
  <c r="K100" i="1" s="1"/>
  <c r="L100" i="1" s="1"/>
  <c r="M100" i="1" s="1"/>
  <c r="N100" i="1" s="1"/>
  <c r="O100" i="1" s="1"/>
  <c r="P100" i="1" s="1"/>
  <c r="Q100" i="1" s="1"/>
  <c r="R100" i="1" s="1"/>
  <c r="S100" i="1" s="1"/>
  <c r="L95" i="1"/>
  <c r="L94" i="1"/>
  <c r="L93" i="1"/>
  <c r="L96" i="1"/>
  <c r="M62" i="1"/>
  <c r="M104" i="1" s="1"/>
  <c r="M106" i="1" s="1"/>
  <c r="M107" i="1" s="1"/>
  <c r="M112" i="1"/>
  <c r="N64" i="1"/>
  <c r="O51" i="1"/>
  <c r="N105" i="1"/>
  <c r="P40" i="1"/>
  <c r="P55" i="1" s="1"/>
  <c r="O44" i="1"/>
  <c r="Q67" i="1" l="1"/>
  <c r="P65" i="1"/>
  <c r="Q57" i="1"/>
  <c r="L143" i="1"/>
  <c r="M142" i="1"/>
  <c r="J134" i="1"/>
  <c r="K130" i="1"/>
  <c r="K115" i="1"/>
  <c r="K124" i="1" s="1"/>
  <c r="L115" i="1"/>
  <c r="L124" i="1" s="1"/>
  <c r="K72" i="1"/>
  <c r="K111" i="1" s="1"/>
  <c r="L72" i="1"/>
  <c r="L111" i="1" s="1"/>
  <c r="M115" i="1"/>
  <c r="M124" i="1" s="1"/>
  <c r="L116" i="1"/>
  <c r="J117" i="1"/>
  <c r="J140" i="1" s="1"/>
  <c r="K133" i="1"/>
  <c r="K108" i="1"/>
  <c r="K132" i="1"/>
  <c r="L133" i="1"/>
  <c r="K116" i="1"/>
  <c r="L108" i="1"/>
  <c r="K136" i="1"/>
  <c r="K114" i="1"/>
  <c r="K129" i="1"/>
  <c r="K131" i="1"/>
  <c r="K113" i="1"/>
  <c r="L114" i="1"/>
  <c r="L113" i="1"/>
  <c r="N99" i="1"/>
  <c r="M136" i="1"/>
  <c r="M95" i="1"/>
  <c r="L131" i="1"/>
  <c r="M108" i="1"/>
  <c r="M133" i="1"/>
  <c r="M94" i="1"/>
  <c r="L130" i="1"/>
  <c r="M93" i="1"/>
  <c r="L129" i="1"/>
  <c r="M96" i="1"/>
  <c r="L132" i="1"/>
  <c r="N62" i="1"/>
  <c r="N104" i="1" s="1"/>
  <c r="N106" i="1" s="1"/>
  <c r="N107" i="1" s="1"/>
  <c r="N112" i="1"/>
  <c r="M113" i="1"/>
  <c r="M114" i="1"/>
  <c r="M116" i="1"/>
  <c r="M72" i="1"/>
  <c r="M111" i="1" s="1"/>
  <c r="P51" i="1"/>
  <c r="O105" i="1"/>
  <c r="Q40" i="1"/>
  <c r="P44" i="1"/>
  <c r="R67" i="1" l="1"/>
  <c r="Q65" i="1"/>
  <c r="S57" i="1"/>
  <c r="R57" i="1"/>
  <c r="N142" i="1"/>
  <c r="M143" i="1"/>
  <c r="J118" i="1"/>
  <c r="N115" i="1"/>
  <c r="N124" i="1" s="1"/>
  <c r="L117" i="1"/>
  <c r="L140" i="1" s="1"/>
  <c r="K134" i="1"/>
  <c r="K117" i="1"/>
  <c r="K140" i="1" s="1"/>
  <c r="J120" i="1"/>
  <c r="J121" i="1" s="1"/>
  <c r="L134" i="1"/>
  <c r="O99" i="1"/>
  <c r="N136" i="1"/>
  <c r="N96" i="1"/>
  <c r="M132" i="1"/>
  <c r="N93" i="1"/>
  <c r="M129" i="1"/>
  <c r="N94" i="1"/>
  <c r="M130" i="1"/>
  <c r="N108" i="1"/>
  <c r="N133" i="1"/>
  <c r="N95" i="1"/>
  <c r="M131" i="1"/>
  <c r="M117" i="1"/>
  <c r="M140" i="1" s="1"/>
  <c r="N72" i="1"/>
  <c r="N111" i="1" s="1"/>
  <c r="N116" i="1"/>
  <c r="N114" i="1"/>
  <c r="N113" i="1"/>
  <c r="O62" i="1"/>
  <c r="O104" i="1" s="1"/>
  <c r="O106" i="1" s="1"/>
  <c r="O107" i="1" s="1"/>
  <c r="O112" i="1"/>
  <c r="P64" i="1"/>
  <c r="Q51" i="1"/>
  <c r="P105" i="1"/>
  <c r="R40" i="1"/>
  <c r="Q55" i="1"/>
  <c r="Q44" i="1"/>
  <c r="S67" i="1" l="1"/>
  <c r="S65" i="1" s="1"/>
  <c r="R65" i="1"/>
  <c r="O142" i="1"/>
  <c r="N143" i="1"/>
  <c r="O115" i="1"/>
  <c r="O124" i="1" s="1"/>
  <c r="K118" i="1"/>
  <c r="L118" i="1"/>
  <c r="L120" i="1"/>
  <c r="L121" i="1" s="1"/>
  <c r="K120" i="1"/>
  <c r="K121" i="1" s="1"/>
  <c r="J126" i="1"/>
  <c r="J138" i="1" s="1"/>
  <c r="M134" i="1"/>
  <c r="P99" i="1"/>
  <c r="O136" i="1"/>
  <c r="O96" i="1"/>
  <c r="N132" i="1"/>
  <c r="O95" i="1"/>
  <c r="N131" i="1"/>
  <c r="O108" i="1"/>
  <c r="O133" i="1"/>
  <c r="O94" i="1"/>
  <c r="N130" i="1"/>
  <c r="O93" i="1"/>
  <c r="N129" i="1"/>
  <c r="M120" i="1"/>
  <c r="M118" i="1"/>
  <c r="Q64" i="1"/>
  <c r="Q112" i="1" s="1"/>
  <c r="N117" i="1"/>
  <c r="N140" i="1" s="1"/>
  <c r="O72" i="1"/>
  <c r="O111" i="1" s="1"/>
  <c r="O116" i="1"/>
  <c r="O113" i="1"/>
  <c r="O114" i="1"/>
  <c r="P62" i="1"/>
  <c r="P104" i="1" s="1"/>
  <c r="P106" i="1" s="1"/>
  <c r="P107" i="1" s="1"/>
  <c r="P112" i="1"/>
  <c r="R51" i="1"/>
  <c r="Q105" i="1"/>
  <c r="S40" i="1"/>
  <c r="R55" i="1"/>
  <c r="R44" i="1"/>
  <c r="P142" i="1" l="1"/>
  <c r="O143" i="1"/>
  <c r="P115" i="1"/>
  <c r="P124" i="1" s="1"/>
  <c r="K126" i="1"/>
  <c r="K138" i="1" s="1"/>
  <c r="L126" i="1"/>
  <c r="L138" i="1" s="1"/>
  <c r="Q62" i="1"/>
  <c r="Q104" i="1" s="1"/>
  <c r="Q106" i="1" s="1"/>
  <c r="Q107" i="1" s="1"/>
  <c r="Q99" i="1"/>
  <c r="P136" i="1"/>
  <c r="N134" i="1"/>
  <c r="P108" i="1"/>
  <c r="P133" i="1"/>
  <c r="M121" i="1"/>
  <c r="M126" i="1"/>
  <c r="P93" i="1"/>
  <c r="O129" i="1"/>
  <c r="P95" i="1"/>
  <c r="O131" i="1"/>
  <c r="P94" i="1"/>
  <c r="O130" i="1"/>
  <c r="P96" i="1"/>
  <c r="O132" i="1"/>
  <c r="R64" i="1"/>
  <c r="R112" i="1" s="1"/>
  <c r="N120" i="1"/>
  <c r="N118" i="1"/>
  <c r="O117" i="1"/>
  <c r="O140" i="1" s="1"/>
  <c r="P72" i="1"/>
  <c r="P111" i="1" s="1"/>
  <c r="P114" i="1"/>
  <c r="P116" i="1"/>
  <c r="P113" i="1"/>
  <c r="S51" i="1"/>
  <c r="R105" i="1"/>
  <c r="S55" i="1"/>
  <c r="S64" i="1" s="1"/>
  <c r="S62" i="1" s="1"/>
  <c r="S104" i="1" s="1"/>
  <c r="S44" i="1"/>
  <c r="Q142" i="1" l="1"/>
  <c r="P143" i="1"/>
  <c r="Q115" i="1"/>
  <c r="Q124" i="1" s="1"/>
  <c r="M138" i="1"/>
  <c r="O134" i="1"/>
  <c r="R99" i="1"/>
  <c r="Q136" i="1"/>
  <c r="Q96" i="1"/>
  <c r="P132" i="1"/>
  <c r="N121" i="1"/>
  <c r="N126" i="1"/>
  <c r="Q93" i="1"/>
  <c r="P129" i="1"/>
  <c r="Q94" i="1"/>
  <c r="P130" i="1"/>
  <c r="Q108" i="1"/>
  <c r="Q133" i="1"/>
  <c r="Q95" i="1"/>
  <c r="P131" i="1"/>
  <c r="R62" i="1"/>
  <c r="R104" i="1" s="1"/>
  <c r="R106" i="1" s="1"/>
  <c r="R107" i="1" s="1"/>
  <c r="R133" i="1" s="1"/>
  <c r="O120" i="1"/>
  <c r="O118" i="1"/>
  <c r="P117" i="1"/>
  <c r="P140" i="1" s="1"/>
  <c r="Q72" i="1"/>
  <c r="Q111" i="1" s="1"/>
  <c r="Q113" i="1"/>
  <c r="Q114" i="1"/>
  <c r="Q116" i="1"/>
  <c r="S112" i="1"/>
  <c r="S105" i="1"/>
  <c r="S106" i="1" s="1"/>
  <c r="R142" i="1" l="1"/>
  <c r="Q143" i="1"/>
  <c r="R115" i="1"/>
  <c r="R124" i="1" s="1"/>
  <c r="P134" i="1"/>
  <c r="S99" i="1"/>
  <c r="R136" i="1"/>
  <c r="N138" i="1"/>
  <c r="R96" i="1"/>
  <c r="Q132" i="1"/>
  <c r="O121" i="1"/>
  <c r="O126" i="1"/>
  <c r="R93" i="1"/>
  <c r="Q129" i="1"/>
  <c r="R95" i="1"/>
  <c r="Q131" i="1"/>
  <c r="R94" i="1"/>
  <c r="Q130" i="1"/>
  <c r="P120" i="1"/>
  <c r="P118" i="1"/>
  <c r="R114" i="1"/>
  <c r="R108" i="1"/>
  <c r="R113" i="1"/>
  <c r="R116" i="1"/>
  <c r="R72" i="1"/>
  <c r="R111" i="1" s="1"/>
  <c r="Q117" i="1"/>
  <c r="Q140" i="1" s="1"/>
  <c r="S107" i="1"/>
  <c r="S142" i="1" l="1"/>
  <c r="S143" i="1" s="1"/>
  <c r="R143" i="1"/>
  <c r="S115" i="1"/>
  <c r="S124" i="1" s="1"/>
  <c r="Q134" i="1"/>
  <c r="S136" i="1"/>
  <c r="O138" i="1"/>
  <c r="S94" i="1"/>
  <c r="S130" i="1" s="1"/>
  <c r="R130" i="1"/>
  <c r="S95" i="1"/>
  <c r="S131" i="1" s="1"/>
  <c r="R131" i="1"/>
  <c r="S96" i="1"/>
  <c r="S132" i="1" s="1"/>
  <c r="R132" i="1"/>
  <c r="S93" i="1"/>
  <c r="S129" i="1" s="1"/>
  <c r="R129" i="1"/>
  <c r="S108" i="1"/>
  <c r="S133" i="1"/>
  <c r="P121" i="1"/>
  <c r="P126" i="1"/>
  <c r="Q120" i="1"/>
  <c r="Q118" i="1"/>
  <c r="R117" i="1"/>
  <c r="R140" i="1" s="1"/>
  <c r="S72" i="1"/>
  <c r="S111" i="1" s="1"/>
  <c r="S113" i="1"/>
  <c r="S114" i="1"/>
  <c r="S116" i="1"/>
  <c r="P138" i="1" l="1"/>
  <c r="R134" i="1"/>
  <c r="S134" i="1"/>
  <c r="Q121" i="1"/>
  <c r="Q126" i="1"/>
  <c r="S117" i="1"/>
  <c r="R120" i="1"/>
  <c r="R118" i="1"/>
  <c r="Q138" i="1" l="1"/>
  <c r="S120" i="1"/>
  <c r="S121" i="1" s="1"/>
  <c r="S140" i="1"/>
  <c r="I7" i="1" s="1"/>
  <c r="I10" i="1" s="1"/>
  <c r="R121" i="1"/>
  <c r="R126" i="1"/>
  <c r="S118" i="1"/>
  <c r="S126" i="1" l="1"/>
  <c r="S138" i="1" s="1"/>
  <c r="N7" i="1" s="1"/>
  <c r="N10" i="1" s="1"/>
  <c r="R138" i="1"/>
  <c r="I144" i="1" l="1"/>
  <c r="I9" i="1" l="1"/>
  <c r="I12" i="1" s="1"/>
  <c r="I17" i="1" s="1"/>
  <c r="I19" i="1" s="1"/>
  <c r="D150" i="1" s="1"/>
  <c r="N9" i="1"/>
  <c r="N12" i="1" s="1"/>
  <c r="N17" i="1" s="1"/>
  <c r="I20" i="1" l="1"/>
  <c r="N19" i="1"/>
  <c r="N20" i="1" l="1"/>
  <c r="D161" i="1"/>
  <c r="I23" i="1"/>
  <c r="D194" i="1" s="1"/>
  <c r="D172" i="1" l="1"/>
  <c r="D183" i="1"/>
  <c r="J172" i="1" l="1"/>
  <c r="K172" i="1" s="1"/>
  <c r="L172" i="1" s="1"/>
  <c r="M172" i="1" s="1"/>
  <c r="N17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111</author>
  </authors>
  <commentList>
    <comment ref="C62" authorId="0" shapeId="0" xr:uid="{468D3C49-FA91-46AD-B661-3A05A8DB2929}">
      <text>
        <r>
          <rPr>
            <b/>
            <sz val="9"/>
            <color indexed="81"/>
            <rFont val="Tahoma"/>
            <family val="2"/>
          </rPr>
          <t>111:</t>
        </r>
        <r>
          <rPr>
            <sz val="9"/>
            <color indexed="81"/>
            <rFont val="Tahoma"/>
            <family val="2"/>
          </rPr>
          <t xml:space="preserve">
Measure of Demand</t>
        </r>
      </text>
    </comment>
    <comment ref="C80" authorId="0" shapeId="0" xr:uid="{196AEB83-6865-4AE6-A832-5B5CCBED52E6}">
      <text>
        <r>
          <rPr>
            <b/>
            <sz val="9"/>
            <color indexed="81"/>
            <rFont val="Tahoma"/>
            <family val="2"/>
          </rPr>
          <t>111:</t>
        </r>
        <r>
          <rPr>
            <sz val="9"/>
            <color indexed="81"/>
            <rFont val="Tahoma"/>
            <family val="2"/>
          </rPr>
          <t xml:space="preserve">
Reflect Oil Price</t>
        </r>
      </text>
    </comment>
  </commentList>
</comments>
</file>

<file path=xl/sharedStrings.xml><?xml version="1.0" encoding="utf-8"?>
<sst xmlns="http://schemas.openxmlformats.org/spreadsheetml/2006/main" count="166" uniqueCount="131">
  <si>
    <t>Southwest Airline DCF Analysis</t>
  </si>
  <si>
    <t>Assumptions</t>
  </si>
  <si>
    <t>Company Name:</t>
  </si>
  <si>
    <t>Southwest Airline</t>
  </si>
  <si>
    <t>Ticker:</t>
  </si>
  <si>
    <t>LUV</t>
  </si>
  <si>
    <t>Current Share Price:</t>
  </si>
  <si>
    <t>Total Number of Diluted Shares:</t>
  </si>
  <si>
    <t>Current Equity Value</t>
  </si>
  <si>
    <t>(-)Cash</t>
  </si>
  <si>
    <t>(-)Investment</t>
  </si>
  <si>
    <t>(+)Debt</t>
  </si>
  <si>
    <t>(-)NOL</t>
  </si>
  <si>
    <t>(+)Minority Interest</t>
  </si>
  <si>
    <t>(+)Preferred Stock</t>
  </si>
  <si>
    <t>(+)Unfunded Pension</t>
  </si>
  <si>
    <t>Total Enterprise Value (TEV)</t>
  </si>
  <si>
    <t>Free Cash Flow to Firms Projection</t>
  </si>
  <si>
    <t>Units:</t>
  </si>
  <si>
    <t>Historical:</t>
  </si>
  <si>
    <t>Projected:</t>
  </si>
  <si>
    <t>Operating Driver:</t>
  </si>
  <si>
    <t>Case</t>
  </si>
  <si>
    <t>(+) Passenger</t>
  </si>
  <si>
    <t>(+) Freight</t>
  </si>
  <si>
    <t>(+) Other</t>
  </si>
  <si>
    <t>Total Revenue</t>
  </si>
  <si>
    <t>Operating Expenses:</t>
  </si>
  <si>
    <t>(-) Fuel And Oil</t>
  </si>
  <si>
    <t>(-) Maintenance Materials And Repairs</t>
  </si>
  <si>
    <t>(-) Landing Fees And Airport Rentals</t>
  </si>
  <si>
    <t>(-) Depreciation And Amortization</t>
  </si>
  <si>
    <t>(+/-) Other Operating Income/Expenses</t>
  </si>
  <si>
    <t>(-) Employee Expenses</t>
  </si>
  <si>
    <t>Tax Rate</t>
  </si>
  <si>
    <t>NOPAT</t>
  </si>
  <si>
    <t>Adjustment For Non-Cash Charges:</t>
  </si>
  <si>
    <t>(+)Depreciation/Amorization</t>
  </si>
  <si>
    <t>(+)Impairment</t>
  </si>
  <si>
    <t>(+/-)Change in DTL</t>
  </si>
  <si>
    <t>Net Change in Working Capital:</t>
  </si>
  <si>
    <t>(+/-)Accounts and other receivables</t>
  </si>
  <si>
    <t>(+/-)Other assets</t>
  </si>
  <si>
    <t>(+/-)Accounts payable and accrued liabilities</t>
  </si>
  <si>
    <t>(+/-)Air traffic liability</t>
  </si>
  <si>
    <t>(+/-)Other liabilities</t>
  </si>
  <si>
    <t>(-)Capital Expenditures</t>
  </si>
  <si>
    <t>(+/-)Net Change in Working Capital</t>
  </si>
  <si>
    <t>EBITDA</t>
  </si>
  <si>
    <t>Total Airplane:</t>
  </si>
  <si>
    <t>Boeing 737-7</t>
  </si>
  <si>
    <t>Boeing 737-700</t>
  </si>
  <si>
    <t>Boeing 737-800</t>
  </si>
  <si>
    <t>Boeing 737-8</t>
  </si>
  <si>
    <t>Boeing 737-7/700 Seat</t>
  </si>
  <si>
    <t>Boeing 737-8/800 Seat</t>
  </si>
  <si>
    <t>Boeing 737-700 Retirement</t>
  </si>
  <si>
    <t>New Orders/Reductions:</t>
  </si>
  <si>
    <t>Total Seats:</t>
  </si>
  <si>
    <t>Number of Employee</t>
  </si>
  <si>
    <t>Revenue passenger miles (RPMs) (in millions)</t>
  </si>
  <si>
    <t>Available seat miles (ASMs) (in millions)</t>
  </si>
  <si>
    <t>Load Factor</t>
  </si>
  <si>
    <t>Passenger Revenue%RPM</t>
  </si>
  <si>
    <t>Upside</t>
  </si>
  <si>
    <t>Base</t>
  </si>
  <si>
    <t>Downside</t>
  </si>
  <si>
    <t>ASM/Total Seats</t>
  </si>
  <si>
    <t>Number of Employee%Revenue</t>
  </si>
  <si>
    <t>Freight Revenue%Total Airplane</t>
  </si>
  <si>
    <t>Other Revenue%Total Revenue</t>
  </si>
  <si>
    <t>Employee Expense%Total Number of Employee</t>
  </si>
  <si>
    <t>Fuel Expense%ASM</t>
  </si>
  <si>
    <t>Maintaince and Repair Expense%Revenue</t>
  </si>
  <si>
    <t>Landing Fees and Rentals%Revenue</t>
  </si>
  <si>
    <t>Other OpEx%Revenue</t>
  </si>
  <si>
    <t>Operating Income (EBIT)</t>
  </si>
  <si>
    <t>(-)Income Tax Effect Excluding Int. Income</t>
  </si>
  <si>
    <t>Receivable Change % Revenue</t>
  </si>
  <si>
    <t>Other Asset Change%Revenue</t>
  </si>
  <si>
    <t>Payable Change%Revenue</t>
  </si>
  <si>
    <t>Air Traffic Liability Change % Revenue</t>
  </si>
  <si>
    <t>CapEx%Revenue</t>
  </si>
  <si>
    <t>Revenue Growth Rate</t>
  </si>
  <si>
    <t>EBIT Margin</t>
  </si>
  <si>
    <t>Change in DTL%Income Tax Expense</t>
  </si>
  <si>
    <t>Other Liability%Revenue</t>
  </si>
  <si>
    <t>D&amp;A%Revenue</t>
  </si>
  <si>
    <t>Long-Run Oil Expense%ASM</t>
  </si>
  <si>
    <t>Long-Run Employee Expense%Employee</t>
  </si>
  <si>
    <t>Southwest Beta</t>
  </si>
  <si>
    <t>US Equity Market Permium</t>
  </si>
  <si>
    <t>US 10 Years Treasury Yield</t>
  </si>
  <si>
    <t>Southwest Cost of Equity</t>
  </si>
  <si>
    <t>Southwest Cost of Debt</t>
  </si>
  <si>
    <t>Southwest Credit Rating</t>
  </si>
  <si>
    <t>BBB</t>
  </si>
  <si>
    <t>Southwest Credit Spread</t>
  </si>
  <si>
    <t>Southwest WACC</t>
  </si>
  <si>
    <t>TEV to EBITDA Multiple Method</t>
  </si>
  <si>
    <t xml:space="preserve">EBITDA Multiple </t>
  </si>
  <si>
    <t>Terminal Value</t>
  </si>
  <si>
    <t>Analysis Date</t>
  </si>
  <si>
    <t>Days to Today (Mid-Year Convention)</t>
  </si>
  <si>
    <t>Discount Factor</t>
  </si>
  <si>
    <t>Present Value of Ten Years Future FCFF</t>
  </si>
  <si>
    <t>Free Cash Flow to Firm (FCFF)</t>
  </si>
  <si>
    <t>PV(Terminal Value)</t>
  </si>
  <si>
    <t>PV(FCFF)</t>
  </si>
  <si>
    <t>Implied Equity Value</t>
  </si>
  <si>
    <t>(+)Cash</t>
  </si>
  <si>
    <t>(+)Investment</t>
  </si>
  <si>
    <t>(-)Debt</t>
  </si>
  <si>
    <t>Implied Enterprise Value</t>
  </si>
  <si>
    <t>(+)NOL</t>
  </si>
  <si>
    <t>Implied Share Price</t>
  </si>
  <si>
    <t>Upside/Downside</t>
  </si>
  <si>
    <t>FCFF Perpetuity Growth Method</t>
  </si>
  <si>
    <t>Growth Rate</t>
  </si>
  <si>
    <t>Average</t>
  </si>
  <si>
    <t>Sensitivity Tables</t>
  </si>
  <si>
    <t>Sensitivity of Implied Share Price, WACC and EBITDA Multiple</t>
  </si>
  <si>
    <t>EBITDA Multiple</t>
  </si>
  <si>
    <t>WACC</t>
  </si>
  <si>
    <t>FCFF Perpetuity Growth Rate</t>
  </si>
  <si>
    <t>Sensitivity of Implied Share Price, WACC and FCFF Perpetuity Growth Rate</t>
  </si>
  <si>
    <t>Sensitivity of Implied Share Price, WACC and Long Run Oil Expense%ASM</t>
  </si>
  <si>
    <t>Long Run Oil Expense%ASM</t>
  </si>
  <si>
    <t>Sensitivity of Implied Share Price, WACC and Long-Run Employee Expense%Employee</t>
  </si>
  <si>
    <t>Long Run Employee Expense per Employee</t>
  </si>
  <si>
    <t>Operating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</si>
</sst>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&quot;FY &quot;yy"/>
    <numFmt numFmtId="166" formatCode="_(* #,##0.0000_);_(* \(#,##0.0000\);_(* &quot;-&quot;??_);_(@_)"/>
    <numFmt numFmtId="167" formatCode="0.00%;\(0.00%\);"/>
    <numFmt numFmtId="168" formatCode="0_);\(0\)"/>
    <numFmt numFmtId="169" formatCode="_(* #,##0.000_);_(* \(#,##0.000\);_(* &quot;-&quot;???_);_(@_)"/>
    <numFmt numFmtId="170" formatCode="_(* #,##0_);_(* \(#,##0\);_(* &quot;-&quot;??_);_(@_)"/>
    <numFmt numFmtId="171" formatCode="_(* #,##0.000_);_(* \(#,##0.000\);_(* &quot;-&quot;??_);_(@_)"/>
    <numFmt numFmtId="172" formatCode="_(* #,##0.0000_);_(* \(#,##0.0000\);_(* &quot;-&quot;????_);_(@_)"/>
    <numFmt numFmtId="179" formatCode="0.0%"/>
    <numFmt numFmtId="180" formatCode="0.0&quot; x&quot;"/>
    <numFmt numFmtId="184" formatCode="_(&quot;$&quot;* #,##0.0000_);_(&quot;$&quot;* \(#,##0.0000\);_(&quot;$&quot;* &quot;-&quot;????_);_(@_)"/>
  </numFmts>
  <fonts count="1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FF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sz val="12"/>
      <name val="Arial"/>
      <family val="2"/>
    </font>
    <font>
      <b/>
      <sz val="12"/>
      <color rgb="FF0000FF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5" tint="0.59999389629810485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1F497D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/>
      <right style="thin">
        <color theme="0"/>
      </right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3" fillId="2" borderId="0" xfId="0" applyFont="1" applyFill="1"/>
    <xf numFmtId="0" fontId="4" fillId="3" borderId="1" xfId="0" applyFont="1" applyFill="1" applyBorder="1" applyAlignment="1">
      <alignment horizontal="center"/>
    </xf>
    <xf numFmtId="44" fontId="4" fillId="3" borderId="1" xfId="0" applyNumberFormat="1" applyFont="1" applyFill="1" applyBorder="1" applyAlignment="1">
      <alignment horizontal="center"/>
    </xf>
    <xf numFmtId="39" fontId="4" fillId="3" borderId="1" xfId="0" applyNumberFormat="1" applyFont="1" applyFill="1" applyBorder="1" applyAlignment="1">
      <alignment horizontal="center"/>
    </xf>
    <xf numFmtId="0" fontId="1" fillId="4" borderId="0" xfId="0" applyFont="1" applyFill="1"/>
    <xf numFmtId="0" fontId="2" fillId="4" borderId="0" xfId="0" applyFont="1" applyFill="1"/>
    <xf numFmtId="41" fontId="1" fillId="0" borderId="0" xfId="0" applyNumberFormat="1" applyFont="1"/>
    <xf numFmtId="164" fontId="2" fillId="4" borderId="0" xfId="0" applyNumberFormat="1" applyFont="1" applyFill="1"/>
    <xf numFmtId="41" fontId="4" fillId="3" borderId="1" xfId="0" applyNumberFormat="1" applyFont="1" applyFill="1" applyBorder="1" applyAlignment="1">
      <alignment horizontal="center"/>
    </xf>
    <xf numFmtId="0" fontId="1" fillId="0" borderId="2" xfId="0" applyFont="1" applyBorder="1"/>
    <xf numFmtId="41" fontId="4" fillId="3" borderId="3" xfId="0" applyNumberFormat="1" applyFont="1" applyFill="1" applyBorder="1" applyAlignment="1">
      <alignment horizontal="center"/>
    </xf>
    <xf numFmtId="41" fontId="4" fillId="3" borderId="4" xfId="0" applyNumberFormat="1" applyFont="1" applyFill="1" applyBorder="1" applyAlignment="1">
      <alignment horizontal="center"/>
    </xf>
    <xf numFmtId="0" fontId="1" fillId="0" borderId="0" xfId="0" applyFont="1" applyAlignment="1">
      <alignment horizontal="left" indent="1"/>
    </xf>
    <xf numFmtId="0" fontId="1" fillId="0" borderId="2" xfId="0" applyFont="1" applyBorder="1" applyAlignment="1">
      <alignment horizontal="left" indent="1"/>
    </xf>
    <xf numFmtId="0" fontId="5" fillId="2" borderId="0" xfId="0" applyFont="1" applyFill="1" applyAlignment="1">
      <alignment horizontal="center"/>
    </xf>
    <xf numFmtId="165" fontId="3" fillId="2" borderId="0" xfId="0" applyNumberFormat="1" applyFont="1" applyFill="1" applyAlignment="1">
      <alignment horizontal="center"/>
    </xf>
    <xf numFmtId="165" fontId="3" fillId="2" borderId="5" xfId="0" applyNumberFormat="1" applyFont="1" applyFill="1" applyBorder="1" applyAlignment="1">
      <alignment horizontal="center"/>
    </xf>
    <xf numFmtId="0" fontId="3" fillId="2" borderId="6" xfId="0" applyFont="1" applyFill="1" applyBorder="1" applyAlignment="1">
      <alignment horizontal="centerContinuous"/>
    </xf>
    <xf numFmtId="0" fontId="3" fillId="2" borderId="7" xfId="0" applyFont="1" applyFill="1" applyBorder="1" applyAlignment="1">
      <alignment horizontal="centerContinuous"/>
    </xf>
    <xf numFmtId="10" fontId="4" fillId="3" borderId="1" xfId="0" applyNumberFormat="1" applyFont="1" applyFill="1" applyBorder="1" applyAlignment="1">
      <alignment horizontal="center"/>
    </xf>
    <xf numFmtId="41" fontId="1" fillId="0" borderId="2" xfId="0" applyNumberFormat="1" applyFont="1" applyBorder="1"/>
    <xf numFmtId="41" fontId="2" fillId="0" borderId="0" xfId="0" applyNumberFormat="1" applyFont="1"/>
    <xf numFmtId="42" fontId="1" fillId="0" borderId="0" xfId="0" applyNumberFormat="1" applyFont="1"/>
    <xf numFmtId="43" fontId="1" fillId="0" borderId="0" xfId="0" applyNumberFormat="1" applyFont="1"/>
    <xf numFmtId="42" fontId="4" fillId="0" borderId="0" xfId="0" applyNumberFormat="1" applyFont="1"/>
    <xf numFmtId="41" fontId="4" fillId="0" borderId="0" xfId="0" applyNumberFormat="1" applyFont="1"/>
    <xf numFmtId="41" fontId="4" fillId="0" borderId="2" xfId="0" applyNumberFormat="1" applyFont="1" applyBorder="1"/>
    <xf numFmtId="37" fontId="2" fillId="0" borderId="0" xfId="0" applyNumberFormat="1" applyFont="1"/>
    <xf numFmtId="0" fontId="2" fillId="5" borderId="0" xfId="0" applyFont="1" applyFill="1"/>
    <xf numFmtId="41" fontId="2" fillId="5" borderId="0" xfId="0" applyNumberFormat="1" applyFont="1" applyFill="1"/>
    <xf numFmtId="0" fontId="2" fillId="6" borderId="0" xfId="0" applyFont="1" applyFill="1"/>
    <xf numFmtId="41" fontId="2" fillId="6" borderId="0" xfId="0" applyNumberFormat="1" applyFont="1" applyFill="1"/>
    <xf numFmtId="37" fontId="4" fillId="3" borderId="1" xfId="0" applyNumberFormat="1" applyFont="1" applyFill="1" applyBorder="1" applyAlignment="1">
      <alignment horizontal="center"/>
    </xf>
    <xf numFmtId="37" fontId="6" fillId="0" borderId="0" xfId="0" applyNumberFormat="1" applyFont="1" applyAlignment="1">
      <alignment vertical="top"/>
    </xf>
    <xf numFmtId="0" fontId="4" fillId="0" borderId="0" xfId="0" applyFont="1"/>
    <xf numFmtId="0" fontId="4" fillId="0" borderId="2" xfId="0" applyFont="1" applyBorder="1"/>
    <xf numFmtId="0" fontId="7" fillId="0" borderId="0" xfId="0" applyFont="1"/>
    <xf numFmtId="3" fontId="1" fillId="0" borderId="0" xfId="0" applyNumberFormat="1" applyFont="1"/>
    <xf numFmtId="3" fontId="4" fillId="0" borderId="0" xfId="0" applyNumberFormat="1" applyFont="1"/>
    <xf numFmtId="10" fontId="1" fillId="0" borderId="0" xfId="0" applyNumberFormat="1" applyFont="1"/>
    <xf numFmtId="4" fontId="10" fillId="0" borderId="0" xfId="0" applyNumberFormat="1" applyFont="1"/>
    <xf numFmtId="166" fontId="1" fillId="0" borderId="0" xfId="0" applyNumberFormat="1" applyFont="1"/>
    <xf numFmtId="167" fontId="1" fillId="0" borderId="0" xfId="0" applyNumberFormat="1" applyFont="1"/>
    <xf numFmtId="1" fontId="1" fillId="0" borderId="0" xfId="0" applyNumberFormat="1" applyFont="1"/>
    <xf numFmtId="1" fontId="1" fillId="0" borderId="2" xfId="0" applyNumberFormat="1" applyFont="1" applyBorder="1"/>
    <xf numFmtId="1" fontId="2" fillId="0" borderId="0" xfId="0" applyNumberFormat="1" applyFont="1"/>
    <xf numFmtId="168" fontId="4" fillId="0" borderId="0" xfId="0" applyNumberFormat="1" applyFont="1"/>
    <xf numFmtId="168" fontId="4" fillId="3" borderId="1" xfId="0" applyNumberFormat="1" applyFont="1" applyFill="1" applyBorder="1" applyAlignment="1">
      <alignment horizontal="center"/>
    </xf>
    <xf numFmtId="43" fontId="4" fillId="3" borderId="1" xfId="0" applyNumberFormat="1" applyFont="1" applyFill="1" applyBorder="1" applyAlignment="1">
      <alignment horizontal="center"/>
    </xf>
    <xf numFmtId="10" fontId="10" fillId="3" borderId="1" xfId="0" applyNumberFormat="1" applyFont="1" applyFill="1" applyBorder="1" applyAlignment="1">
      <alignment horizontal="center"/>
    </xf>
    <xf numFmtId="37" fontId="10" fillId="3" borderId="1" xfId="0" applyNumberFormat="1" applyFont="1" applyFill="1" applyBorder="1" applyAlignment="1">
      <alignment horizontal="center"/>
    </xf>
    <xf numFmtId="43" fontId="10" fillId="3" borderId="1" xfId="0" applyNumberFormat="1" applyFont="1" applyFill="1" applyBorder="1" applyAlignment="1">
      <alignment horizontal="center"/>
    </xf>
    <xf numFmtId="43" fontId="10" fillId="0" borderId="0" xfId="0" applyNumberFormat="1" applyFont="1"/>
    <xf numFmtId="41" fontId="10" fillId="0" borderId="0" xfId="0" applyNumberFormat="1" applyFont="1"/>
    <xf numFmtId="170" fontId="10" fillId="0" borderId="0" xfId="0" applyNumberFormat="1" applyFont="1"/>
    <xf numFmtId="171" fontId="1" fillId="0" borderId="0" xfId="0" applyNumberFormat="1" applyFont="1"/>
    <xf numFmtId="171" fontId="10" fillId="0" borderId="0" xfId="0" applyNumberFormat="1" applyFont="1"/>
    <xf numFmtId="171" fontId="4" fillId="3" borderId="1" xfId="0" applyNumberFormat="1" applyFont="1" applyFill="1" applyBorder="1" applyAlignment="1">
      <alignment horizontal="center"/>
    </xf>
    <xf numFmtId="171" fontId="10" fillId="3" borderId="1" xfId="0" applyNumberFormat="1" applyFont="1" applyFill="1" applyBorder="1" applyAlignment="1">
      <alignment horizontal="center"/>
    </xf>
    <xf numFmtId="169" fontId="10" fillId="0" borderId="0" xfId="0" applyNumberFormat="1" applyFont="1"/>
    <xf numFmtId="169" fontId="10" fillId="3" borderId="1" xfId="0" applyNumberFormat="1" applyFont="1" applyFill="1" applyBorder="1" applyAlignment="1">
      <alignment horizontal="center"/>
    </xf>
    <xf numFmtId="172" fontId="1" fillId="0" borderId="0" xfId="0" applyNumberFormat="1" applyFont="1"/>
    <xf numFmtId="172" fontId="10" fillId="3" borderId="1" xfId="0" applyNumberFormat="1" applyFont="1" applyFill="1" applyBorder="1" applyAlignment="1">
      <alignment horizontal="center"/>
    </xf>
    <xf numFmtId="167" fontId="10" fillId="3" borderId="1" xfId="0" applyNumberFormat="1" applyFont="1" applyFill="1" applyBorder="1" applyAlignment="1">
      <alignment horizontal="center"/>
    </xf>
    <xf numFmtId="10" fontId="11" fillId="0" borderId="0" xfId="0" applyNumberFormat="1" applyFont="1"/>
    <xf numFmtId="170" fontId="1" fillId="0" borderId="0" xfId="0" applyNumberFormat="1" applyFont="1"/>
    <xf numFmtId="170" fontId="2" fillId="0" borderId="0" xfId="0" applyNumberFormat="1" applyFont="1"/>
    <xf numFmtId="0" fontId="11" fillId="0" borderId="0" xfId="0" applyFont="1" applyAlignment="1">
      <alignment horizontal="left" indent="2"/>
    </xf>
    <xf numFmtId="0" fontId="11" fillId="0" borderId="0" xfId="0" applyFont="1" applyAlignment="1">
      <alignment horizontal="left" indent="1"/>
    </xf>
    <xf numFmtId="172" fontId="10" fillId="0" borderId="0" xfId="0" applyNumberFormat="1" applyFont="1"/>
    <xf numFmtId="1" fontId="10" fillId="0" borderId="0" xfId="0" applyNumberFormat="1" applyFont="1"/>
    <xf numFmtId="39" fontId="10" fillId="3" borderId="1" xfId="0" applyNumberFormat="1" applyFont="1" applyFill="1" applyBorder="1" applyAlignment="1">
      <alignment horizontal="center"/>
    </xf>
    <xf numFmtId="179" fontId="1" fillId="0" borderId="0" xfId="0" applyNumberFormat="1" applyFont="1"/>
    <xf numFmtId="0" fontId="4" fillId="3" borderId="1" xfId="0" applyFont="1" applyFill="1" applyBorder="1" applyAlignment="1"/>
    <xf numFmtId="180" fontId="4" fillId="3" borderId="1" xfId="0" applyNumberFormat="1" applyFont="1" applyFill="1" applyBorder="1" applyAlignment="1">
      <alignment horizontal="center"/>
    </xf>
    <xf numFmtId="14" fontId="4" fillId="3" borderId="1" xfId="0" applyNumberFormat="1" applyFont="1" applyFill="1" applyBorder="1" applyAlignment="1">
      <alignment horizontal="center"/>
    </xf>
    <xf numFmtId="2" fontId="1" fillId="0" borderId="0" xfId="0" applyNumberFormat="1" applyFont="1"/>
    <xf numFmtId="179" fontId="4" fillId="3" borderId="1" xfId="0" applyNumberFormat="1" applyFont="1" applyFill="1" applyBorder="1" applyAlignment="1">
      <alignment horizontal="center"/>
    </xf>
    <xf numFmtId="0" fontId="1" fillId="5" borderId="0" xfId="0" applyFont="1" applyFill="1"/>
    <xf numFmtId="0" fontId="3" fillId="5" borderId="0" xfId="0" applyFont="1" applyFill="1" applyAlignment="1">
      <alignment horizontal="centerContinuous"/>
    </xf>
    <xf numFmtId="180" fontId="2" fillId="7" borderId="0" xfId="0" applyNumberFormat="1" applyFont="1" applyFill="1" applyAlignment="1">
      <alignment horizontal="center"/>
    </xf>
    <xf numFmtId="10" fontId="2" fillId="7" borderId="0" xfId="0" applyNumberFormat="1" applyFont="1" applyFill="1" applyAlignment="1">
      <alignment horizontal="center"/>
    </xf>
    <xf numFmtId="0" fontId="3" fillId="5" borderId="0" xfId="0" applyFont="1" applyFill="1" applyAlignment="1">
      <alignment horizontal="center"/>
    </xf>
    <xf numFmtId="43" fontId="12" fillId="7" borderId="0" xfId="0" applyNumberFormat="1" applyFont="1" applyFill="1"/>
    <xf numFmtId="184" fontId="2" fillId="7" borderId="0" xfId="0" applyNumberFormat="1" applyFont="1" applyFill="1" applyAlignment="1">
      <alignment horizontal="center"/>
    </xf>
    <xf numFmtId="184" fontId="1" fillId="7" borderId="0" xfId="0" applyNumberFormat="1" applyFont="1" applyFill="1" applyAlignment="1">
      <alignment horizontal="center"/>
    </xf>
    <xf numFmtId="0" fontId="2" fillId="6" borderId="8" xfId="0" applyFont="1" applyFill="1" applyBorder="1" applyAlignment="1">
      <alignment horizontal="center"/>
    </xf>
    <xf numFmtId="0" fontId="1" fillId="6" borderId="9" xfId="0" applyFont="1" applyFill="1" applyBorder="1"/>
    <xf numFmtId="0" fontId="1" fillId="6" borderId="10" xfId="0" applyFont="1" applyFill="1" applyBorder="1"/>
    <xf numFmtId="0" fontId="2" fillId="6" borderId="11" xfId="0" applyFont="1" applyFill="1" applyBorder="1"/>
    <xf numFmtId="0" fontId="1" fillId="6" borderId="12" xfId="0" applyFont="1" applyFill="1" applyBorder="1"/>
    <xf numFmtId="44" fontId="2" fillId="6" borderId="13" xfId="0" applyNumberFormat="1" applyFont="1" applyFill="1" applyBorder="1"/>
    <xf numFmtId="0" fontId="1" fillId="8" borderId="8" xfId="0" applyFont="1" applyFill="1" applyBorder="1"/>
    <xf numFmtId="0" fontId="1" fillId="8" borderId="9" xfId="0" applyFont="1" applyFill="1" applyBorder="1"/>
    <xf numFmtId="0" fontId="1" fillId="8" borderId="11" xfId="0" applyFont="1" applyFill="1" applyBorder="1"/>
    <xf numFmtId="0" fontId="1" fillId="8" borderId="12" xfId="0" applyFont="1" applyFill="1" applyBorder="1"/>
    <xf numFmtId="10" fontId="1" fillId="8" borderId="13" xfId="0" applyNumberFormat="1" applyFont="1" applyFill="1" applyBorder="1"/>
    <xf numFmtId="44" fontId="2" fillId="8" borderId="10" xfId="0" applyNumberFormat="1" applyFont="1" applyFill="1" applyBorder="1"/>
    <xf numFmtId="170" fontId="1" fillId="0" borderId="2" xfId="0" applyNumberFormat="1" applyFont="1" applyBorder="1"/>
  </cellXfs>
  <cellStyles count="1">
    <cellStyle name="Normal" xfId="0" builtinId="0"/>
  </cellStyles>
  <dxfs count="29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-0.24994659260841701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-0.24994659260841701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-0.24994659260841701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-0.24994659260841701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9" tint="-0.24994659260841701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0000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1"/>
  <sheetViews>
    <sheetView showGridLines="0" tabSelected="1" topLeftCell="D133" zoomScaleNormal="100" workbookViewId="0">
      <selection activeCell="E133" sqref="E133"/>
    </sheetView>
  </sheetViews>
  <sheetFormatPr defaultColWidth="13.77734375" defaultRowHeight="15.6" outlineLevelRow="1" outlineLevelCol="1" x14ac:dyDescent="0.3"/>
  <cols>
    <col min="1" max="2" width="1.77734375" style="1" customWidth="1"/>
    <col min="3" max="3" width="49.88671875" style="1" bestFit="1" customWidth="1"/>
    <col min="4" max="4" width="17.6640625" style="1" bestFit="1" customWidth="1"/>
    <col min="5" max="5" width="17.6640625" style="1" customWidth="1" outlineLevel="1"/>
    <col min="6" max="9" width="13.77734375" style="1" customWidth="1" outlineLevel="1"/>
    <col min="10" max="12" width="14.6640625" style="1" bestFit="1" customWidth="1"/>
    <col min="13" max="13" width="13.77734375" style="1"/>
    <col min="14" max="14" width="14.6640625" style="1" bestFit="1" customWidth="1"/>
    <col min="15" max="16384" width="13.77734375" style="1"/>
  </cols>
  <sheetData>
    <row r="1" spans="1:19" x14ac:dyDescent="0.3">
      <c r="A1" s="2" t="s">
        <v>0</v>
      </c>
    </row>
    <row r="3" spans="1:19" x14ac:dyDescent="0.3">
      <c r="B3" s="4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outlineLevel="1" x14ac:dyDescent="0.3">
      <c r="C4" s="1" t="s">
        <v>2</v>
      </c>
      <c r="D4" s="77" t="s">
        <v>3</v>
      </c>
      <c r="F4" s="9" t="s">
        <v>99</v>
      </c>
      <c r="G4" s="8"/>
      <c r="H4" s="8"/>
      <c r="I4" s="8"/>
      <c r="K4" s="9" t="s">
        <v>117</v>
      </c>
      <c r="L4" s="8"/>
      <c r="M4" s="8"/>
      <c r="N4" s="8"/>
    </row>
    <row r="5" spans="1:19" outlineLevel="1" x14ac:dyDescent="0.3">
      <c r="C5" s="1" t="s">
        <v>4</v>
      </c>
      <c r="D5" s="5" t="s">
        <v>5</v>
      </c>
      <c r="F5" s="1" t="s">
        <v>100</v>
      </c>
      <c r="I5" s="78">
        <v>6.6</v>
      </c>
      <c r="K5" s="1" t="s">
        <v>118</v>
      </c>
      <c r="N5" s="81">
        <v>0.02</v>
      </c>
    </row>
    <row r="6" spans="1:19" outlineLevel="1" x14ac:dyDescent="0.3">
      <c r="C6" s="1" t="s">
        <v>6</v>
      </c>
      <c r="D6" s="6">
        <v>31.64</v>
      </c>
    </row>
    <row r="7" spans="1:19" outlineLevel="1" x14ac:dyDescent="0.3">
      <c r="C7" s="1" t="s">
        <v>7</v>
      </c>
      <c r="D7" s="7">
        <v>639</v>
      </c>
      <c r="F7" s="1" t="s">
        <v>101</v>
      </c>
      <c r="I7" s="27">
        <f>I5*S140</f>
        <v>42267.966287533796</v>
      </c>
      <c r="K7" s="1" t="s">
        <v>101</v>
      </c>
      <c r="N7" s="27">
        <f>S138*(1+N5)/(Southwest_WACC-N5)</f>
        <v>32860.60260085608</v>
      </c>
    </row>
    <row r="8" spans="1:19" outlineLevel="1" x14ac:dyDescent="0.3">
      <c r="C8" s="1" t="s">
        <v>22</v>
      </c>
      <c r="D8" s="7" t="s">
        <v>65</v>
      </c>
    </row>
    <row r="9" spans="1:19" outlineLevel="1" x14ac:dyDescent="0.3">
      <c r="C9" s="1" t="s">
        <v>34</v>
      </c>
      <c r="D9" s="23">
        <v>0.23</v>
      </c>
      <c r="F9" s="1" t="s">
        <v>108</v>
      </c>
      <c r="I9" s="27">
        <f>I144</f>
        <v>15306.870855845793</v>
      </c>
      <c r="K9" s="1" t="s">
        <v>108</v>
      </c>
      <c r="N9" s="27">
        <f>I144</f>
        <v>15306.870855845793</v>
      </c>
    </row>
    <row r="10" spans="1:19" outlineLevel="1" x14ac:dyDescent="0.3">
      <c r="C10" s="1" t="s">
        <v>102</v>
      </c>
      <c r="D10" s="79">
        <f>DATE(2023,8,21)</f>
        <v>45159</v>
      </c>
      <c r="F10" s="1" t="s">
        <v>107</v>
      </c>
      <c r="I10" s="27">
        <f>I7*S143</f>
        <v>15397.592828732249</v>
      </c>
      <c r="K10" s="1" t="s">
        <v>107</v>
      </c>
      <c r="N10" s="27">
        <f>N7*S143</f>
        <v>11970.629850341065</v>
      </c>
    </row>
    <row r="11" spans="1:19" outlineLevel="1" x14ac:dyDescent="0.3"/>
    <row r="12" spans="1:19" outlineLevel="1" x14ac:dyDescent="0.3">
      <c r="C12" s="9" t="s">
        <v>8</v>
      </c>
      <c r="D12" s="11">
        <f>D6*D7</f>
        <v>20217.96</v>
      </c>
      <c r="F12" s="9" t="s">
        <v>113</v>
      </c>
      <c r="G12" s="11"/>
      <c r="H12" s="11"/>
      <c r="I12" s="11">
        <f>I10+I9</f>
        <v>30704.463684578041</v>
      </c>
      <c r="K12" s="9" t="s">
        <v>113</v>
      </c>
      <c r="L12" s="11"/>
      <c r="M12" s="11"/>
      <c r="N12" s="11">
        <f>N10+N9</f>
        <v>27277.50070618686</v>
      </c>
    </row>
    <row r="13" spans="1:19" outlineLevel="1" x14ac:dyDescent="0.3">
      <c r="C13" s="16" t="s">
        <v>9</v>
      </c>
      <c r="D13" s="12">
        <v>-9158</v>
      </c>
      <c r="F13" s="16" t="s">
        <v>110</v>
      </c>
      <c r="I13" s="10">
        <f>-D13</f>
        <v>9158</v>
      </c>
      <c r="K13" s="16" t="s">
        <v>110</v>
      </c>
      <c r="N13" s="10">
        <f>I13</f>
        <v>9158</v>
      </c>
    </row>
    <row r="14" spans="1:19" outlineLevel="1" x14ac:dyDescent="0.3">
      <c r="C14" s="16" t="s">
        <v>10</v>
      </c>
      <c r="D14" s="12">
        <v>-3021</v>
      </c>
      <c r="F14" s="16" t="s">
        <v>111</v>
      </c>
      <c r="I14" s="10">
        <f>-D14</f>
        <v>3021</v>
      </c>
      <c r="K14" s="16" t="s">
        <v>111</v>
      </c>
      <c r="N14" s="10">
        <f>I14</f>
        <v>3021</v>
      </c>
    </row>
    <row r="15" spans="1:19" outlineLevel="1" x14ac:dyDescent="0.3">
      <c r="C15" s="16" t="s">
        <v>11</v>
      </c>
      <c r="D15" s="12">
        <f>31+7994</f>
        <v>8025</v>
      </c>
      <c r="F15" s="16" t="s">
        <v>112</v>
      </c>
      <c r="I15" s="10">
        <f>-D15</f>
        <v>-8025</v>
      </c>
      <c r="K15" s="16" t="s">
        <v>112</v>
      </c>
      <c r="N15" s="10">
        <f>I15</f>
        <v>-8025</v>
      </c>
    </row>
    <row r="16" spans="1:19" outlineLevel="1" x14ac:dyDescent="0.3">
      <c r="C16" s="16" t="s">
        <v>12</v>
      </c>
      <c r="D16" s="12">
        <f>-310</f>
        <v>-310</v>
      </c>
      <c r="F16" s="17" t="s">
        <v>114</v>
      </c>
      <c r="G16" s="13"/>
      <c r="H16" s="13"/>
      <c r="I16" s="24">
        <f>-D16</f>
        <v>310</v>
      </c>
      <c r="K16" s="17" t="s">
        <v>114</v>
      </c>
      <c r="L16" s="13"/>
      <c r="M16" s="13"/>
      <c r="N16" s="24">
        <f>I16</f>
        <v>310</v>
      </c>
    </row>
    <row r="17" spans="3:14" outlineLevel="1" x14ac:dyDescent="0.3">
      <c r="C17" s="16" t="s">
        <v>13</v>
      </c>
      <c r="D17" s="12">
        <v>0</v>
      </c>
      <c r="F17" s="9" t="s">
        <v>109</v>
      </c>
      <c r="G17" s="9"/>
      <c r="H17" s="9"/>
      <c r="I17" s="11">
        <f>SUM(I12:I16)</f>
        <v>35168.463684578041</v>
      </c>
      <c r="K17" s="9" t="s">
        <v>109</v>
      </c>
      <c r="L17" s="9"/>
      <c r="M17" s="9"/>
      <c r="N17" s="11">
        <f>SUM(N12:N16)</f>
        <v>31741.50070618686</v>
      </c>
    </row>
    <row r="18" spans="3:14" ht="16.2" outlineLevel="1" thickBot="1" x14ac:dyDescent="0.35">
      <c r="C18" s="16" t="s">
        <v>15</v>
      </c>
      <c r="D18" s="15">
        <v>0</v>
      </c>
    </row>
    <row r="19" spans="3:14" outlineLevel="1" x14ac:dyDescent="0.3">
      <c r="C19" s="17" t="s">
        <v>14</v>
      </c>
      <c r="D19" s="14">
        <v>0</v>
      </c>
      <c r="F19" s="96" t="s">
        <v>115</v>
      </c>
      <c r="G19" s="97"/>
      <c r="H19" s="97"/>
      <c r="I19" s="101">
        <f>I17/D7</f>
        <v>55.036719381186295</v>
      </c>
      <c r="K19" s="96" t="s">
        <v>115</v>
      </c>
      <c r="L19" s="97"/>
      <c r="M19" s="97"/>
      <c r="N19" s="101">
        <f>N17/D7</f>
        <v>49.673710025331552</v>
      </c>
    </row>
    <row r="20" spans="3:14" ht="16.2" outlineLevel="1" thickBot="1" x14ac:dyDescent="0.35">
      <c r="C20" s="9" t="s">
        <v>16</v>
      </c>
      <c r="D20" s="11">
        <f>SUM(D12:D19)</f>
        <v>15753.96</v>
      </c>
      <c r="F20" s="98" t="s">
        <v>116</v>
      </c>
      <c r="G20" s="99"/>
      <c r="H20" s="99"/>
      <c r="I20" s="100">
        <f>I19/Current_Price-1</f>
        <v>0.73946647854571101</v>
      </c>
      <c r="K20" s="98" t="s">
        <v>116</v>
      </c>
      <c r="L20" s="99"/>
      <c r="M20" s="99"/>
      <c r="N20" s="100">
        <f>N19/Current_Price-1</f>
        <v>0.56996555073740685</v>
      </c>
    </row>
    <row r="21" spans="3:14" ht="16.2" outlineLevel="1" thickBot="1" x14ac:dyDescent="0.35"/>
    <row r="22" spans="3:14" outlineLevel="1" x14ac:dyDescent="0.3">
      <c r="C22" s="1" t="s">
        <v>54</v>
      </c>
      <c r="D22" s="36">
        <v>143</v>
      </c>
      <c r="F22" s="90" t="s">
        <v>119</v>
      </c>
      <c r="G22" s="91"/>
      <c r="H22" s="91"/>
      <c r="I22" s="92"/>
    </row>
    <row r="23" spans="3:14" ht="16.2" outlineLevel="1" thickBot="1" x14ac:dyDescent="0.35">
      <c r="C23" s="1" t="s">
        <v>55</v>
      </c>
      <c r="D23" s="36">
        <v>175</v>
      </c>
      <c r="F23" s="93" t="s">
        <v>115</v>
      </c>
      <c r="G23" s="94"/>
      <c r="H23" s="94"/>
      <c r="I23" s="95">
        <f>AVERAGE(I19,N19)</f>
        <v>52.355214703258923</v>
      </c>
    </row>
    <row r="24" spans="3:14" outlineLevel="1" x14ac:dyDescent="0.3">
      <c r="C24" s="1" t="s">
        <v>88</v>
      </c>
      <c r="D24" s="66">
        <f>AVERAGE(E80:I80)</f>
        <v>2.7944354199775777E-2</v>
      </c>
    </row>
    <row r="25" spans="3:14" outlineLevel="1" x14ac:dyDescent="0.3">
      <c r="C25" s="1" t="s">
        <v>89</v>
      </c>
      <c r="D25" s="66">
        <v>0.153</v>
      </c>
    </row>
    <row r="26" spans="3:14" outlineLevel="1" x14ac:dyDescent="0.3"/>
    <row r="27" spans="3:14" outlineLevel="1" x14ac:dyDescent="0.3">
      <c r="C27" s="1" t="s">
        <v>90</v>
      </c>
      <c r="D27" s="75">
        <v>1.7</v>
      </c>
    </row>
    <row r="28" spans="3:14" outlineLevel="1" x14ac:dyDescent="0.3">
      <c r="C28" s="1" t="s">
        <v>91</v>
      </c>
      <c r="D28" s="53">
        <v>0.06</v>
      </c>
    </row>
    <row r="29" spans="3:14" outlineLevel="1" x14ac:dyDescent="0.3">
      <c r="C29" s="1" t="s">
        <v>92</v>
      </c>
      <c r="D29" s="53">
        <v>4.2000000000000003E-2</v>
      </c>
    </row>
    <row r="30" spans="3:14" outlineLevel="1" x14ac:dyDescent="0.3">
      <c r="C30" s="1" t="s">
        <v>93</v>
      </c>
      <c r="D30" s="76">
        <f>D29+D27*D28</f>
        <v>0.14399999999999999</v>
      </c>
    </row>
    <row r="31" spans="3:14" outlineLevel="1" x14ac:dyDescent="0.3">
      <c r="D31" s="76"/>
    </row>
    <row r="32" spans="3:14" outlineLevel="1" x14ac:dyDescent="0.3">
      <c r="C32" s="1" t="s">
        <v>95</v>
      </c>
      <c r="D32" s="53" t="s">
        <v>96</v>
      </c>
    </row>
    <row r="33" spans="2:19" outlineLevel="1" x14ac:dyDescent="0.3">
      <c r="C33" s="1" t="s">
        <v>97</v>
      </c>
      <c r="D33" s="53">
        <v>0.02</v>
      </c>
    </row>
    <row r="34" spans="2:19" outlineLevel="1" x14ac:dyDescent="0.3">
      <c r="C34" s="1" t="s">
        <v>94</v>
      </c>
      <c r="D34" s="43">
        <f>D33+D29</f>
        <v>6.2E-2</v>
      </c>
    </row>
    <row r="35" spans="2:19" outlineLevel="1" x14ac:dyDescent="0.3">
      <c r="E35" s="43"/>
    </row>
    <row r="36" spans="2:19" outlineLevel="1" x14ac:dyDescent="0.3">
      <c r="C36" s="1" t="s">
        <v>98</v>
      </c>
      <c r="D36" s="43">
        <f>D30*D12/(D12+D15)+D34*D15/(D15+D12)</f>
        <v>0.12070038834456445</v>
      </c>
    </row>
    <row r="38" spans="2:19" x14ac:dyDescent="0.3">
      <c r="B38" s="3"/>
      <c r="C38" s="3"/>
      <c r="D38" s="3"/>
      <c r="E38" s="21" t="s">
        <v>19</v>
      </c>
      <c r="F38" s="21"/>
      <c r="G38" s="21"/>
      <c r="H38" s="21"/>
      <c r="I38" s="22"/>
      <c r="J38" s="21" t="s">
        <v>20</v>
      </c>
      <c r="K38" s="21"/>
      <c r="L38" s="21"/>
      <c r="M38" s="21"/>
      <c r="N38" s="21"/>
      <c r="O38" s="21"/>
      <c r="P38" s="21"/>
      <c r="Q38" s="21"/>
      <c r="R38" s="21"/>
      <c r="S38" s="21"/>
    </row>
    <row r="39" spans="2:19" x14ac:dyDescent="0.3">
      <c r="B39" s="4" t="s">
        <v>21</v>
      </c>
      <c r="C39" s="3"/>
      <c r="D39" s="18" t="s">
        <v>18</v>
      </c>
      <c r="E39" s="19">
        <f>EOMONTH(F39,-12)</f>
        <v>43465</v>
      </c>
      <c r="F39" s="19">
        <f>DATE(2019,12,31)</f>
        <v>43830</v>
      </c>
      <c r="G39" s="19">
        <f>EDATE(F39,12)</f>
        <v>44196</v>
      </c>
      <c r="H39" s="19">
        <f t="shared" ref="H39:S39" si="0">EDATE(G39,12)</f>
        <v>44561</v>
      </c>
      <c r="I39" s="20">
        <f t="shared" si="0"/>
        <v>44926</v>
      </c>
      <c r="J39" s="19">
        <f>EDATE(I39,12)</f>
        <v>45291</v>
      </c>
      <c r="K39" s="19">
        <f t="shared" si="0"/>
        <v>45657</v>
      </c>
      <c r="L39" s="19">
        <f t="shared" si="0"/>
        <v>46022</v>
      </c>
      <c r="M39" s="19">
        <f t="shared" si="0"/>
        <v>46387</v>
      </c>
      <c r="N39" s="19">
        <f t="shared" si="0"/>
        <v>46752</v>
      </c>
      <c r="O39" s="19">
        <f t="shared" si="0"/>
        <v>47118</v>
      </c>
      <c r="P39" s="19">
        <f t="shared" si="0"/>
        <v>47483</v>
      </c>
      <c r="Q39" s="19">
        <f t="shared" si="0"/>
        <v>47848</v>
      </c>
      <c r="R39" s="19">
        <f t="shared" si="0"/>
        <v>48213</v>
      </c>
      <c r="S39" s="19">
        <f t="shared" si="0"/>
        <v>48579</v>
      </c>
    </row>
    <row r="40" spans="2:19" outlineLevel="1" x14ac:dyDescent="0.3">
      <c r="C40" s="16" t="s">
        <v>51</v>
      </c>
      <c r="E40" s="38">
        <v>512</v>
      </c>
      <c r="F40" s="38">
        <v>506</v>
      </c>
      <c r="G40" s="38">
        <v>470</v>
      </c>
      <c r="H40" s="38">
        <v>452</v>
      </c>
      <c r="I40" s="38">
        <v>426</v>
      </c>
      <c r="J40" s="47">
        <f>I40+J49</f>
        <v>346</v>
      </c>
      <c r="K40" s="47">
        <f t="shared" ref="K40:S40" si="1">J40+K49</f>
        <v>266</v>
      </c>
      <c r="L40" s="47">
        <f t="shared" si="1"/>
        <v>186</v>
      </c>
      <c r="M40" s="47">
        <f t="shared" si="1"/>
        <v>106</v>
      </c>
      <c r="N40" s="47">
        <f t="shared" si="1"/>
        <v>66</v>
      </c>
      <c r="O40" s="47">
        <f t="shared" si="1"/>
        <v>46</v>
      </c>
      <c r="P40" s="47">
        <f t="shared" si="1"/>
        <v>31</v>
      </c>
      <c r="Q40" s="47">
        <f t="shared" si="1"/>
        <v>21</v>
      </c>
      <c r="R40" s="47">
        <f t="shared" si="1"/>
        <v>11</v>
      </c>
      <c r="S40" s="47">
        <f t="shared" si="1"/>
        <v>6</v>
      </c>
    </row>
    <row r="41" spans="2:19" outlineLevel="1" x14ac:dyDescent="0.3">
      <c r="C41" s="16" t="s">
        <v>52</v>
      </c>
      <c r="E41" s="38">
        <v>207</v>
      </c>
      <c r="F41" s="38">
        <v>207</v>
      </c>
      <c r="G41" s="38">
        <v>207</v>
      </c>
      <c r="H41" s="38">
        <v>207</v>
      </c>
      <c r="I41" s="38">
        <v>207</v>
      </c>
      <c r="J41" s="36">
        <f>I41</f>
        <v>207</v>
      </c>
      <c r="K41" s="36">
        <f t="shared" ref="K41" si="2">J41</f>
        <v>207</v>
      </c>
      <c r="L41" s="36">
        <v>206</v>
      </c>
      <c r="M41" s="36">
        <v>206</v>
      </c>
      <c r="N41" s="36">
        <v>204</v>
      </c>
      <c r="O41" s="36">
        <v>204</v>
      </c>
      <c r="P41" s="36">
        <v>200</v>
      </c>
      <c r="Q41" s="36">
        <v>195</v>
      </c>
      <c r="R41" s="36">
        <v>190</v>
      </c>
      <c r="S41" s="36">
        <v>187</v>
      </c>
    </row>
    <row r="42" spans="2:19" outlineLevel="1" x14ac:dyDescent="0.3">
      <c r="C42" s="16" t="s">
        <v>50</v>
      </c>
      <c r="E42" s="38">
        <v>0</v>
      </c>
      <c r="F42" s="38">
        <v>0</v>
      </c>
      <c r="G42" s="38">
        <v>0</v>
      </c>
      <c r="H42" s="38">
        <v>0</v>
      </c>
      <c r="I42" s="38">
        <v>0</v>
      </c>
      <c r="J42" s="47">
        <f>I42+J47</f>
        <v>31</v>
      </c>
      <c r="K42" s="47">
        <f t="shared" ref="K42:S42" si="3">J42+K47</f>
        <v>72</v>
      </c>
      <c r="L42" s="47">
        <f t="shared" si="3"/>
        <v>102</v>
      </c>
      <c r="M42" s="47">
        <f t="shared" si="3"/>
        <v>132</v>
      </c>
      <c r="N42" s="47">
        <f t="shared" si="3"/>
        <v>147</v>
      </c>
      <c r="O42" s="47">
        <f t="shared" si="3"/>
        <v>162</v>
      </c>
      <c r="P42" s="47">
        <f t="shared" si="3"/>
        <v>182</v>
      </c>
      <c r="Q42" s="47">
        <f t="shared" si="3"/>
        <v>182</v>
      </c>
      <c r="R42" s="47">
        <f t="shared" si="3"/>
        <v>193.66666666666666</v>
      </c>
      <c r="S42" s="47">
        <f t="shared" si="3"/>
        <v>201.66666666666666</v>
      </c>
    </row>
    <row r="43" spans="2:19" outlineLevel="1" x14ac:dyDescent="0.3">
      <c r="C43" s="17" t="s">
        <v>53</v>
      </c>
      <c r="D43" s="13"/>
      <c r="E43" s="39">
        <v>31</v>
      </c>
      <c r="F43" s="39">
        <v>34</v>
      </c>
      <c r="G43" s="39">
        <v>41</v>
      </c>
      <c r="H43" s="39">
        <v>69</v>
      </c>
      <c r="I43" s="39">
        <v>137</v>
      </c>
      <c r="J43" s="48">
        <f>I43+J48</f>
        <v>242</v>
      </c>
      <c r="K43" s="48">
        <f t="shared" ref="K43:S43" si="4">J43+K48</f>
        <v>287</v>
      </c>
      <c r="L43" s="48">
        <f t="shared" si="4"/>
        <v>343</v>
      </c>
      <c r="M43" s="48">
        <f t="shared" si="4"/>
        <v>398</v>
      </c>
      <c r="N43" s="48">
        <f t="shared" si="4"/>
        <v>419</v>
      </c>
      <c r="O43" s="48">
        <f t="shared" si="4"/>
        <v>434</v>
      </c>
      <c r="P43" s="48">
        <f t="shared" si="4"/>
        <v>464</v>
      </c>
      <c r="Q43" s="48">
        <f t="shared" si="4"/>
        <v>519</v>
      </c>
      <c r="R43" s="48">
        <f t="shared" si="4"/>
        <v>549.25</v>
      </c>
      <c r="S43" s="48">
        <f t="shared" si="4"/>
        <v>559.25</v>
      </c>
    </row>
    <row r="44" spans="2:19" s="2" customFormat="1" outlineLevel="1" x14ac:dyDescent="0.3">
      <c r="C44" s="2" t="s">
        <v>49</v>
      </c>
      <c r="E44" s="2">
        <f t="shared" ref="E44:J44" si="5">SUM(E40:E43)</f>
        <v>750</v>
      </c>
      <c r="F44" s="2">
        <f>SUM(F40:F43)</f>
        <v>747</v>
      </c>
      <c r="G44" s="2">
        <f>SUM(G40:G43)</f>
        <v>718</v>
      </c>
      <c r="H44" s="2">
        <f>SUM(H40:H43)</f>
        <v>728</v>
      </c>
      <c r="I44" s="2">
        <f>SUM(I40:I43)</f>
        <v>770</v>
      </c>
      <c r="J44" s="49">
        <f t="shared" si="5"/>
        <v>826</v>
      </c>
      <c r="K44" s="49">
        <f t="shared" ref="K44:S44" si="6">SUM(K40:K43)</f>
        <v>832</v>
      </c>
      <c r="L44" s="49">
        <f t="shared" si="6"/>
        <v>837</v>
      </c>
      <c r="M44" s="49">
        <f t="shared" si="6"/>
        <v>842</v>
      </c>
      <c r="N44" s="49">
        <f t="shared" si="6"/>
        <v>836</v>
      </c>
      <c r="O44" s="49">
        <f t="shared" si="6"/>
        <v>846</v>
      </c>
      <c r="P44" s="49">
        <f t="shared" si="6"/>
        <v>877</v>
      </c>
      <c r="Q44" s="49">
        <f t="shared" si="6"/>
        <v>917</v>
      </c>
      <c r="R44" s="49">
        <f t="shared" si="6"/>
        <v>943.91666666666663</v>
      </c>
      <c r="S44" s="49">
        <f t="shared" si="6"/>
        <v>953.91666666666663</v>
      </c>
    </row>
    <row r="45" spans="2:19" outlineLevel="1" x14ac:dyDescent="0.3"/>
    <row r="46" spans="2:19" s="2" customFormat="1" outlineLevel="1" x14ac:dyDescent="0.3">
      <c r="C46" s="2" t="s">
        <v>57</v>
      </c>
    </row>
    <row r="47" spans="2:19" outlineLevel="1" x14ac:dyDescent="0.3">
      <c r="C47" s="1" t="s">
        <v>50</v>
      </c>
      <c r="F47" s="1">
        <f>F42-E42</f>
        <v>0</v>
      </c>
      <c r="G47" s="1">
        <f t="shared" ref="G47:I47" si="7">G42-F42</f>
        <v>0</v>
      </c>
      <c r="H47" s="1">
        <f t="shared" si="7"/>
        <v>0</v>
      </c>
      <c r="I47" s="1">
        <f t="shared" si="7"/>
        <v>0</v>
      </c>
      <c r="J47" s="36">
        <v>31</v>
      </c>
      <c r="K47" s="36">
        <v>41</v>
      </c>
      <c r="L47" s="36">
        <v>30</v>
      </c>
      <c r="M47" s="36">
        <v>30</v>
      </c>
      <c r="N47" s="36">
        <v>15</v>
      </c>
      <c r="O47" s="36">
        <v>15</v>
      </c>
      <c r="P47" s="36">
        <v>20</v>
      </c>
      <c r="Q47" s="36">
        <v>0</v>
      </c>
      <c r="R47" s="54">
        <f>AVERAGE(O47:Q47)</f>
        <v>11.666666666666666</v>
      </c>
      <c r="S47" s="54">
        <v>8</v>
      </c>
    </row>
    <row r="48" spans="2:19" s="37" customFormat="1" outlineLevel="1" x14ac:dyDescent="0.3">
      <c r="C48" s="1" t="s">
        <v>53</v>
      </c>
      <c r="F48" s="1">
        <f>F43-E43</f>
        <v>3</v>
      </c>
      <c r="G48" s="1">
        <f t="shared" ref="G48:I48" si="8">G43-F43</f>
        <v>7</v>
      </c>
      <c r="H48" s="1">
        <f t="shared" si="8"/>
        <v>28</v>
      </c>
      <c r="I48" s="1">
        <f t="shared" si="8"/>
        <v>68</v>
      </c>
      <c r="J48" s="36">
        <v>105</v>
      </c>
      <c r="K48" s="36">
        <v>45</v>
      </c>
      <c r="L48" s="36">
        <v>56</v>
      </c>
      <c r="M48" s="36">
        <v>55</v>
      </c>
      <c r="N48" s="36">
        <v>21</v>
      </c>
      <c r="O48" s="36">
        <v>15</v>
      </c>
      <c r="P48" s="36">
        <v>30</v>
      </c>
      <c r="Q48" s="36">
        <v>55</v>
      </c>
      <c r="R48" s="54">
        <f>AVERAGE(N48:Q48)</f>
        <v>30.25</v>
      </c>
      <c r="S48" s="54">
        <v>10</v>
      </c>
    </row>
    <row r="49" spans="3:20" outlineLevel="1" x14ac:dyDescent="0.3">
      <c r="C49" s="1" t="s">
        <v>56</v>
      </c>
      <c r="F49" s="50">
        <f>F40-E40</f>
        <v>-6</v>
      </c>
      <c r="G49" s="50">
        <f>G40-F40</f>
        <v>-36</v>
      </c>
      <c r="H49" s="50">
        <f>H40-G40</f>
        <v>-18</v>
      </c>
      <c r="I49" s="50">
        <f>I40-H40</f>
        <v>-26</v>
      </c>
      <c r="J49" s="51">
        <v>-80</v>
      </c>
      <c r="K49" s="51">
        <v>-80</v>
      </c>
      <c r="L49" s="51">
        <v>-80</v>
      </c>
      <c r="M49" s="51">
        <v>-80</v>
      </c>
      <c r="N49" s="51">
        <v>-40</v>
      </c>
      <c r="O49" s="51">
        <v>-20</v>
      </c>
      <c r="P49" s="51">
        <v>-15</v>
      </c>
      <c r="Q49" s="51">
        <v>-10</v>
      </c>
      <c r="R49" s="51">
        <v>-10</v>
      </c>
      <c r="S49" s="51">
        <v>-5</v>
      </c>
    </row>
    <row r="50" spans="3:20" outlineLevel="1" x14ac:dyDescent="0.3"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</row>
    <row r="51" spans="3:20" outlineLevel="1" x14ac:dyDescent="0.3">
      <c r="C51" s="1" t="s">
        <v>69</v>
      </c>
      <c r="E51" s="45">
        <f>E105/E44</f>
        <v>0.23333333333333334</v>
      </c>
      <c r="F51" s="45">
        <f>F105/F44</f>
        <v>0.23025435073627845</v>
      </c>
      <c r="G51" s="45">
        <f>G105/G44</f>
        <v>0.22423398328690808</v>
      </c>
      <c r="H51" s="45">
        <f>H105/H44</f>
        <v>0.25686813186813184</v>
      </c>
      <c r="I51" s="45">
        <f>I105/I44</f>
        <v>0.22987012987012986</v>
      </c>
      <c r="J51" s="55">
        <f>AVERAGE(E51:I51)</f>
        <v>0.23491198581895628</v>
      </c>
      <c r="K51" s="55">
        <f>J51</f>
        <v>0.23491198581895628</v>
      </c>
      <c r="L51" s="55">
        <f t="shared" ref="L51:S51" si="9">K51</f>
        <v>0.23491198581895628</v>
      </c>
      <c r="M51" s="55">
        <f t="shared" si="9"/>
        <v>0.23491198581895628</v>
      </c>
      <c r="N51" s="55">
        <f t="shared" si="9"/>
        <v>0.23491198581895628</v>
      </c>
      <c r="O51" s="55">
        <f t="shared" si="9"/>
        <v>0.23491198581895628</v>
      </c>
      <c r="P51" s="55">
        <f t="shared" si="9"/>
        <v>0.23491198581895628</v>
      </c>
      <c r="Q51" s="55">
        <f t="shared" si="9"/>
        <v>0.23491198581895628</v>
      </c>
      <c r="R51" s="55">
        <f t="shared" si="9"/>
        <v>0.23491198581895628</v>
      </c>
      <c r="S51" s="55">
        <f t="shared" si="9"/>
        <v>0.23491198581895628</v>
      </c>
      <c r="T51" s="38"/>
    </row>
    <row r="52" spans="3:20" outlineLevel="1" x14ac:dyDescent="0.3"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</row>
    <row r="53" spans="3:20" outlineLevel="1" x14ac:dyDescent="0.3">
      <c r="C53" s="1" t="s">
        <v>70</v>
      </c>
      <c r="E53" s="43">
        <f>E106/E107</f>
        <v>6.0778511267926244E-2</v>
      </c>
      <c r="F53" s="43">
        <f t="shared" ref="F53:I53" si="10">F106/F107</f>
        <v>6.5988942393436778E-2</v>
      </c>
      <c r="G53" s="43">
        <f t="shared" si="10"/>
        <v>0.13505747126436782</v>
      </c>
      <c r="H53" s="43">
        <f t="shared" si="10"/>
        <v>9.7340088663711216E-2</v>
      </c>
      <c r="I53" s="43">
        <f t="shared" si="10"/>
        <v>9.3600403124212653E-2</v>
      </c>
      <c r="J53" s="53">
        <f>AVERAGE(E53:I53)</f>
        <v>9.0553083342730947E-2</v>
      </c>
      <c r="K53" s="53">
        <f>J53</f>
        <v>9.0553083342730947E-2</v>
      </c>
      <c r="L53" s="53">
        <f t="shared" ref="L53:S53" si="11">K53</f>
        <v>9.0553083342730947E-2</v>
      </c>
      <c r="M53" s="53">
        <f t="shared" si="11"/>
        <v>9.0553083342730947E-2</v>
      </c>
      <c r="N53" s="53">
        <f t="shared" si="11"/>
        <v>9.0553083342730947E-2</v>
      </c>
      <c r="O53" s="53">
        <f t="shared" si="11"/>
        <v>9.0553083342730947E-2</v>
      </c>
      <c r="P53" s="53">
        <f t="shared" si="11"/>
        <v>9.0553083342730947E-2</v>
      </c>
      <c r="Q53" s="53">
        <f t="shared" si="11"/>
        <v>9.0553083342730947E-2</v>
      </c>
      <c r="R53" s="53">
        <f t="shared" si="11"/>
        <v>9.0553083342730947E-2</v>
      </c>
      <c r="S53" s="53">
        <f t="shared" si="11"/>
        <v>9.0553083342730947E-2</v>
      </c>
      <c r="T53" s="38"/>
    </row>
    <row r="54" spans="3:20" outlineLevel="1" x14ac:dyDescent="0.3"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</row>
    <row r="55" spans="3:20" s="2" customFormat="1" outlineLevel="1" x14ac:dyDescent="0.3">
      <c r="C55" s="2" t="s">
        <v>58</v>
      </c>
      <c r="E55" s="41">
        <f>(E40+E42)*$D$22+$D$23*(E41+E43)</f>
        <v>114866</v>
      </c>
      <c r="F55" s="41">
        <f>(F40+F42)*$D$22+$D$23*(F41+F43)</f>
        <v>114533</v>
      </c>
      <c r="G55" s="41">
        <f>(G40+G42)*$D$22+$D$23*(G41+G43)</f>
        <v>110610</v>
      </c>
      <c r="H55" s="41">
        <f>(H40+H42)*$D$22+$D$23*(H41+H43)</f>
        <v>112936</v>
      </c>
      <c r="I55" s="41">
        <f>(I40+I42)*$D$22+$D$23*(I41+I43)</f>
        <v>121118</v>
      </c>
      <c r="J55" s="41">
        <f>(J40+J42)*$D$22+$D$23*(J41+J43)</f>
        <v>132486</v>
      </c>
      <c r="K55" s="41">
        <f>(K40+K42)*$D$22+$D$23*(K41+K43)</f>
        <v>134784</v>
      </c>
      <c r="L55" s="41">
        <f>(L40+L42)*$D$22+$D$23*(L41+L43)</f>
        <v>137259</v>
      </c>
      <c r="M55" s="41">
        <f>(M40+M42)*$D$22+$D$23*(M41+M43)</f>
        <v>139734</v>
      </c>
      <c r="N55" s="41">
        <f>(N40+N42)*$D$22+$D$23*(N41+N43)</f>
        <v>139484</v>
      </c>
      <c r="O55" s="41">
        <f>(O40+O42)*$D$22+$D$23*(O41+O43)</f>
        <v>141394</v>
      </c>
      <c r="P55" s="41">
        <f>(P40+P42)*$D$22+$D$23*(P41+P43)</f>
        <v>146659</v>
      </c>
      <c r="Q55" s="41">
        <f>(Q40+Q42)*$D$22+$D$23*(Q41+Q43)</f>
        <v>153979</v>
      </c>
      <c r="R55" s="41">
        <f>(R40+R42)*$D$22+$D$23*(R41+R43)</f>
        <v>158636.08333333334</v>
      </c>
      <c r="S55" s="41">
        <f>(S40+S42)*$D$22+$D$23*(S41+S43)</f>
        <v>160290.08333333334</v>
      </c>
      <c r="T55" s="40"/>
    </row>
    <row r="56" spans="3:20" s="2" customFormat="1" outlineLevel="1" x14ac:dyDescent="0.3">
      <c r="E56" s="41"/>
      <c r="F56" s="41"/>
      <c r="G56" s="41"/>
      <c r="H56" s="41"/>
      <c r="I56" s="41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</row>
    <row r="57" spans="3:20" s="2" customFormat="1" outlineLevel="1" x14ac:dyDescent="0.3">
      <c r="C57" s="1" t="s">
        <v>63</v>
      </c>
      <c r="E57" s="59">
        <f>E104/E62</f>
        <v>0.15342554117099955</v>
      </c>
      <c r="F57" s="59">
        <f>F104/F62</f>
        <v>0.15817884198104229</v>
      </c>
      <c r="G57" s="59">
        <f>G104/G62</f>
        <v>0.14136589144427436</v>
      </c>
      <c r="H57" s="59">
        <f>H104/H62</f>
        <v>0.13582201965972074</v>
      </c>
      <c r="I57" s="59">
        <f>I104/I62</f>
        <v>0.17286402945665075</v>
      </c>
      <c r="J57" s="60">
        <f>INDEX(J58:J60,MATCH($D$8,$C58:$C60,0))</f>
        <v>0.17</v>
      </c>
      <c r="K57" s="60">
        <f t="shared" ref="K57:S57" si="12">INDEX(K58:K60,MATCH($D$8,$C58:$C60,0))</f>
        <v>0.16500000000000001</v>
      </c>
      <c r="L57" s="60">
        <f t="shared" si="12"/>
        <v>0.16</v>
      </c>
      <c r="M57" s="60">
        <f t="shared" si="12"/>
        <v>0.16</v>
      </c>
      <c r="N57" s="60">
        <f t="shared" si="12"/>
        <v>0.16159999999999999</v>
      </c>
      <c r="O57" s="60">
        <f t="shared" si="12"/>
        <v>0.163216</v>
      </c>
      <c r="P57" s="60">
        <f t="shared" si="12"/>
        <v>0.16484815999999999</v>
      </c>
      <c r="Q57" s="60">
        <f t="shared" si="12"/>
        <v>0.16649664159999999</v>
      </c>
      <c r="R57" s="60">
        <f t="shared" si="12"/>
        <v>0.168161608016</v>
      </c>
      <c r="S57" s="60">
        <f t="shared" si="12"/>
        <v>0.16984322409616001</v>
      </c>
      <c r="T57" s="40"/>
    </row>
    <row r="58" spans="3:20" s="2" customFormat="1" outlineLevel="1" x14ac:dyDescent="0.3">
      <c r="C58" s="16" t="s">
        <v>64</v>
      </c>
      <c r="E58" s="59"/>
      <c r="F58" s="59"/>
      <c r="G58" s="59"/>
      <c r="H58" s="59"/>
      <c r="I58" s="59"/>
      <c r="J58" s="61">
        <v>0.17386402945665075</v>
      </c>
      <c r="K58" s="62">
        <v>0.17486402945665075</v>
      </c>
      <c r="L58" s="62">
        <v>0.17586402945665075</v>
      </c>
      <c r="M58" s="62">
        <v>0.17586402945665075</v>
      </c>
      <c r="N58" s="62">
        <v>0.17586402945665075</v>
      </c>
      <c r="O58" s="62">
        <v>0.17586402945665075</v>
      </c>
      <c r="P58" s="62">
        <v>0.17586402945665075</v>
      </c>
      <c r="Q58" s="62">
        <v>0.17586402945665075</v>
      </c>
      <c r="R58" s="62">
        <v>0.17586402945665075</v>
      </c>
      <c r="S58" s="62">
        <v>0.17586402945665075</v>
      </c>
      <c r="T58" s="40"/>
    </row>
    <row r="59" spans="3:20" s="2" customFormat="1" outlineLevel="1" x14ac:dyDescent="0.3">
      <c r="C59" s="16" t="s">
        <v>65</v>
      </c>
      <c r="E59" s="59"/>
      <c r="F59" s="59"/>
      <c r="G59" s="59"/>
      <c r="H59" s="59"/>
      <c r="I59" s="59"/>
      <c r="J59" s="62">
        <v>0.17</v>
      </c>
      <c r="K59" s="62">
        <v>0.16500000000000001</v>
      </c>
      <c r="L59" s="62">
        <v>0.16</v>
      </c>
      <c r="M59" s="62">
        <v>0.16</v>
      </c>
      <c r="N59" s="62">
        <f>M59*1.01</f>
        <v>0.16159999999999999</v>
      </c>
      <c r="O59" s="62">
        <f t="shared" ref="O59:S59" si="13">N59*1.01</f>
        <v>0.163216</v>
      </c>
      <c r="P59" s="62">
        <f t="shared" si="13"/>
        <v>0.16484815999999999</v>
      </c>
      <c r="Q59" s="62">
        <f t="shared" si="13"/>
        <v>0.16649664159999999</v>
      </c>
      <c r="R59" s="62">
        <f t="shared" si="13"/>
        <v>0.168161608016</v>
      </c>
      <c r="S59" s="62">
        <f t="shared" si="13"/>
        <v>0.16984322409616001</v>
      </c>
      <c r="T59" s="40"/>
    </row>
    <row r="60" spans="3:20" s="2" customFormat="1" outlineLevel="1" x14ac:dyDescent="0.3">
      <c r="C60" s="16" t="s">
        <v>66</v>
      </c>
      <c r="E60" s="59"/>
      <c r="F60" s="59"/>
      <c r="G60" s="59"/>
      <c r="H60" s="59"/>
      <c r="I60" s="59"/>
      <c r="J60" s="61">
        <v>0.17</v>
      </c>
      <c r="K60" s="61">
        <v>0.16500000000000001</v>
      </c>
      <c r="L60" s="61">
        <v>0.16</v>
      </c>
      <c r="M60" s="61">
        <v>0.155</v>
      </c>
      <c r="N60" s="61">
        <v>0.15</v>
      </c>
      <c r="O60" s="61">
        <v>0.14499999999999999</v>
      </c>
      <c r="P60" s="62">
        <f>O60</f>
        <v>0.14499999999999999</v>
      </c>
      <c r="Q60" s="62">
        <f t="shared" ref="Q60:S60" si="14">P60</f>
        <v>0.14499999999999999</v>
      </c>
      <c r="R60" s="62">
        <f t="shared" si="14"/>
        <v>0.14499999999999999</v>
      </c>
      <c r="S60" s="62">
        <f t="shared" si="14"/>
        <v>0.14499999999999999</v>
      </c>
      <c r="T60" s="40"/>
    </row>
    <row r="61" spans="3:20" s="2" customFormat="1" outlineLevel="1" x14ac:dyDescent="0.3">
      <c r="C61" s="1"/>
      <c r="E61" s="43"/>
      <c r="F61" s="43"/>
      <c r="G61" s="43"/>
      <c r="H61" s="43"/>
      <c r="I61" s="43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</row>
    <row r="62" spans="3:20" s="2" customFormat="1" outlineLevel="1" x14ac:dyDescent="0.3">
      <c r="C62" s="1" t="s">
        <v>60</v>
      </c>
      <c r="E62" s="42">
        <v>133322</v>
      </c>
      <c r="F62" s="42">
        <v>131345</v>
      </c>
      <c r="G62" s="42">
        <v>54221</v>
      </c>
      <c r="H62" s="42">
        <v>103562</v>
      </c>
      <c r="I62" s="42">
        <v>123843</v>
      </c>
      <c r="J62" s="58">
        <f>J64*J70</f>
        <v>143776.74380630054</v>
      </c>
      <c r="K62" s="58">
        <f t="shared" ref="K62:S62" si="15">K64*K70</f>
        <v>155505.00584627953</v>
      </c>
      <c r="L62" s="58">
        <f t="shared" si="15"/>
        <v>160652.13834680172</v>
      </c>
      <c r="M62" s="58">
        <f t="shared" si="15"/>
        <v>165881.91468915116</v>
      </c>
      <c r="N62" s="58">
        <f t="shared" si="15"/>
        <v>167913.91969194121</v>
      </c>
      <c r="O62" s="58">
        <f t="shared" si="15"/>
        <v>172573.8953026743</v>
      </c>
      <c r="P62" s="58">
        <f t="shared" si="15"/>
        <v>181448.49999908515</v>
      </c>
      <c r="Q62" s="58">
        <f t="shared" si="15"/>
        <v>193075.69421924502</v>
      </c>
      <c r="R62" s="58">
        <f t="shared" si="15"/>
        <v>201563.79866481095</v>
      </c>
      <c r="S62" s="58">
        <f t="shared" si="15"/>
        <v>206341.53856517689</v>
      </c>
      <c r="T62" s="40"/>
    </row>
    <row r="63" spans="3:20" s="16" customFormat="1" outlineLevel="1" x14ac:dyDescent="0.3"/>
    <row r="64" spans="3:20" outlineLevel="1" x14ac:dyDescent="0.3">
      <c r="C64" s="1" t="s">
        <v>61</v>
      </c>
      <c r="E64" s="42">
        <v>159795</v>
      </c>
      <c r="F64" s="42">
        <v>157254</v>
      </c>
      <c r="G64" s="42">
        <v>103456</v>
      </c>
      <c r="H64" s="42">
        <v>132006</v>
      </c>
      <c r="I64" s="42">
        <v>148467</v>
      </c>
      <c r="J64" s="57">
        <f>J65*J55</f>
        <v>172231.80000000002</v>
      </c>
      <c r="K64" s="57">
        <f t="shared" ref="K64:S64" si="16">K65*K55</f>
        <v>186281.2187623182</v>
      </c>
      <c r="L64" s="57">
        <f t="shared" si="16"/>
        <v>192447.02744552048</v>
      </c>
      <c r="M64" s="57">
        <f t="shared" si="16"/>
        <v>198711.83612872276</v>
      </c>
      <c r="N64" s="57">
        <f t="shared" si="16"/>
        <v>201145.99807991445</v>
      </c>
      <c r="O64" s="57">
        <f>O65*O55</f>
        <v>206728.23597280995</v>
      </c>
      <c r="P64" s="57">
        <f t="shared" si="16"/>
        <v>217359.22608071304</v>
      </c>
      <c r="Q64" s="57">
        <f t="shared" si="16"/>
        <v>231287.57454982042</v>
      </c>
      <c r="R64" s="57">
        <f t="shared" si="16"/>
        <v>241455.57160237126</v>
      </c>
      <c r="S64" s="57">
        <f t="shared" si="16"/>
        <v>247178.88067995373</v>
      </c>
      <c r="T64" s="38"/>
    </row>
    <row r="65" spans="3:21" outlineLevel="1" x14ac:dyDescent="0.3">
      <c r="C65" s="1" t="s">
        <v>67</v>
      </c>
      <c r="E65" s="44">
        <f>E64/E55</f>
        <v>1.3911427228248567</v>
      </c>
      <c r="F65" s="44">
        <f>F64/F55</f>
        <v>1.3730016676416403</v>
      </c>
      <c r="G65" s="44">
        <f>G64/G55</f>
        <v>0.93532230358918722</v>
      </c>
      <c r="H65" s="44">
        <f>H64/H55</f>
        <v>1.1688566975986399</v>
      </c>
      <c r="I65" s="44">
        <f>I64/I55</f>
        <v>1.2258045872620089</v>
      </c>
      <c r="J65" s="56">
        <f>INDEX(J66:J68,MATCH($D$8,$C66:$C68,0))</f>
        <v>1.3</v>
      </c>
      <c r="K65" s="56">
        <f t="shared" ref="K65" si="17">INDEX(K66:K68,MATCH($D$8,$C66:$C68,0))</f>
        <v>1.3820721952332486</v>
      </c>
      <c r="L65" s="56">
        <f t="shared" ref="L65" si="18">INDEX(L66:L68,MATCH($D$8,$C66:$C68,0))</f>
        <v>1.4020721952332487</v>
      </c>
      <c r="M65" s="56">
        <f t="shared" ref="M65" si="19">INDEX(M66:M68,MATCH($D$8,$C66:$C68,0))</f>
        <v>1.4220721952332487</v>
      </c>
      <c r="N65" s="56">
        <f t="shared" ref="N65" si="20">INDEX(N66:N68,MATCH($D$8,$C66:$C68,0))</f>
        <v>1.4420721952332487</v>
      </c>
      <c r="O65" s="56">
        <f t="shared" ref="O65" si="21">INDEX(O66:O68,MATCH($D$8,$C66:$C68,0))</f>
        <v>1.4620721952332487</v>
      </c>
      <c r="P65" s="56">
        <f t="shared" ref="P65" si="22">INDEX(P66:P68,MATCH($D$8,$C66:$C68,0))</f>
        <v>1.4820721952332487</v>
      </c>
      <c r="Q65" s="56">
        <f t="shared" ref="Q65" si="23">INDEX(Q66:Q68,MATCH($D$8,$C66:$C68,0))</f>
        <v>1.5020721952332488</v>
      </c>
      <c r="R65" s="56">
        <f t="shared" ref="R65" si="24">INDEX(R66:R68,MATCH($D$8,$C66:$C68,0))</f>
        <v>1.5220721952332488</v>
      </c>
      <c r="S65" s="56">
        <f t="shared" ref="S65" si="25">INDEX(S66:S68,MATCH($D$8,$C66:$C68,0))</f>
        <v>1.5420721952332488</v>
      </c>
      <c r="T65" s="38"/>
    </row>
    <row r="66" spans="3:21" outlineLevel="1" x14ac:dyDescent="0.3">
      <c r="C66" s="16" t="s">
        <v>64</v>
      </c>
      <c r="E66" s="42"/>
      <c r="F66" s="42"/>
      <c r="G66" s="42"/>
      <c r="H66" s="42"/>
      <c r="I66" s="42"/>
      <c r="J66" s="55">
        <f>E65</f>
        <v>1.3911427228248567</v>
      </c>
      <c r="K66" s="55">
        <f>0.03+J66</f>
        <v>1.4211427228248568</v>
      </c>
      <c r="L66" s="55">
        <f t="shared" ref="L66:S66" si="26">0.03+K66</f>
        <v>1.4511427228248568</v>
      </c>
      <c r="M66" s="55">
        <f t="shared" si="26"/>
        <v>1.4811427228248568</v>
      </c>
      <c r="N66" s="55">
        <f t="shared" si="26"/>
        <v>1.5111427228248568</v>
      </c>
      <c r="O66" s="55">
        <f t="shared" si="26"/>
        <v>1.5411427228248569</v>
      </c>
      <c r="P66" s="55">
        <f t="shared" si="26"/>
        <v>1.5711427228248569</v>
      </c>
      <c r="Q66" s="55">
        <f t="shared" si="26"/>
        <v>1.6011427228248569</v>
      </c>
      <c r="R66" s="55">
        <f t="shared" si="26"/>
        <v>1.6311427228248569</v>
      </c>
      <c r="S66" s="55">
        <f t="shared" si="26"/>
        <v>1.661142722824857</v>
      </c>
      <c r="T66" s="38"/>
    </row>
    <row r="67" spans="3:21" outlineLevel="1" x14ac:dyDescent="0.3">
      <c r="C67" s="16" t="s">
        <v>65</v>
      </c>
      <c r="E67" s="42"/>
      <c r="F67" s="42"/>
      <c r="G67" s="42"/>
      <c r="H67" s="42"/>
      <c r="I67" s="42"/>
      <c r="J67" s="52">
        <v>1.3</v>
      </c>
      <c r="K67" s="55">
        <f>AVERAGE(E65:F65)</f>
        <v>1.3820721952332486</v>
      </c>
      <c r="L67" s="55">
        <f t="shared" ref="L67:S67" si="27">K67+0.02</f>
        <v>1.4020721952332487</v>
      </c>
      <c r="M67" s="55">
        <f t="shared" si="27"/>
        <v>1.4220721952332487</v>
      </c>
      <c r="N67" s="55">
        <f t="shared" si="27"/>
        <v>1.4420721952332487</v>
      </c>
      <c r="O67" s="55">
        <f t="shared" si="27"/>
        <v>1.4620721952332487</v>
      </c>
      <c r="P67" s="55">
        <f t="shared" si="27"/>
        <v>1.4820721952332487</v>
      </c>
      <c r="Q67" s="55">
        <f t="shared" si="27"/>
        <v>1.5020721952332488</v>
      </c>
      <c r="R67" s="55">
        <f t="shared" si="27"/>
        <v>1.5220721952332488</v>
      </c>
      <c r="S67" s="55">
        <f t="shared" si="27"/>
        <v>1.5420721952332488</v>
      </c>
      <c r="T67" s="38"/>
    </row>
    <row r="68" spans="3:21" outlineLevel="1" x14ac:dyDescent="0.3">
      <c r="C68" s="16" t="s">
        <v>66</v>
      </c>
      <c r="E68" s="42"/>
      <c r="F68" s="42"/>
      <c r="G68" s="42"/>
      <c r="H68" s="42"/>
      <c r="I68" s="42"/>
      <c r="J68" s="55">
        <f>I65+0.02</f>
        <v>1.2458045872620089</v>
      </c>
      <c r="K68" s="55">
        <f>J68+0.015</f>
        <v>1.2608045872620088</v>
      </c>
      <c r="L68" s="55">
        <f t="shared" ref="L68:S68" si="28">K68+0.015</f>
        <v>1.2758045872620087</v>
      </c>
      <c r="M68" s="55">
        <f t="shared" si="28"/>
        <v>1.2908045872620086</v>
      </c>
      <c r="N68" s="55">
        <f t="shared" si="28"/>
        <v>1.3058045872620085</v>
      </c>
      <c r="O68" s="55">
        <f t="shared" si="28"/>
        <v>1.3208045872620084</v>
      </c>
      <c r="P68" s="55">
        <f t="shared" si="28"/>
        <v>1.3358045872620083</v>
      </c>
      <c r="Q68" s="55">
        <f t="shared" si="28"/>
        <v>1.3508045872620082</v>
      </c>
      <c r="R68" s="55">
        <f t="shared" si="28"/>
        <v>1.3658045872620082</v>
      </c>
      <c r="S68" s="55">
        <f t="shared" si="28"/>
        <v>1.3808045872620081</v>
      </c>
      <c r="T68" s="38"/>
    </row>
    <row r="69" spans="3:21" outlineLevel="1" x14ac:dyDescent="0.3">
      <c r="C69" s="16"/>
      <c r="E69" s="42"/>
      <c r="F69" s="42"/>
      <c r="G69" s="42"/>
      <c r="H69" s="42"/>
      <c r="I69" s="42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</row>
    <row r="70" spans="3:21" outlineLevel="1" x14ac:dyDescent="0.3">
      <c r="C70" s="1" t="s">
        <v>62</v>
      </c>
      <c r="E70" s="43">
        <f>E62/E64</f>
        <v>0.8343314872179981</v>
      </c>
      <c r="F70" s="43">
        <f>F62/F64</f>
        <v>0.83524107494880895</v>
      </c>
      <c r="G70" s="43">
        <f>G62/G64</f>
        <v>0.52409720074234456</v>
      </c>
      <c r="H70" s="43">
        <f>H62/H64</f>
        <v>0.78452494583579535</v>
      </c>
      <c r="I70" s="43">
        <f>I62/I64</f>
        <v>0.83414496150659745</v>
      </c>
      <c r="J70" s="53">
        <v>0.83478628108340347</v>
      </c>
      <c r="K70" s="53">
        <v>0.83478628108340347</v>
      </c>
      <c r="L70" s="53">
        <v>0.83478628108340347</v>
      </c>
      <c r="M70" s="53">
        <v>0.83478628108340347</v>
      </c>
      <c r="N70" s="53">
        <v>0.83478628108340347</v>
      </c>
      <c r="O70" s="53">
        <v>0.83478628108340347</v>
      </c>
      <c r="P70" s="53">
        <v>0.83478628108340347</v>
      </c>
      <c r="Q70" s="53">
        <v>0.83478628108340347</v>
      </c>
      <c r="R70" s="53">
        <v>0.83478628108340347</v>
      </c>
      <c r="S70" s="53">
        <v>0.83478628108340347</v>
      </c>
      <c r="T70" s="38"/>
    </row>
    <row r="71" spans="3:21" outlineLevel="1" x14ac:dyDescent="0.3"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</row>
    <row r="72" spans="3:21" outlineLevel="1" x14ac:dyDescent="0.3">
      <c r="C72" s="1" t="s">
        <v>59</v>
      </c>
      <c r="E72" s="42">
        <v>58803</v>
      </c>
      <c r="F72" s="42">
        <v>60767</v>
      </c>
      <c r="G72" s="42">
        <v>56537</v>
      </c>
      <c r="H72" s="42">
        <v>55093</v>
      </c>
      <c r="I72" s="42">
        <v>66656</v>
      </c>
      <c r="J72" s="74">
        <f>J73*J107</f>
        <v>73913.23514848137</v>
      </c>
      <c r="K72" s="74">
        <f>K73*K107</f>
        <v>77566.548456721823</v>
      </c>
      <c r="L72" s="74">
        <f>L73*L107</f>
        <v>77708.130195801481</v>
      </c>
      <c r="M72" s="74">
        <f>M73*M107</f>
        <v>80222.116035837636</v>
      </c>
      <c r="N72" s="74">
        <f>N73*N107</f>
        <v>81999.356673773902</v>
      </c>
      <c r="O72" s="74">
        <f>O73*O107</f>
        <v>85102.407689942804</v>
      </c>
      <c r="P72" s="74">
        <f>P73*P107</f>
        <v>90358.500310130374</v>
      </c>
      <c r="Q72" s="74">
        <f>Q73*Q107</f>
        <v>97092.153700384835</v>
      </c>
      <c r="R72" s="74">
        <f>R73*R107</f>
        <v>102357.9914317721</v>
      </c>
      <c r="S72" s="74">
        <f>S73*S107</f>
        <v>105816.53101847306</v>
      </c>
      <c r="T72" s="38"/>
    </row>
    <row r="73" spans="3:21" outlineLevel="1" x14ac:dyDescent="0.3">
      <c r="C73" s="16" t="s">
        <v>68</v>
      </c>
      <c r="E73" s="44">
        <f>E72/E107</f>
        <v>2.6771226951969043</v>
      </c>
      <c r="F73" s="44">
        <f>F72/F107</f>
        <v>2.7094257178526839</v>
      </c>
      <c r="G73" s="44">
        <f>G72/G107</f>
        <v>6.2485632183908049</v>
      </c>
      <c r="H73" s="44">
        <f>H72/H107</f>
        <v>3.4891070297656746</v>
      </c>
      <c r="I73" s="44">
        <f>I72/I107</f>
        <v>2.7990257831527674</v>
      </c>
      <c r="J73" s="55">
        <f>AVERAGE(I73,E73:F73)</f>
        <v>2.7285247320674517</v>
      </c>
      <c r="K73" s="55">
        <f>J73</f>
        <v>2.7285247320674517</v>
      </c>
      <c r="L73" s="55">
        <f t="shared" ref="L73:S73" si="29">K73</f>
        <v>2.7285247320674517</v>
      </c>
      <c r="M73" s="55">
        <f t="shared" si="29"/>
        <v>2.7285247320674517</v>
      </c>
      <c r="N73" s="55">
        <f t="shared" si="29"/>
        <v>2.7285247320674517</v>
      </c>
      <c r="O73" s="55">
        <f t="shared" si="29"/>
        <v>2.7285247320674517</v>
      </c>
      <c r="P73" s="55">
        <f t="shared" si="29"/>
        <v>2.7285247320674517</v>
      </c>
      <c r="Q73" s="55">
        <f t="shared" si="29"/>
        <v>2.7285247320674517</v>
      </c>
      <c r="R73" s="55">
        <f t="shared" si="29"/>
        <v>2.7285247320674517</v>
      </c>
      <c r="S73" s="55">
        <f t="shared" si="29"/>
        <v>2.7285247320674517</v>
      </c>
      <c r="T73" s="38"/>
    </row>
    <row r="74" spans="3:21" s="16" customFormat="1" outlineLevel="1" x14ac:dyDescent="0.3"/>
    <row r="75" spans="3:21" outlineLevel="1" x14ac:dyDescent="0.3">
      <c r="C75" s="1" t="s">
        <v>71</v>
      </c>
      <c r="E75" s="63">
        <f>-E111/E72</f>
        <v>0.13007839736067889</v>
      </c>
      <c r="F75" s="63">
        <f>-F111/F72</f>
        <v>0.13647209834285057</v>
      </c>
      <c r="G75" s="63">
        <f>-G111/G72</f>
        <v>0.10336593735076145</v>
      </c>
      <c r="H75" s="63">
        <f>-H111/H72</f>
        <v>8.6816836984734899E-2</v>
      </c>
      <c r="I75" s="63">
        <f>-I111/I72</f>
        <v>0.14066250600096014</v>
      </c>
      <c r="J75" s="63">
        <f>INDEX(J76:J78,MATCH($D$8,$C76:$C78,0))</f>
        <v>0.14277244359097452</v>
      </c>
      <c r="K75" s="63">
        <f t="shared" ref="K75" si="30">INDEX(K76:K78,MATCH($D$8,$C76:$C78,0))</f>
        <v>0.14491403024483912</v>
      </c>
      <c r="L75" s="63">
        <f t="shared" ref="L75" si="31">INDEX(L76:L78,MATCH($D$8,$C76:$C78,0))</f>
        <v>0.14708774069851169</v>
      </c>
      <c r="M75" s="63">
        <f t="shared" ref="M75" si="32">INDEX(M76:M78,MATCH($D$8,$C76:$C78,0))</f>
        <v>0.14929405680898936</v>
      </c>
      <c r="N75" s="63">
        <f>D25</f>
        <v>0.153</v>
      </c>
      <c r="O75" s="63">
        <f>N75</f>
        <v>0.153</v>
      </c>
      <c r="P75" s="63">
        <f t="shared" ref="P75:S75" si="33">O75</f>
        <v>0.153</v>
      </c>
      <c r="Q75" s="63">
        <f t="shared" si="33"/>
        <v>0.153</v>
      </c>
      <c r="R75" s="63">
        <f t="shared" si="33"/>
        <v>0.153</v>
      </c>
      <c r="S75" s="63">
        <f t="shared" si="33"/>
        <v>0.153</v>
      </c>
      <c r="T75" s="38"/>
    </row>
    <row r="76" spans="3:21" outlineLevel="1" x14ac:dyDescent="0.3">
      <c r="C76" s="16" t="s">
        <v>64</v>
      </c>
      <c r="E76" s="42"/>
      <c r="F76" s="42"/>
      <c r="G76" s="42"/>
      <c r="H76" s="42"/>
      <c r="I76" s="42"/>
      <c r="J76" s="64">
        <f>I75*1.003</f>
        <v>0.14108449351896302</v>
      </c>
      <c r="K76" s="64">
        <v>0.14299999999999999</v>
      </c>
      <c r="L76" s="64">
        <v>0.14499999999999999</v>
      </c>
      <c r="M76" s="64">
        <f t="shared" ref="M76" si="34">L76</f>
        <v>0.14499999999999999</v>
      </c>
      <c r="N76" s="38"/>
      <c r="O76" s="38"/>
      <c r="P76" s="38"/>
      <c r="Q76" s="38"/>
      <c r="R76" s="38"/>
      <c r="S76" s="38"/>
      <c r="T76" s="38"/>
    </row>
    <row r="77" spans="3:21" outlineLevel="1" x14ac:dyDescent="0.3">
      <c r="C77" s="16" t="s">
        <v>65</v>
      </c>
      <c r="E77" s="42"/>
      <c r="F77" s="42"/>
      <c r="G77" s="42"/>
      <c r="H77" s="42"/>
      <c r="I77" s="42"/>
      <c r="J77" s="64">
        <f>I75*1.015</f>
        <v>0.14277244359097452</v>
      </c>
      <c r="K77" s="64">
        <f>J77*1.015</f>
        <v>0.14491403024483912</v>
      </c>
      <c r="L77" s="64">
        <f t="shared" ref="L77:M77" si="35">K77*1.015</f>
        <v>0.14708774069851169</v>
      </c>
      <c r="M77" s="64">
        <f t="shared" si="35"/>
        <v>0.14929405680898936</v>
      </c>
      <c r="N77" s="38"/>
      <c r="O77" s="38"/>
      <c r="P77" s="38"/>
      <c r="Q77" s="38"/>
      <c r="R77" s="38"/>
      <c r="S77" s="38"/>
      <c r="T77" s="38"/>
    </row>
    <row r="78" spans="3:21" outlineLevel="1" x14ac:dyDescent="0.3">
      <c r="C78" s="16" t="s">
        <v>66</v>
      </c>
      <c r="E78" s="42"/>
      <c r="F78" s="42"/>
      <c r="G78" s="42"/>
      <c r="H78" s="42"/>
      <c r="I78" s="42"/>
      <c r="J78" s="64">
        <f>I75*1.03</f>
        <v>0.14488238118098895</v>
      </c>
      <c r="K78" s="64">
        <f t="shared" ref="K78:M78" si="36">J75*1.03</f>
        <v>0.14705561689870375</v>
      </c>
      <c r="L78" s="64">
        <f t="shared" si="36"/>
        <v>0.14926145115218431</v>
      </c>
      <c r="M78" s="64">
        <f t="shared" si="36"/>
        <v>0.15150037291946705</v>
      </c>
      <c r="N78" s="38"/>
      <c r="O78" s="38"/>
      <c r="P78" s="38"/>
      <c r="Q78" s="38"/>
      <c r="R78" s="38"/>
      <c r="S78" s="38"/>
      <c r="T78" s="38"/>
    </row>
    <row r="79" spans="3:21" outlineLevel="1" x14ac:dyDescent="0.3"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</row>
    <row r="80" spans="3:21" outlineLevel="1" x14ac:dyDescent="0.3">
      <c r="C80" s="1" t="s">
        <v>72</v>
      </c>
      <c r="E80" s="45">
        <f>-E112/E64</f>
        <v>2.8887011483463187E-2</v>
      </c>
      <c r="F80" s="45">
        <f>-F112/F64</f>
        <v>2.7643176008241444E-2</v>
      </c>
      <c r="G80" s="45">
        <f>-G112/G64</f>
        <v>1.7872332199195793E-2</v>
      </c>
      <c r="H80" s="45">
        <f>-H112/H64</f>
        <v>2.5074617820402104E-2</v>
      </c>
      <c r="I80" s="45">
        <f>-I112/I64</f>
        <v>4.0244633487576363E-2</v>
      </c>
      <c r="J80" s="65">
        <f>INDEX(J81:J83,MATCH($D$8,$C81:$C83,0))</f>
        <v>3.7999999999999999E-2</v>
      </c>
      <c r="K80" s="65">
        <f t="shared" ref="K80:M80" si="37">INDEX(K81:K83,MATCH($D$8,$C81:$C83,0))</f>
        <v>0.03</v>
      </c>
      <c r="L80" s="65">
        <f t="shared" si="37"/>
        <v>2.8265093745852315E-2</v>
      </c>
      <c r="M80" s="65">
        <f t="shared" si="37"/>
        <v>2.8265093745852315E-2</v>
      </c>
      <c r="N80" s="73">
        <f>LR_oilperASM</f>
        <v>2.7944354199775777E-2</v>
      </c>
      <c r="O80" s="73">
        <f>N80</f>
        <v>2.7944354199775777E-2</v>
      </c>
      <c r="P80" s="73">
        <f t="shared" ref="P80:S80" si="38">O80</f>
        <v>2.7944354199775777E-2</v>
      </c>
      <c r="Q80" s="73">
        <f t="shared" si="38"/>
        <v>2.7944354199775777E-2</v>
      </c>
      <c r="R80" s="73">
        <f t="shared" si="38"/>
        <v>2.7944354199775777E-2</v>
      </c>
      <c r="S80" s="73">
        <f t="shared" si="38"/>
        <v>2.7944354199775777E-2</v>
      </c>
      <c r="T80" s="45"/>
      <c r="U80" s="45"/>
    </row>
    <row r="81" spans="3:20" outlineLevel="1" x14ac:dyDescent="0.3">
      <c r="C81" s="16" t="s">
        <v>64</v>
      </c>
      <c r="E81" s="42"/>
      <c r="F81" s="42"/>
      <c r="G81" s="42"/>
      <c r="H81" s="42"/>
      <c r="I81" s="42"/>
      <c r="J81" s="66">
        <v>3.5000000000000003E-2</v>
      </c>
      <c r="K81" s="66">
        <f>AVERAGE(E80:H80)</f>
        <v>2.486928437782563E-2</v>
      </c>
      <c r="L81" s="66">
        <f t="shared" ref="L81:M81" si="39">K81</f>
        <v>2.486928437782563E-2</v>
      </c>
      <c r="M81" s="66">
        <f t="shared" si="39"/>
        <v>2.486928437782563E-2</v>
      </c>
      <c r="N81" s="38"/>
      <c r="O81" s="38"/>
      <c r="P81" s="38"/>
      <c r="Q81" s="38"/>
      <c r="R81" s="38"/>
      <c r="S81" s="38"/>
      <c r="T81" s="38"/>
    </row>
    <row r="82" spans="3:20" outlineLevel="1" x14ac:dyDescent="0.3">
      <c r="C82" s="16" t="s">
        <v>65</v>
      </c>
      <c r="E82" s="42"/>
      <c r="F82" s="42"/>
      <c r="G82" s="42"/>
      <c r="H82" s="42"/>
      <c r="I82" s="42"/>
      <c r="J82" s="66">
        <v>3.7999999999999999E-2</v>
      </c>
      <c r="K82" s="66">
        <v>0.03</v>
      </c>
      <c r="L82" s="66">
        <f>AVERAGE(E80:F80)</f>
        <v>2.8265093745852315E-2</v>
      </c>
      <c r="M82" s="66">
        <f t="shared" ref="M82" si="40">L82</f>
        <v>2.8265093745852315E-2</v>
      </c>
      <c r="N82" s="38"/>
      <c r="O82" s="38"/>
      <c r="P82" s="38"/>
      <c r="Q82" s="38"/>
      <c r="R82" s="38"/>
      <c r="S82" s="38"/>
      <c r="T82" s="38"/>
    </row>
    <row r="83" spans="3:20" outlineLevel="1" x14ac:dyDescent="0.3">
      <c r="C83" s="16" t="s">
        <v>66</v>
      </c>
      <c r="E83" s="42"/>
      <c r="F83" s="42"/>
      <c r="G83" s="42"/>
      <c r="H83" s="42"/>
      <c r="I83" s="42"/>
      <c r="J83" s="66">
        <f>I80*1.05</f>
        <v>4.2256865161955183E-2</v>
      </c>
      <c r="K83" s="66">
        <f>J83*0.97</f>
        <v>4.0989159207096525E-2</v>
      </c>
      <c r="L83" s="66">
        <f t="shared" ref="L83:M83" si="41">K83*0.97</f>
        <v>3.9759484430883625E-2</v>
      </c>
      <c r="M83" s="66">
        <f t="shared" si="41"/>
        <v>3.8566699897957114E-2</v>
      </c>
      <c r="N83" s="38"/>
      <c r="O83" s="38"/>
      <c r="P83" s="38"/>
      <c r="Q83" s="38"/>
      <c r="R83" s="38"/>
      <c r="S83" s="38"/>
      <c r="T83" s="38"/>
    </row>
    <row r="84" spans="3:20" outlineLevel="1" x14ac:dyDescent="0.3"/>
    <row r="85" spans="3:20" outlineLevel="1" x14ac:dyDescent="0.3">
      <c r="C85" s="1" t="s">
        <v>73</v>
      </c>
      <c r="E85" s="43">
        <f>-E113/E107</f>
        <v>5.0398361028909627E-2</v>
      </c>
      <c r="F85" s="43">
        <f t="shared" ref="F85:I85" si="42">-F113/F107</f>
        <v>5.4530051721062955E-2</v>
      </c>
      <c r="G85" s="43">
        <f t="shared" si="42"/>
        <v>8.2891246684350134E-2</v>
      </c>
      <c r="H85" s="43">
        <f t="shared" si="42"/>
        <v>5.4084863837872074E-2</v>
      </c>
      <c r="I85" s="43">
        <f t="shared" si="42"/>
        <v>3.5777273872511971E-2</v>
      </c>
      <c r="J85" s="53">
        <f>AVERAGE(H85:I85,E85:F85)</f>
        <v>4.8697637615089155E-2</v>
      </c>
      <c r="K85" s="53">
        <f>J85</f>
        <v>4.8697637615089155E-2</v>
      </c>
      <c r="L85" s="53">
        <f>K85</f>
        <v>4.8697637615089155E-2</v>
      </c>
      <c r="M85" s="53">
        <f t="shared" ref="M85:S85" si="43">L85</f>
        <v>4.8697637615089155E-2</v>
      </c>
      <c r="N85" s="53">
        <f t="shared" si="43"/>
        <v>4.8697637615089155E-2</v>
      </c>
      <c r="O85" s="53">
        <f t="shared" si="43"/>
        <v>4.8697637615089155E-2</v>
      </c>
      <c r="P85" s="53">
        <f t="shared" si="43"/>
        <v>4.8697637615089155E-2</v>
      </c>
      <c r="Q85" s="53">
        <f t="shared" si="43"/>
        <v>4.8697637615089155E-2</v>
      </c>
      <c r="R85" s="53">
        <f t="shared" si="43"/>
        <v>4.8697637615089155E-2</v>
      </c>
      <c r="S85" s="53">
        <f t="shared" si="43"/>
        <v>4.8697637615089155E-2</v>
      </c>
      <c r="T85" s="38"/>
    </row>
    <row r="86" spans="3:20" outlineLevel="1" x14ac:dyDescent="0.3"/>
    <row r="87" spans="3:20" outlineLevel="1" x14ac:dyDescent="0.3">
      <c r="C87" s="1" t="s">
        <v>74</v>
      </c>
      <c r="E87" s="43">
        <f>-E114/E107</f>
        <v>6.0732984293193716E-2</v>
      </c>
      <c r="F87" s="43">
        <f t="shared" ref="F87:I87" si="44">-F114/F107</f>
        <v>6.0772248974496165E-2</v>
      </c>
      <c r="G87" s="43">
        <f t="shared" si="44"/>
        <v>0.13704686118479223</v>
      </c>
      <c r="H87" s="43">
        <f t="shared" si="44"/>
        <v>9.2210259658011398E-2</v>
      </c>
      <c r="I87" s="43">
        <f t="shared" si="44"/>
        <v>6.3324095070126818E-2</v>
      </c>
      <c r="J87" s="53">
        <f>AVERAGE(E87:F87)</f>
        <v>6.0752616633844944E-2</v>
      </c>
      <c r="K87" s="53">
        <f>J87</f>
        <v>6.0752616633844944E-2</v>
      </c>
      <c r="L87" s="53">
        <f t="shared" ref="L87:S87" si="45">K87</f>
        <v>6.0752616633844944E-2</v>
      </c>
      <c r="M87" s="53">
        <f t="shared" si="45"/>
        <v>6.0752616633844944E-2</v>
      </c>
      <c r="N87" s="53">
        <f t="shared" si="45"/>
        <v>6.0752616633844944E-2</v>
      </c>
      <c r="O87" s="53">
        <f t="shared" si="45"/>
        <v>6.0752616633844944E-2</v>
      </c>
      <c r="P87" s="53">
        <f t="shared" si="45"/>
        <v>6.0752616633844944E-2</v>
      </c>
      <c r="Q87" s="53">
        <f t="shared" si="45"/>
        <v>6.0752616633844944E-2</v>
      </c>
      <c r="R87" s="53">
        <f t="shared" si="45"/>
        <v>6.0752616633844944E-2</v>
      </c>
      <c r="S87" s="53">
        <f t="shared" si="45"/>
        <v>6.0752616633844944E-2</v>
      </c>
      <c r="T87" s="38"/>
    </row>
    <row r="88" spans="3:20" outlineLevel="1" x14ac:dyDescent="0.3"/>
    <row r="89" spans="3:20" outlineLevel="1" x14ac:dyDescent="0.3">
      <c r="C89" s="1" t="s">
        <v>87</v>
      </c>
      <c r="E89" s="43">
        <f>E124/E107</f>
        <v>5.4677896653767356E-2</v>
      </c>
      <c r="F89" s="43">
        <f t="shared" ref="F89:I89" si="46">F124/F107</f>
        <v>5.4351703228107721E-2</v>
      </c>
      <c r="G89" s="43">
        <f t="shared" si="46"/>
        <v>0.13870468611847922</v>
      </c>
      <c r="H89" s="43">
        <f t="shared" si="46"/>
        <v>8.0557314756174794E-2</v>
      </c>
      <c r="I89" s="43">
        <f t="shared" si="46"/>
        <v>5.6731334509112288E-2</v>
      </c>
      <c r="J89" s="53">
        <f>AVERAGE(I89,E89:F89)</f>
        <v>5.5253644796995793E-2</v>
      </c>
      <c r="K89" s="53">
        <f>J89</f>
        <v>5.5253644796995793E-2</v>
      </c>
      <c r="L89" s="53">
        <f t="shared" ref="L89:S89" si="47">K89</f>
        <v>5.5253644796995793E-2</v>
      </c>
      <c r="M89" s="53">
        <f t="shared" si="47"/>
        <v>5.5253644796995793E-2</v>
      </c>
      <c r="N89" s="53">
        <f t="shared" si="47"/>
        <v>5.5253644796995793E-2</v>
      </c>
      <c r="O89" s="53">
        <f t="shared" si="47"/>
        <v>5.5253644796995793E-2</v>
      </c>
      <c r="P89" s="53">
        <f t="shared" si="47"/>
        <v>5.5253644796995793E-2</v>
      </c>
      <c r="Q89" s="53">
        <f t="shared" si="47"/>
        <v>5.5253644796995793E-2</v>
      </c>
      <c r="R89" s="53">
        <f t="shared" si="47"/>
        <v>5.5253644796995793E-2</v>
      </c>
      <c r="S89" s="53">
        <f t="shared" si="47"/>
        <v>5.5253644796995793E-2</v>
      </c>
      <c r="T89" s="38"/>
    </row>
    <row r="90" spans="3:20" outlineLevel="1" x14ac:dyDescent="0.3"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</row>
    <row r="91" spans="3:20" outlineLevel="1" x14ac:dyDescent="0.3">
      <c r="C91" s="1" t="s">
        <v>75</v>
      </c>
      <c r="E91" s="46">
        <f>E116/E107</f>
        <v>-0.12984293193717278</v>
      </c>
      <c r="F91" s="46">
        <f>F116/F107</f>
        <v>-0.13492063492063491</v>
      </c>
      <c r="G91" s="46">
        <f>G116/G107</f>
        <v>-0.21286472148541113</v>
      </c>
      <c r="H91" s="46">
        <f>H116/H107</f>
        <v>-0.15161494616846105</v>
      </c>
      <c r="I91" s="46">
        <f>I116/I107</f>
        <v>-0.15684051398337112</v>
      </c>
      <c r="J91" s="67">
        <f>E91</f>
        <v>-0.12984293193717278</v>
      </c>
      <c r="K91" s="67">
        <f>J91</f>
        <v>-0.12984293193717278</v>
      </c>
      <c r="L91" s="67">
        <f t="shared" ref="L91:S91" si="48">K91</f>
        <v>-0.12984293193717278</v>
      </c>
      <c r="M91" s="67">
        <f t="shared" si="48"/>
        <v>-0.12984293193717278</v>
      </c>
      <c r="N91" s="67">
        <f t="shared" si="48"/>
        <v>-0.12984293193717278</v>
      </c>
      <c r="O91" s="67">
        <f t="shared" si="48"/>
        <v>-0.12984293193717278</v>
      </c>
      <c r="P91" s="67">
        <f t="shared" si="48"/>
        <v>-0.12984293193717278</v>
      </c>
      <c r="Q91" s="67">
        <f t="shared" si="48"/>
        <v>-0.12984293193717278</v>
      </c>
      <c r="R91" s="67">
        <f t="shared" si="48"/>
        <v>-0.12984293193717278</v>
      </c>
      <c r="S91" s="67">
        <f t="shared" si="48"/>
        <v>-0.12984293193717278</v>
      </c>
      <c r="T91" s="38"/>
    </row>
    <row r="92" spans="3:20" outlineLevel="1" x14ac:dyDescent="0.3"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</row>
    <row r="93" spans="3:20" outlineLevel="1" x14ac:dyDescent="0.3">
      <c r="C93" s="1" t="s">
        <v>78</v>
      </c>
      <c r="E93" s="46">
        <f>E129/E$107</f>
        <v>5.3266560437058956E-3</v>
      </c>
      <c r="F93" s="46">
        <f>F129/F$107</f>
        <v>-4.1911895844480114E-3</v>
      </c>
      <c r="G93" s="46">
        <f>G129/G$107</f>
        <v>-3.249336870026525E-2</v>
      </c>
      <c r="H93" s="46">
        <f>H129/H$107</f>
        <v>-4.4395186827105762E-2</v>
      </c>
      <c r="I93" s="46">
        <f>I129/I$107</f>
        <v>1.7720668514319308E-2</v>
      </c>
      <c r="J93" s="67">
        <f>AVERAGE(I93,E93:F93)</f>
        <v>6.2853783245257304E-3</v>
      </c>
      <c r="K93" s="67">
        <f>J93</f>
        <v>6.2853783245257304E-3</v>
      </c>
      <c r="L93" s="67">
        <f t="shared" ref="L93:S93" si="49">K93</f>
        <v>6.2853783245257304E-3</v>
      </c>
      <c r="M93" s="67">
        <f t="shared" si="49"/>
        <v>6.2853783245257304E-3</v>
      </c>
      <c r="N93" s="67">
        <f t="shared" si="49"/>
        <v>6.2853783245257304E-3</v>
      </c>
      <c r="O93" s="67">
        <f t="shared" si="49"/>
        <v>6.2853783245257304E-3</v>
      </c>
      <c r="P93" s="67">
        <f t="shared" si="49"/>
        <v>6.2853783245257304E-3</v>
      </c>
      <c r="Q93" s="67">
        <f t="shared" si="49"/>
        <v>6.2853783245257304E-3</v>
      </c>
      <c r="R93" s="67">
        <f t="shared" si="49"/>
        <v>6.2853783245257304E-3</v>
      </c>
      <c r="S93" s="67">
        <f t="shared" si="49"/>
        <v>6.2853783245257304E-3</v>
      </c>
      <c r="T93" s="38"/>
    </row>
    <row r="94" spans="3:20" outlineLevel="1" x14ac:dyDescent="0.3">
      <c r="C94" s="1" t="s">
        <v>79</v>
      </c>
      <c r="E94" s="46">
        <f>E130/E$107</f>
        <v>-1.0334623264284089E-2</v>
      </c>
      <c r="F94" s="46">
        <f>F130/F$107</f>
        <v>1.0656322454075263E-2</v>
      </c>
      <c r="G94" s="46">
        <f>G130/G$107</f>
        <v>4.5866489832007071E-2</v>
      </c>
      <c r="H94" s="46">
        <f>H130/H$107</f>
        <v>4.7498416719442688E-3</v>
      </c>
      <c r="I94" s="46">
        <f>I130/I$107</f>
        <v>-2.7714789619551522E-3</v>
      </c>
      <c r="J94" s="67">
        <f>AVERAGE(H94:I94,E94:F94)</f>
        <v>5.7501547494507275E-4</v>
      </c>
      <c r="K94" s="67">
        <f>J94</f>
        <v>5.7501547494507275E-4</v>
      </c>
      <c r="L94" s="67">
        <f>K94</f>
        <v>5.7501547494507275E-4</v>
      </c>
      <c r="M94" s="67">
        <f t="shared" ref="M94:S94" si="50">L94</f>
        <v>5.7501547494507275E-4</v>
      </c>
      <c r="N94" s="67">
        <f t="shared" si="50"/>
        <v>5.7501547494507275E-4</v>
      </c>
      <c r="O94" s="67">
        <f t="shared" si="50"/>
        <v>5.7501547494507275E-4</v>
      </c>
      <c r="P94" s="67">
        <f t="shared" si="50"/>
        <v>5.7501547494507275E-4</v>
      </c>
      <c r="Q94" s="67">
        <f t="shared" si="50"/>
        <v>5.7501547494507275E-4</v>
      </c>
      <c r="R94" s="67">
        <f t="shared" si="50"/>
        <v>5.7501547494507275E-4</v>
      </c>
      <c r="S94" s="67">
        <f t="shared" si="50"/>
        <v>5.7501547494507275E-4</v>
      </c>
      <c r="T94" s="38"/>
    </row>
    <row r="95" spans="3:20" outlineLevel="1" x14ac:dyDescent="0.3">
      <c r="C95" s="1" t="s">
        <v>80</v>
      </c>
      <c r="E95" s="46">
        <f>E131/E$107</f>
        <v>2.4812201229228319E-2</v>
      </c>
      <c r="F95" s="46">
        <f>F131/F$107</f>
        <v>1.3286962725164973E-2</v>
      </c>
      <c r="G95" s="46">
        <f>G131/G$107</f>
        <v>2.5530503978779841E-2</v>
      </c>
      <c r="H95" s="46">
        <f>H131/H$107</f>
        <v>2.4065864471184296E-3</v>
      </c>
      <c r="I95" s="46">
        <f>I131/I$107</f>
        <v>3.9304610733182165E-2</v>
      </c>
      <c r="J95" s="67">
        <f>AVERAGE(E95:I95)</f>
        <v>2.1068173022694748E-2</v>
      </c>
      <c r="K95" s="67">
        <f>J95</f>
        <v>2.1068173022694748E-2</v>
      </c>
      <c r="L95" s="67">
        <f t="shared" ref="L95:S97" si="51">K95</f>
        <v>2.1068173022694748E-2</v>
      </c>
      <c r="M95" s="67">
        <f t="shared" si="51"/>
        <v>2.1068173022694748E-2</v>
      </c>
      <c r="N95" s="67">
        <f t="shared" si="51"/>
        <v>2.1068173022694748E-2</v>
      </c>
      <c r="O95" s="67">
        <f t="shared" si="51"/>
        <v>2.1068173022694748E-2</v>
      </c>
      <c r="P95" s="67">
        <f t="shared" si="51"/>
        <v>2.1068173022694748E-2</v>
      </c>
      <c r="Q95" s="67">
        <f t="shared" si="51"/>
        <v>2.1068173022694748E-2</v>
      </c>
      <c r="R95" s="67">
        <f t="shared" si="51"/>
        <v>2.1068173022694748E-2</v>
      </c>
      <c r="S95" s="67">
        <f t="shared" si="51"/>
        <v>2.1068173022694748E-2</v>
      </c>
      <c r="T95" s="38"/>
    </row>
    <row r="96" spans="3:20" outlineLevel="1" x14ac:dyDescent="0.3">
      <c r="C96" s="1" t="s">
        <v>81</v>
      </c>
      <c r="E96" s="46">
        <f>E132/E$107</f>
        <v>2.3036649214659685E-2</v>
      </c>
      <c r="F96" s="46">
        <f>F132/F$107</f>
        <v>1.9618334225075799E-2</v>
      </c>
      <c r="G96" s="46">
        <f>G132/G$107</f>
        <v>0.1793766578249337</v>
      </c>
      <c r="H96" s="46">
        <f>H132/H$107</f>
        <v>3.7428752374920833E-2</v>
      </c>
      <c r="I96" s="46">
        <f>I132/I$107</f>
        <v>2.2045855379188711E-2</v>
      </c>
      <c r="J96" s="67">
        <f>AVERAGE(H96:I96,E96:F96)</f>
        <v>2.5532397798461261E-2</v>
      </c>
      <c r="K96" s="67">
        <f>J96</f>
        <v>2.5532397798461261E-2</v>
      </c>
      <c r="L96" s="67">
        <f t="shared" si="51"/>
        <v>2.5532397798461261E-2</v>
      </c>
      <c r="M96" s="67">
        <f t="shared" si="51"/>
        <v>2.5532397798461261E-2</v>
      </c>
      <c r="N96" s="67">
        <f t="shared" si="51"/>
        <v>2.5532397798461261E-2</v>
      </c>
      <c r="O96" s="67">
        <f t="shared" si="51"/>
        <v>2.5532397798461261E-2</v>
      </c>
      <c r="P96" s="67">
        <f t="shared" si="51"/>
        <v>2.5532397798461261E-2</v>
      </c>
      <c r="Q96" s="67">
        <f t="shared" si="51"/>
        <v>2.5532397798461261E-2</v>
      </c>
      <c r="R96" s="67">
        <f t="shared" si="51"/>
        <v>2.5532397798461261E-2</v>
      </c>
      <c r="S96" s="67">
        <f t="shared" si="51"/>
        <v>2.5532397798461261E-2</v>
      </c>
      <c r="T96" s="38"/>
    </row>
    <row r="97" spans="2:20" outlineLevel="1" x14ac:dyDescent="0.3">
      <c r="C97" s="1" t="s">
        <v>86</v>
      </c>
      <c r="E97" s="46">
        <f>E133/E$107</f>
        <v>0</v>
      </c>
      <c r="F97" s="46">
        <f>F133/F$107</f>
        <v>-1.2350633137149991E-2</v>
      </c>
      <c r="G97" s="46">
        <f>G133/G$107</f>
        <v>-3.3819628647214856E-2</v>
      </c>
      <c r="H97" s="46">
        <f>H133/H$107</f>
        <v>-6.5231158961367953E-3</v>
      </c>
      <c r="I97" s="46">
        <f>I133/I$107</f>
        <v>-1.4025363231712438E-2</v>
      </c>
      <c r="J97" s="67">
        <f>AVERAGE(E97:I97)</f>
        <v>-1.3343748182442817E-2</v>
      </c>
      <c r="K97" s="67">
        <f>J97</f>
        <v>-1.3343748182442817E-2</v>
      </c>
      <c r="L97" s="67">
        <f t="shared" si="51"/>
        <v>-1.3343748182442817E-2</v>
      </c>
      <c r="M97" s="67">
        <f t="shared" si="51"/>
        <v>-1.3343748182442817E-2</v>
      </c>
      <c r="N97" s="67">
        <f t="shared" si="51"/>
        <v>-1.3343748182442817E-2</v>
      </c>
      <c r="O97" s="67">
        <f t="shared" si="51"/>
        <v>-1.3343748182442817E-2</v>
      </c>
      <c r="P97" s="67">
        <f t="shared" si="51"/>
        <v>-1.3343748182442817E-2</v>
      </c>
      <c r="Q97" s="67">
        <f t="shared" si="51"/>
        <v>-1.3343748182442817E-2</v>
      </c>
      <c r="R97" s="67">
        <f t="shared" si="51"/>
        <v>-1.3343748182442817E-2</v>
      </c>
      <c r="S97" s="67">
        <f t="shared" si="51"/>
        <v>-1.3343748182442817E-2</v>
      </c>
      <c r="T97" s="38"/>
    </row>
    <row r="98" spans="2:20" outlineLevel="1" x14ac:dyDescent="0.3"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</row>
    <row r="99" spans="2:20" outlineLevel="1" x14ac:dyDescent="0.3">
      <c r="C99" s="1" t="s">
        <v>82</v>
      </c>
      <c r="E99" s="46">
        <f>-E136/E107</f>
        <v>8.7502845435920781E-2</v>
      </c>
      <c r="F99" s="46">
        <f>-F136/F107</f>
        <v>4.5790975566256463E-2</v>
      </c>
      <c r="G99" s="46">
        <f>-G136/G107</f>
        <v>5.6918656056587094E-2</v>
      </c>
      <c r="H99" s="46">
        <f>-H136/H107</f>
        <v>3.1982267257758074E-2</v>
      </c>
      <c r="I99" s="46">
        <f>-I136/I107</f>
        <v>0.16477702191987906</v>
      </c>
      <c r="J99" s="67">
        <f>AVERAGE(E99:F99)</f>
        <v>6.6646910501088619E-2</v>
      </c>
      <c r="K99" s="67">
        <f>J99</f>
        <v>6.6646910501088619E-2</v>
      </c>
      <c r="L99" s="67">
        <f t="shared" ref="L99:S100" si="52">K99</f>
        <v>6.6646910501088619E-2</v>
      </c>
      <c r="M99" s="67">
        <f t="shared" si="52"/>
        <v>6.6646910501088619E-2</v>
      </c>
      <c r="N99" s="67">
        <f t="shared" si="52"/>
        <v>6.6646910501088619E-2</v>
      </c>
      <c r="O99" s="67">
        <f t="shared" si="52"/>
        <v>6.6646910501088619E-2</v>
      </c>
      <c r="P99" s="67">
        <f t="shared" si="52"/>
        <v>6.6646910501088619E-2</v>
      </c>
      <c r="Q99" s="67">
        <f t="shared" si="52"/>
        <v>6.6646910501088619E-2</v>
      </c>
      <c r="R99" s="67">
        <f t="shared" si="52"/>
        <v>6.6646910501088619E-2</v>
      </c>
      <c r="S99" s="67">
        <f t="shared" si="52"/>
        <v>6.6646910501088619E-2</v>
      </c>
      <c r="T99" s="38"/>
    </row>
    <row r="100" spans="2:20" outlineLevel="1" x14ac:dyDescent="0.3">
      <c r="C100" s="1" t="s">
        <v>85</v>
      </c>
      <c r="E100" s="46">
        <f>E126/E120</f>
        <v>-0.40820201253085248</v>
      </c>
      <c r="F100" s="46">
        <f t="shared" ref="F100:I100" si="53">F126/F120</f>
        <v>8.0869271147314403E-2</v>
      </c>
      <c r="G100" s="46">
        <f t="shared" si="53"/>
        <v>-0.81578707501595105</v>
      </c>
      <c r="H100" s="46">
        <f t="shared" si="53"/>
        <v>5.3053078341712342E-2</v>
      </c>
      <c r="I100" s="46">
        <f t="shared" si="53"/>
        <v>-0.97473387200205208</v>
      </c>
      <c r="J100" s="67">
        <f>AVERAGE(E100:I100)</f>
        <v>-0.41296012201196575</v>
      </c>
      <c r="K100" s="67">
        <f>J100</f>
        <v>-0.41296012201196575</v>
      </c>
      <c r="L100" s="67">
        <f t="shared" si="52"/>
        <v>-0.41296012201196575</v>
      </c>
      <c r="M100" s="67">
        <f t="shared" si="52"/>
        <v>-0.41296012201196575</v>
      </c>
      <c r="N100" s="67">
        <f t="shared" si="52"/>
        <v>-0.41296012201196575</v>
      </c>
      <c r="O100" s="67">
        <f t="shared" si="52"/>
        <v>-0.41296012201196575</v>
      </c>
      <c r="P100" s="67">
        <f t="shared" si="52"/>
        <v>-0.41296012201196575</v>
      </c>
      <c r="Q100" s="67">
        <f t="shared" si="52"/>
        <v>-0.41296012201196575</v>
      </c>
      <c r="R100" s="67">
        <f t="shared" si="52"/>
        <v>-0.41296012201196575</v>
      </c>
      <c r="S100" s="67">
        <f t="shared" si="52"/>
        <v>-0.41296012201196575</v>
      </c>
      <c r="T100" s="38"/>
    </row>
    <row r="101" spans="2:20" x14ac:dyDescent="0.3"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</row>
    <row r="102" spans="2:20" x14ac:dyDescent="0.3">
      <c r="B102" s="3"/>
      <c r="C102" s="3"/>
      <c r="D102" s="3"/>
      <c r="E102" s="21" t="s">
        <v>19</v>
      </c>
      <c r="F102" s="21"/>
      <c r="G102" s="21"/>
      <c r="H102" s="21"/>
      <c r="I102" s="22"/>
      <c r="J102" s="21" t="s">
        <v>20</v>
      </c>
      <c r="K102" s="21"/>
      <c r="L102" s="21"/>
      <c r="M102" s="21"/>
      <c r="N102" s="21"/>
      <c r="O102" s="21"/>
      <c r="P102" s="21"/>
      <c r="Q102" s="21"/>
      <c r="R102" s="21"/>
      <c r="S102" s="21"/>
    </row>
    <row r="103" spans="2:20" x14ac:dyDescent="0.3">
      <c r="B103" s="4" t="s">
        <v>17</v>
      </c>
      <c r="C103" s="3"/>
      <c r="D103" s="18" t="s">
        <v>18</v>
      </c>
      <c r="E103" s="19">
        <f>E$39</f>
        <v>43465</v>
      </c>
      <c r="F103" s="19">
        <f>F$39</f>
        <v>43830</v>
      </c>
      <c r="G103" s="19">
        <f>G$39</f>
        <v>44196</v>
      </c>
      <c r="H103" s="19">
        <f>H$39</f>
        <v>44561</v>
      </c>
      <c r="I103" s="20">
        <f>I$39</f>
        <v>44926</v>
      </c>
      <c r="J103" s="19">
        <f t="shared" ref="J103:S103" si="54">J$39</f>
        <v>45291</v>
      </c>
      <c r="K103" s="19">
        <f t="shared" si="54"/>
        <v>45657</v>
      </c>
      <c r="L103" s="19">
        <f t="shared" si="54"/>
        <v>46022</v>
      </c>
      <c r="M103" s="19">
        <f t="shared" si="54"/>
        <v>46387</v>
      </c>
      <c r="N103" s="19">
        <f t="shared" si="54"/>
        <v>46752</v>
      </c>
      <c r="O103" s="19">
        <f t="shared" si="54"/>
        <v>47118</v>
      </c>
      <c r="P103" s="19">
        <f t="shared" si="54"/>
        <v>47483</v>
      </c>
      <c r="Q103" s="19">
        <f t="shared" si="54"/>
        <v>47848</v>
      </c>
      <c r="R103" s="19">
        <f t="shared" si="54"/>
        <v>48213</v>
      </c>
      <c r="S103" s="19">
        <f t="shared" si="54"/>
        <v>48579</v>
      </c>
    </row>
    <row r="104" spans="2:20" outlineLevel="1" x14ac:dyDescent="0.3">
      <c r="C104" s="16" t="s">
        <v>23</v>
      </c>
      <c r="E104" s="28">
        <v>20455</v>
      </c>
      <c r="F104" s="28">
        <v>20776</v>
      </c>
      <c r="G104" s="28">
        <v>7665</v>
      </c>
      <c r="H104" s="28">
        <v>14066</v>
      </c>
      <c r="I104" s="28">
        <v>21408</v>
      </c>
      <c r="J104" s="26">
        <f>J62*J57</f>
        <v>24442.046447071094</v>
      </c>
      <c r="K104" s="26">
        <f>K62*K57</f>
        <v>25658.325964636122</v>
      </c>
      <c r="L104" s="26">
        <f>L62*L57</f>
        <v>25704.342135488274</v>
      </c>
      <c r="M104" s="26">
        <f>M62*M57</f>
        <v>26541.106350264188</v>
      </c>
      <c r="N104" s="26">
        <f>N62*N57</f>
        <v>27134.889422217697</v>
      </c>
      <c r="O104" s="26">
        <f>O62*O57</f>
        <v>28166.820895721288</v>
      </c>
      <c r="P104" s="26">
        <f>P62*P57</f>
        <v>29911.451359609189</v>
      </c>
      <c r="Q104" s="26">
        <f>Q62*Q57</f>
        <v>32146.45466209283</v>
      </c>
      <c r="R104" s="26">
        <f>R62*R57</f>
        <v>33895.292501287884</v>
      </c>
      <c r="S104" s="26">
        <f>S62*S57</f>
        <v>35045.712174871784</v>
      </c>
    </row>
    <row r="105" spans="2:20" outlineLevel="1" x14ac:dyDescent="0.3">
      <c r="C105" s="16" t="s">
        <v>24</v>
      </c>
      <c r="E105" s="29">
        <v>175</v>
      </c>
      <c r="F105" s="29">
        <v>172</v>
      </c>
      <c r="G105" s="29">
        <v>161</v>
      </c>
      <c r="H105" s="29">
        <v>187</v>
      </c>
      <c r="I105" s="29">
        <v>177</v>
      </c>
      <c r="J105" s="10">
        <f>J51*J44</f>
        <v>194.03730028645788</v>
      </c>
      <c r="K105" s="10">
        <f>K51*K44</f>
        <v>195.44677220137163</v>
      </c>
      <c r="L105" s="10">
        <f>L51*L44</f>
        <v>196.62133213046641</v>
      </c>
      <c r="M105" s="10">
        <f>M51*M44</f>
        <v>197.7958920595612</v>
      </c>
      <c r="N105" s="10">
        <f>N51*N44</f>
        <v>196.38642014464745</v>
      </c>
      <c r="O105" s="10">
        <f>O51*O44</f>
        <v>198.73554000283701</v>
      </c>
      <c r="P105" s="10">
        <f>P51*P44</f>
        <v>206.01781156322465</v>
      </c>
      <c r="Q105" s="10">
        <f>Q51*Q44</f>
        <v>215.41429099598292</v>
      </c>
      <c r="R105" s="10">
        <f>R51*R44</f>
        <v>221.73733861427647</v>
      </c>
      <c r="S105" s="10">
        <f>S51*S44</f>
        <v>224.08645847246603</v>
      </c>
    </row>
    <row r="106" spans="2:20" outlineLevel="1" x14ac:dyDescent="0.3">
      <c r="C106" s="17" t="s">
        <v>25</v>
      </c>
      <c r="D106" s="13"/>
      <c r="E106" s="30">
        <v>1335</v>
      </c>
      <c r="F106" s="30">
        <v>1480</v>
      </c>
      <c r="G106" s="30">
        <v>1222</v>
      </c>
      <c r="H106" s="30">
        <v>1537</v>
      </c>
      <c r="I106" s="30">
        <v>2229</v>
      </c>
      <c r="J106" s="24">
        <f>(J105+J104)*J53/(1-J53)</f>
        <v>2453.0000640528719</v>
      </c>
      <c r="K106" s="24">
        <f>(K105+K104)*K53/(1-K53)</f>
        <v>2574.2446254783927</v>
      </c>
      <c r="L106" s="24">
        <f>(L105+L104)*L53/(1-L53)</f>
        <v>2578.9433782029009</v>
      </c>
      <c r="M106" s="24">
        <f>(M105+M104)*M53/(1-M53)</f>
        <v>2662.3764387941255</v>
      </c>
      <c r="N106" s="24">
        <f>(N105+N104)*N53/(1-N53)</f>
        <v>2721.3587224127127</v>
      </c>
      <c r="O106" s="24">
        <f>(O105+O104)*O53/(1-O53)</f>
        <v>2824.3414199787253</v>
      </c>
      <c r="P106" s="24">
        <f>(P105+P104)*P53/(1-P53)</f>
        <v>2998.7783189737065</v>
      </c>
      <c r="Q106" s="24">
        <f>(Q105+Q104)*Q53/(1-Q53)</f>
        <v>3222.2518574329874</v>
      </c>
      <c r="R106" s="24">
        <f>(R105+R104)*R53/(1-R53)</f>
        <v>3397.0121729087796</v>
      </c>
      <c r="S106" s="24">
        <f>(S105+S104)*S53/(1-S53)</f>
        <v>3511.7926694012422</v>
      </c>
    </row>
    <row r="107" spans="2:20" s="2" customFormat="1" outlineLevel="1" x14ac:dyDescent="0.3">
      <c r="C107" s="2" t="s">
        <v>26</v>
      </c>
      <c r="E107" s="25">
        <f>SUM(E104:E106)</f>
        <v>21965</v>
      </c>
      <c r="F107" s="25">
        <f>SUM(F104:F106)</f>
        <v>22428</v>
      </c>
      <c r="G107" s="25">
        <f>SUM(G104:G106)</f>
        <v>9048</v>
      </c>
      <c r="H107" s="25">
        <f t="shared" ref="H107" si="55">SUM(H104:H106)</f>
        <v>15790</v>
      </c>
      <c r="I107" s="25">
        <f t="shared" ref="I107:J107" si="56">SUM(I104:I106)</f>
        <v>23814</v>
      </c>
      <c r="J107" s="25">
        <f t="shared" si="56"/>
        <v>27089.083811410423</v>
      </c>
      <c r="K107" s="25">
        <f t="shared" ref="K107:S107" si="57">SUM(K104:K106)</f>
        <v>28428.017362315888</v>
      </c>
      <c r="L107" s="25">
        <f t="shared" si="57"/>
        <v>28479.906845821642</v>
      </c>
      <c r="M107" s="25">
        <f t="shared" si="57"/>
        <v>29401.278681117878</v>
      </c>
      <c r="N107" s="25">
        <f t="shared" si="57"/>
        <v>30052.634564775057</v>
      </c>
      <c r="O107" s="25">
        <f t="shared" si="57"/>
        <v>31189.897855702849</v>
      </c>
      <c r="P107" s="25">
        <f t="shared" si="57"/>
        <v>33116.247490146125</v>
      </c>
      <c r="Q107" s="25">
        <f t="shared" si="57"/>
        <v>35584.120810521803</v>
      </c>
      <c r="R107" s="25">
        <f t="shared" si="57"/>
        <v>37514.04201281094</v>
      </c>
      <c r="S107" s="25">
        <f t="shared" si="57"/>
        <v>38781.591302745495</v>
      </c>
    </row>
    <row r="108" spans="2:20" outlineLevel="1" x14ac:dyDescent="0.3">
      <c r="C108" s="72" t="s">
        <v>83</v>
      </c>
      <c r="E108" s="10"/>
      <c r="F108" s="68">
        <f>F107/E107-1</f>
        <v>2.1078989301160922E-2</v>
      </c>
      <c r="G108" s="68">
        <f t="shared" ref="G108:S108" si="58">G107/F107-1</f>
        <v>-0.59657570893525946</v>
      </c>
      <c r="H108" s="68">
        <f t="shared" si="58"/>
        <v>0.74513704686118487</v>
      </c>
      <c r="I108" s="68">
        <f t="shared" si="58"/>
        <v>0.5081697276757442</v>
      </c>
      <c r="J108" s="68">
        <f t="shared" si="58"/>
        <v>0.13752766487824064</v>
      </c>
      <c r="K108" s="68">
        <f t="shared" si="58"/>
        <v>4.9427051879158856E-2</v>
      </c>
      <c r="L108" s="68">
        <f t="shared" si="58"/>
        <v>1.8252937883223019E-3</v>
      </c>
      <c r="M108" s="68">
        <f t="shared" si="58"/>
        <v>3.2351644978481087E-2</v>
      </c>
      <c r="N108" s="68">
        <f t="shared" si="58"/>
        <v>2.215399849515709E-2</v>
      </c>
      <c r="O108" s="68">
        <f t="shared" si="58"/>
        <v>3.7842382453243895E-2</v>
      </c>
      <c r="P108" s="68">
        <f t="shared" si="58"/>
        <v>6.1761973166932105E-2</v>
      </c>
      <c r="Q108" s="68">
        <f t="shared" si="58"/>
        <v>7.4521526664819149E-2</v>
      </c>
      <c r="R108" s="68">
        <f t="shared" si="58"/>
        <v>5.4235461164421572E-2</v>
      </c>
      <c r="S108" s="68">
        <f t="shared" si="58"/>
        <v>3.3788662109556E-2</v>
      </c>
    </row>
    <row r="109" spans="2:20" outlineLevel="1" x14ac:dyDescent="0.3"/>
    <row r="110" spans="2:20" outlineLevel="1" x14ac:dyDescent="0.3">
      <c r="C110" s="2" t="s">
        <v>27</v>
      </c>
    </row>
    <row r="111" spans="2:20" outlineLevel="1" x14ac:dyDescent="0.3">
      <c r="C111" s="16" t="s">
        <v>33</v>
      </c>
      <c r="E111" s="29">
        <v>-7649</v>
      </c>
      <c r="F111" s="29">
        <v>-8293</v>
      </c>
      <c r="G111" s="29">
        <v>-5844</v>
      </c>
      <c r="H111" s="29">
        <v>-4783</v>
      </c>
      <c r="I111" s="29">
        <v>-9376</v>
      </c>
      <c r="J111" s="10">
        <f>-J75*J72</f>
        <v>-10552.773195862992</v>
      </c>
      <c r="K111" s="10">
        <f>-K75*K72</f>
        <v>-11240.481149045165</v>
      </c>
      <c r="L111" s="10">
        <f>-L75*L72</f>
        <v>-11429.913304406235</v>
      </c>
      <c r="M111" s="10">
        <f>-M75*M72</f>
        <v>-11976.685148791679</v>
      </c>
      <c r="N111" s="10">
        <f>-N75*N72</f>
        <v>-12545.901571087406</v>
      </c>
      <c r="O111" s="10">
        <f>-O75*O72</f>
        <v>-13020.668376561249</v>
      </c>
      <c r="P111" s="10">
        <f>-P75*P72</f>
        <v>-13824.850547449947</v>
      </c>
      <c r="Q111" s="10">
        <f>-Q75*Q72</f>
        <v>-14855.09951615888</v>
      </c>
      <c r="R111" s="10">
        <f>-R75*R72</f>
        <v>-15660.77268906113</v>
      </c>
      <c r="S111" s="10">
        <f>-S75*S72</f>
        <v>-16189.929245826379</v>
      </c>
    </row>
    <row r="112" spans="2:20" outlineLevel="1" x14ac:dyDescent="0.3">
      <c r="C112" s="16" t="s">
        <v>28</v>
      </c>
      <c r="E112" s="29">
        <v>-4616</v>
      </c>
      <c r="F112" s="29">
        <v>-4347</v>
      </c>
      <c r="G112" s="29">
        <v>-1849</v>
      </c>
      <c r="H112" s="29">
        <v>-3310</v>
      </c>
      <c r="I112" s="29">
        <v>-5975</v>
      </c>
      <c r="J112" s="10">
        <f>-J80*J64</f>
        <v>-6544.8084000000008</v>
      </c>
      <c r="K112" s="10">
        <f>-K80*K64</f>
        <v>-5588.4365628695459</v>
      </c>
      <c r="L112" s="10">
        <f>-L80*L64</f>
        <v>-5439.5332718582495</v>
      </c>
      <c r="M112" s="10">
        <f>-M80*M64</f>
        <v>-5616.6086765887922</v>
      </c>
      <c r="N112" s="10">
        <f>-N80*N64</f>
        <v>-5620.8950162125475</v>
      </c>
      <c r="O112" s="10">
        <f>-O80*O64</f>
        <v>-5776.8870491190301</v>
      </c>
      <c r="P112" s="10">
        <f>-P80*P64</f>
        <v>-6073.9632021885864</v>
      </c>
      <c r="Q112" s="10">
        <f>-Q80*Q64</f>
        <v>-6463.1819052272276</v>
      </c>
      <c r="R112" s="10">
        <f>-R80*R64</f>
        <v>-6747.320016365984</v>
      </c>
      <c r="S112" s="10">
        <f>-S80*S64</f>
        <v>-6907.2541924247407</v>
      </c>
    </row>
    <row r="113" spans="3:19" outlineLevel="1" x14ac:dyDescent="0.3">
      <c r="C113" s="16" t="s">
        <v>29</v>
      </c>
      <c r="E113" s="29">
        <v>-1107</v>
      </c>
      <c r="F113" s="29">
        <v>-1223</v>
      </c>
      <c r="G113" s="29">
        <v>-750</v>
      </c>
      <c r="H113" s="29">
        <v>-854</v>
      </c>
      <c r="I113" s="29">
        <v>-852</v>
      </c>
      <c r="J113" s="10">
        <f>-J85*J107</f>
        <v>-1319.1743867728428</v>
      </c>
      <c r="K113" s="10">
        <f>-K85*K107</f>
        <v>-1384.3772876255218</v>
      </c>
      <c r="L113" s="10">
        <f>-L85*L107</f>
        <v>-1386.9041828893191</v>
      </c>
      <c r="M113" s="10">
        <f>-M85*M107</f>
        <v>-1431.7728146333247</v>
      </c>
      <c r="N113" s="10">
        <f>-N85*N107</f>
        <v>-1463.4923074141184</v>
      </c>
      <c r="O113" s="10">
        <f>-O85*O107</f>
        <v>-1518.8743430286636</v>
      </c>
      <c r="P113" s="10">
        <f>-P85*P107</f>
        <v>-1612.6830194467418</v>
      </c>
      <c r="Q113" s="10">
        <f>-Q85*Q107</f>
        <v>-1732.8626200823433</v>
      </c>
      <c r="R113" s="10">
        <f>-R85*R107</f>
        <v>-1826.8452234170968</v>
      </c>
      <c r="S113" s="10">
        <f>-S85*S107</f>
        <v>-1888.5718793975934</v>
      </c>
    </row>
    <row r="114" spans="3:19" outlineLevel="1" x14ac:dyDescent="0.3">
      <c r="C114" s="16" t="s">
        <v>30</v>
      </c>
      <c r="E114" s="29">
        <v>-1334</v>
      </c>
      <c r="F114" s="29">
        <v>-1363</v>
      </c>
      <c r="G114" s="29">
        <v>-1240</v>
      </c>
      <c r="H114" s="29">
        <v>-1456</v>
      </c>
      <c r="I114" s="29">
        <v>-1508</v>
      </c>
      <c r="J114" s="10">
        <f>-J87*J107</f>
        <v>-1645.7327237567126</v>
      </c>
      <c r="K114" s="10">
        <f>-K87*K107</f>
        <v>-1727.0764404730651</v>
      </c>
      <c r="L114" s="10">
        <f>-L87*L107</f>
        <v>-1730.2288623718184</v>
      </c>
      <c r="M114" s="10">
        <f>-M87*M107</f>
        <v>-1786.2046122587926</v>
      </c>
      <c r="N114" s="10">
        <f>-N87*N107</f>
        <v>-1825.7761865508166</v>
      </c>
      <c r="O114" s="10">
        <f>-O87*O107</f>
        <v>-1894.8679072762977</v>
      </c>
      <c r="P114" s="10">
        <f>-P87*P107</f>
        <v>-2011.8986881203773</v>
      </c>
      <c r="Q114" s="10">
        <f>-Q87*Q107</f>
        <v>-2161.8284498540547</v>
      </c>
      <c r="R114" s="10">
        <f>-R87*R107</f>
        <v>-2279.0762127902558</v>
      </c>
      <c r="S114" s="10">
        <f>-S87*S107</f>
        <v>-2356.0831488661524</v>
      </c>
    </row>
    <row r="115" spans="3:19" outlineLevel="1" x14ac:dyDescent="0.3">
      <c r="C115" s="16" t="s">
        <v>31</v>
      </c>
      <c r="E115" s="29">
        <v>-1201</v>
      </c>
      <c r="F115" s="29">
        <v>-1219</v>
      </c>
      <c r="G115" s="29">
        <v>-1255</v>
      </c>
      <c r="H115" s="29">
        <v>-1272</v>
      </c>
      <c r="I115" s="29">
        <v>-1351</v>
      </c>
      <c r="J115" s="10">
        <f>-J89*J107</f>
        <v>-1496.7706147917204</v>
      </c>
      <c r="K115" s="10">
        <f t="shared" ref="K115:S115" si="59">-K89*K107</f>
        <v>-1570.7515736202313</v>
      </c>
      <c r="L115" s="10">
        <f t="shared" si="59"/>
        <v>-1573.6186567105578</v>
      </c>
      <c r="M115" s="10">
        <f t="shared" si="59"/>
        <v>-1624.5278088239722</v>
      </c>
      <c r="N115" s="10">
        <f t="shared" si="59"/>
        <v>-1660.5175954559993</v>
      </c>
      <c r="O115" s="10">
        <f t="shared" si="59"/>
        <v>-1723.355537373586</v>
      </c>
      <c r="P115" s="10">
        <f t="shared" si="59"/>
        <v>-1829.7933758299375</v>
      </c>
      <c r="Q115" s="10">
        <f t="shared" si="59"/>
        <v>-1966.1523716779577</v>
      </c>
      <c r="R115" s="10">
        <f t="shared" si="59"/>
        <v>-2072.787552275433</v>
      </c>
      <c r="S115" s="10">
        <f t="shared" si="59"/>
        <v>-2142.8242705041607</v>
      </c>
    </row>
    <row r="116" spans="3:19" outlineLevel="1" x14ac:dyDescent="0.3">
      <c r="C116" s="17" t="s">
        <v>32</v>
      </c>
      <c r="D116" s="13"/>
      <c r="E116" s="30">
        <v>-2852</v>
      </c>
      <c r="F116" s="30">
        <v>-3026</v>
      </c>
      <c r="G116" s="30">
        <v>-1926</v>
      </c>
      <c r="H116" s="30">
        <v>-2394</v>
      </c>
      <c r="I116" s="30">
        <v>-3735</v>
      </c>
      <c r="J116" s="24">
        <f>J91*J107</f>
        <v>-3517.3260655653326</v>
      </c>
      <c r="K116" s="24">
        <f>K91*K107</f>
        <v>-3691.177123483948</v>
      </c>
      <c r="L116" s="24">
        <f>L91*L107</f>
        <v>-3697.9146061590404</v>
      </c>
      <c r="M116" s="24">
        <f>M91*M107</f>
        <v>-3817.5482266582376</v>
      </c>
      <c r="N116" s="24">
        <f>N91*N107</f>
        <v>-3902.1221843268136</v>
      </c>
      <c r="O116" s="24">
        <f>O91*O107</f>
        <v>-4049.7877844053965</v>
      </c>
      <c r="P116" s="24">
        <f>P91*P107</f>
        <v>-4299.9106688776119</v>
      </c>
      <c r="Q116" s="24">
        <f>Q91*Q107</f>
        <v>-4620.3465764447155</v>
      </c>
      <c r="R116" s="24">
        <f>R91*R107</f>
        <v>-4870.9332037576514</v>
      </c>
      <c r="S116" s="24">
        <f>S91*S107</f>
        <v>-5035.515519937635</v>
      </c>
    </row>
    <row r="117" spans="3:19" s="2" customFormat="1" outlineLevel="1" x14ac:dyDescent="0.3">
      <c r="C117" s="2" t="s">
        <v>76</v>
      </c>
      <c r="E117" s="25">
        <f>SUM(E111:E116)+E107</f>
        <v>3206</v>
      </c>
      <c r="F117" s="25">
        <f>SUM(F111:F116)+F107</f>
        <v>2957</v>
      </c>
      <c r="G117" s="25">
        <f>SUM(G111:G116)+G107</f>
        <v>-3816</v>
      </c>
      <c r="H117" s="25">
        <f>SUM(H111:H116)+H107</f>
        <v>1721</v>
      </c>
      <c r="I117" s="25">
        <f>SUM(I111:I116)+I107</f>
        <v>1017</v>
      </c>
      <c r="J117" s="25">
        <f>SUM(J111:J116)+J107</f>
        <v>2012.4984246608219</v>
      </c>
      <c r="K117" s="25">
        <f>SUM(K111:K116)+K107</f>
        <v>3225.7172251984121</v>
      </c>
      <c r="L117" s="25">
        <f>SUM(L111:L116)+L107</f>
        <v>3221.7939614264214</v>
      </c>
      <c r="M117" s="25">
        <f>SUM(M111:M116)+M107</f>
        <v>3147.9313933630801</v>
      </c>
      <c r="N117" s="25">
        <f>SUM(N111:N116)+N107</f>
        <v>3033.92970372735</v>
      </c>
      <c r="O117" s="25">
        <f>SUM(O111:O116)+O107</f>
        <v>3205.4568579386287</v>
      </c>
      <c r="P117" s="25">
        <f>SUM(P111:P116)+P107</f>
        <v>3463.1479882329259</v>
      </c>
      <c r="Q117" s="25">
        <f>SUM(Q111:Q116)+Q107</f>
        <v>3784.6493710766226</v>
      </c>
      <c r="R117" s="25">
        <f>SUM(R111:R116)+R107</f>
        <v>4056.3071151433833</v>
      </c>
      <c r="S117" s="25">
        <f>SUM(S111:S116)+S107</f>
        <v>4261.4130457888386</v>
      </c>
    </row>
    <row r="118" spans="3:19" outlineLevel="1" x14ac:dyDescent="0.3">
      <c r="C118" s="71" t="s">
        <v>84</v>
      </c>
      <c r="E118" s="68">
        <f>E117/E107</f>
        <v>0.14595948099248804</v>
      </c>
      <c r="F118" s="68">
        <f>F117/F107</f>
        <v>0.13184412341715712</v>
      </c>
      <c r="G118" s="68">
        <f>G117/G107</f>
        <v>-0.4217506631299735</v>
      </c>
      <c r="H118" s="68">
        <f>H117/H107</f>
        <v>0.10899303356554782</v>
      </c>
      <c r="I118" s="68">
        <f>I117/I107</f>
        <v>4.2705971277399848E-2</v>
      </c>
      <c r="J118" s="68">
        <f>J117/J107</f>
        <v>7.4291860096542664E-2</v>
      </c>
      <c r="K118" s="68">
        <f>K117/K107</f>
        <v>0.11346965157951588</v>
      </c>
      <c r="L118" s="68">
        <f>L117/L107</f>
        <v>0.11312515798832744</v>
      </c>
      <c r="M118" s="68">
        <f>M117/M107</f>
        <v>0.10706783971898298</v>
      </c>
      <c r="N118" s="68">
        <f>N117/N107</f>
        <v>0.10095386802737902</v>
      </c>
      <c r="O118" s="68">
        <f>O117/O107</f>
        <v>0.10277227815135451</v>
      </c>
      <c r="P118" s="68">
        <f>P117/P107</f>
        <v>0.10457549543508514</v>
      </c>
      <c r="Q118" s="68">
        <f>Q117/Q107</f>
        <v>0.10635781592663508</v>
      </c>
      <c r="R118" s="68">
        <f>R117/R107</f>
        <v>0.10812770092218177</v>
      </c>
      <c r="S118" s="68">
        <f>S117/S107</f>
        <v>0.10988236693338463</v>
      </c>
    </row>
    <row r="119" spans="3:19" s="2" customFormat="1" outlineLevel="1" x14ac:dyDescent="0.3"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</row>
    <row r="120" spans="3:19" outlineLevel="1" x14ac:dyDescent="0.3">
      <c r="C120" s="16" t="s">
        <v>77</v>
      </c>
      <c r="E120" s="10">
        <f>-E117*Tax_Rate</f>
        <v>-737.38</v>
      </c>
      <c r="F120" s="10">
        <f>-F117*Tax_Rate</f>
        <v>-680.11</v>
      </c>
      <c r="G120" s="10">
        <f>-G117*Tax_Rate</f>
        <v>877.68000000000006</v>
      </c>
      <c r="H120" s="10">
        <f>-H117*Tax_Rate</f>
        <v>-395.83000000000004</v>
      </c>
      <c r="I120" s="10">
        <f>-I117*Tax_Rate</f>
        <v>-233.91</v>
      </c>
      <c r="J120" s="69">
        <f>-J117*Tax_Rate</f>
        <v>-462.87463767198903</v>
      </c>
      <c r="K120" s="69">
        <f>-K117*Tax_Rate</f>
        <v>-741.91496179563478</v>
      </c>
      <c r="L120" s="69">
        <f>-L117*Tax_Rate</f>
        <v>-741.01261112807697</v>
      </c>
      <c r="M120" s="69">
        <f>-M117*Tax_Rate</f>
        <v>-724.02422047350842</v>
      </c>
      <c r="N120" s="69">
        <f>-N117*Tax_Rate</f>
        <v>-697.80383185729056</v>
      </c>
      <c r="O120" s="69">
        <f>-O117*Tax_Rate</f>
        <v>-737.2550773258846</v>
      </c>
      <c r="P120" s="69">
        <f>-P117*Tax_Rate</f>
        <v>-796.52403729357297</v>
      </c>
      <c r="Q120" s="69">
        <f>-Q117*Tax_Rate</f>
        <v>-870.46935534762326</v>
      </c>
      <c r="R120" s="69">
        <f>-R117*Tax_Rate</f>
        <v>-932.95063648297821</v>
      </c>
      <c r="S120" s="69">
        <f>-S117*Tax_Rate</f>
        <v>-980.12500053143287</v>
      </c>
    </row>
    <row r="121" spans="3:19" outlineLevel="1" x14ac:dyDescent="0.3">
      <c r="C121" s="2" t="s">
        <v>35</v>
      </c>
      <c r="E121" s="25">
        <f>E120+E117</f>
        <v>2468.62</v>
      </c>
      <c r="F121" s="25">
        <f>F120+F117</f>
        <v>2276.89</v>
      </c>
      <c r="G121" s="25">
        <f>G120+G117</f>
        <v>-2938.3199999999997</v>
      </c>
      <c r="H121" s="25">
        <f>H120+H117</f>
        <v>1325.17</v>
      </c>
      <c r="I121" s="25">
        <f>I120+I117</f>
        <v>783.09</v>
      </c>
      <c r="J121" s="25">
        <f>J120+J117</f>
        <v>1549.6237869888328</v>
      </c>
      <c r="K121" s="25">
        <f>K120+K117</f>
        <v>2483.8022634027775</v>
      </c>
      <c r="L121" s="25">
        <f>L120+L117</f>
        <v>2480.7813502983445</v>
      </c>
      <c r="M121" s="25">
        <f>M120+M117</f>
        <v>2423.9071728895715</v>
      </c>
      <c r="N121" s="25">
        <f>N120+N117</f>
        <v>2336.1258718700592</v>
      </c>
      <c r="O121" s="25">
        <f>O120+O117</f>
        <v>2468.2017806127442</v>
      </c>
      <c r="P121" s="25">
        <f>P120+P117</f>
        <v>2666.6239509393527</v>
      </c>
      <c r="Q121" s="25">
        <f>Q120+Q117</f>
        <v>2914.1800157289995</v>
      </c>
      <c r="R121" s="25">
        <f>R120+R117</f>
        <v>3123.3564786604052</v>
      </c>
      <c r="S121" s="25">
        <f>S120+S117</f>
        <v>3281.2880452574059</v>
      </c>
    </row>
    <row r="122" spans="3:19" outlineLevel="1" x14ac:dyDescent="0.3"/>
    <row r="123" spans="3:19" outlineLevel="1" x14ac:dyDescent="0.3">
      <c r="C123" s="2" t="s">
        <v>36</v>
      </c>
    </row>
    <row r="124" spans="3:19" outlineLevel="1" x14ac:dyDescent="0.3">
      <c r="C124" s="16" t="s">
        <v>37</v>
      </c>
      <c r="E124" s="29">
        <v>1201</v>
      </c>
      <c r="F124" s="29">
        <v>1219</v>
      </c>
      <c r="G124" s="29">
        <v>1255</v>
      </c>
      <c r="H124" s="29">
        <v>1272</v>
      </c>
      <c r="I124" s="29">
        <v>1351</v>
      </c>
      <c r="J124" s="10">
        <f>-J115</f>
        <v>1496.7706147917204</v>
      </c>
      <c r="K124" s="10">
        <f t="shared" ref="K124:S124" si="60">-K115</f>
        <v>1570.7515736202313</v>
      </c>
      <c r="L124" s="10">
        <f t="shared" si="60"/>
        <v>1573.6186567105578</v>
      </c>
      <c r="M124" s="10">
        <f t="shared" si="60"/>
        <v>1624.5278088239722</v>
      </c>
      <c r="N124" s="10">
        <f t="shared" si="60"/>
        <v>1660.5175954559993</v>
      </c>
      <c r="O124" s="10">
        <f t="shared" si="60"/>
        <v>1723.355537373586</v>
      </c>
      <c r="P124" s="10">
        <f t="shared" si="60"/>
        <v>1829.7933758299375</v>
      </c>
      <c r="Q124" s="10">
        <f t="shared" si="60"/>
        <v>1966.1523716779577</v>
      </c>
      <c r="R124" s="10">
        <f t="shared" si="60"/>
        <v>2072.787552275433</v>
      </c>
      <c r="S124" s="10">
        <f t="shared" si="60"/>
        <v>2142.8242705041607</v>
      </c>
    </row>
    <row r="125" spans="3:19" outlineLevel="1" x14ac:dyDescent="0.3">
      <c r="C125" s="16" t="s">
        <v>38</v>
      </c>
      <c r="E125" s="29">
        <v>0</v>
      </c>
      <c r="F125" s="29">
        <v>0</v>
      </c>
      <c r="G125" s="29">
        <v>32</v>
      </c>
      <c r="H125" s="29">
        <v>12</v>
      </c>
      <c r="I125" s="29">
        <v>35</v>
      </c>
      <c r="J125" s="55">
        <v>0</v>
      </c>
      <c r="K125" s="55">
        <v>0</v>
      </c>
      <c r="L125" s="55">
        <v>0</v>
      </c>
      <c r="M125" s="55">
        <v>0</v>
      </c>
      <c r="N125" s="55">
        <v>0</v>
      </c>
      <c r="O125" s="55">
        <v>0</v>
      </c>
      <c r="P125" s="55">
        <v>0</v>
      </c>
      <c r="Q125" s="55">
        <v>0</v>
      </c>
      <c r="R125" s="55">
        <v>0</v>
      </c>
      <c r="S125" s="55">
        <v>0</v>
      </c>
    </row>
    <row r="126" spans="3:19" outlineLevel="1" x14ac:dyDescent="0.3">
      <c r="C126" s="16" t="s">
        <v>39</v>
      </c>
      <c r="E126" s="29">
        <v>301</v>
      </c>
      <c r="F126" s="29">
        <v>-55</v>
      </c>
      <c r="G126" s="29">
        <v>-716</v>
      </c>
      <c r="H126" s="29">
        <v>-21</v>
      </c>
      <c r="I126" s="29">
        <v>228</v>
      </c>
      <c r="J126" s="10">
        <f>J120*J100</f>
        <v>191.14876684926904</v>
      </c>
      <c r="K126" s="10">
        <f>K120*K100</f>
        <v>306.38129314562826</v>
      </c>
      <c r="L126" s="10">
        <f>L120*L100</f>
        <v>306.00865830385601</v>
      </c>
      <c r="M126" s="10">
        <f>M120*M100</f>
        <v>298.99313042635845</v>
      </c>
      <c r="N126" s="10">
        <f>N120*N100</f>
        <v>288.16515554420391</v>
      </c>
      <c r="O126" s="10">
        <f>O120*O100</f>
        <v>304.45694668643853</v>
      </c>
      <c r="P126" s="10">
        <f>P120*P100</f>
        <v>328.93266362621745</v>
      </c>
      <c r="Q126" s="10">
        <f>Q120*Q100</f>
        <v>359.46913119203168</v>
      </c>
      <c r="R126" s="10">
        <f>R120*R100</f>
        <v>385.27140867315177</v>
      </c>
      <c r="S126" s="10">
        <f>S120*S100</f>
        <v>404.75253980643851</v>
      </c>
    </row>
    <row r="127" spans="3:19" outlineLevel="1" x14ac:dyDescent="0.3">
      <c r="E127" s="10"/>
      <c r="F127" s="10"/>
      <c r="G127" s="10"/>
      <c r="H127" s="10"/>
      <c r="I127" s="10"/>
    </row>
    <row r="128" spans="3:19" outlineLevel="1" x14ac:dyDescent="0.3">
      <c r="C128" s="2" t="s">
        <v>40</v>
      </c>
      <c r="E128" s="10"/>
      <c r="F128" s="10"/>
      <c r="G128" s="10"/>
      <c r="H128" s="10"/>
      <c r="I128" s="10"/>
    </row>
    <row r="129" spans="3:19" outlineLevel="1" x14ac:dyDescent="0.3">
      <c r="C129" s="16" t="s">
        <v>41</v>
      </c>
      <c r="E129" s="29">
        <v>117</v>
      </c>
      <c r="F129" s="29">
        <v>-94</v>
      </c>
      <c r="G129" s="29">
        <v>-294</v>
      </c>
      <c r="H129" s="29">
        <v>-701</v>
      </c>
      <c r="I129" s="29">
        <v>422</v>
      </c>
      <c r="J129" s="69">
        <f>J93*J$107</f>
        <v>170.26514021949993</v>
      </c>
      <c r="K129" s="69">
        <f>K93*K$107</f>
        <v>178.6808441383414</v>
      </c>
      <c r="L129" s="69">
        <f>L93*L$107</f>
        <v>179.0069891732393</v>
      </c>
      <c r="M129" s="69">
        <f>M93*M$107</f>
        <v>184.79815973563876</v>
      </c>
      <c r="N129" s="69">
        <f>N93*N$107</f>
        <v>188.89217788832991</v>
      </c>
      <c r="O129" s="69">
        <f>O93*O$107</f>
        <v>196.04030792640626</v>
      </c>
      <c r="P129" s="69">
        <f>P93*P$107</f>
        <v>208.14814416419406</v>
      </c>
      <c r="Q129" s="69">
        <f>Q93*Q$107</f>
        <v>223.6596616397587</v>
      </c>
      <c r="R129" s="69">
        <f>R93*R$107</f>
        <v>235.78994653266949</v>
      </c>
      <c r="S129" s="69">
        <f>S93*S$107</f>
        <v>243.75697336489213</v>
      </c>
    </row>
    <row r="130" spans="3:19" outlineLevel="1" x14ac:dyDescent="0.3">
      <c r="C130" s="16" t="s">
        <v>42</v>
      </c>
      <c r="E130" s="29">
        <v>-227</v>
      </c>
      <c r="F130" s="29">
        <v>239</v>
      </c>
      <c r="G130" s="29">
        <v>415</v>
      </c>
      <c r="H130" s="29">
        <v>75</v>
      </c>
      <c r="I130" s="29">
        <v>-66</v>
      </c>
      <c r="J130" s="69">
        <f>J94*J$107</f>
        <v>15.576642393645045</v>
      </c>
      <c r="K130" s="69">
        <f>K94*K$107</f>
        <v>16.346549905338843</v>
      </c>
      <c r="L130" s="69">
        <f>L94*L$107</f>
        <v>16.376387161341562</v>
      </c>
      <c r="M130" s="69">
        <f>M94*M$107</f>
        <v>16.90619022481544</v>
      </c>
      <c r="N130" s="69">
        <f>N94*N$107</f>
        <v>17.28072993761484</v>
      </c>
      <c r="O130" s="69">
        <f>O94*O$107</f>
        <v>17.93467392898528</v>
      </c>
      <c r="P130" s="69">
        <f>P94*P$107</f>
        <v>19.042354778944947</v>
      </c>
      <c r="Q130" s="69">
        <f>Q94*Q$107</f>
        <v>20.461420128365042</v>
      </c>
      <c r="R130" s="69">
        <f>R94*R$107</f>
        <v>21.571154685105896</v>
      </c>
      <c r="S130" s="69">
        <f>S94*S$107</f>
        <v>22.300015142073903</v>
      </c>
    </row>
    <row r="131" spans="3:19" outlineLevel="1" x14ac:dyDescent="0.3">
      <c r="C131" s="16" t="s">
        <v>43</v>
      </c>
      <c r="E131" s="29">
        <v>545</v>
      </c>
      <c r="F131" s="29">
        <v>298</v>
      </c>
      <c r="G131" s="29">
        <v>231</v>
      </c>
      <c r="H131" s="29">
        <v>38</v>
      </c>
      <c r="I131" s="29">
        <v>936</v>
      </c>
      <c r="J131" s="69">
        <f>J95*J$107</f>
        <v>570.71750476507407</v>
      </c>
      <c r="K131" s="69">
        <f>K95*K$107</f>
        <v>598.92638848144145</v>
      </c>
      <c r="L131" s="69">
        <f>L95*L$107</f>
        <v>600.01960509799903</v>
      </c>
      <c r="M131" s="69">
        <f>M95*M$107</f>
        <v>619.4312263422579</v>
      </c>
      <c r="N131" s="69">
        <f>N95*N$107</f>
        <v>633.15410479849754</v>
      </c>
      <c r="O131" s="69">
        <f>O95*O$107</f>
        <v>657.1141645841235</v>
      </c>
      <c r="P131" s="69">
        <f>P95*P$107</f>
        <v>697.69883198477919</v>
      </c>
      <c r="Q131" s="69">
        <f>Q95*Q$107</f>
        <v>749.69241409654626</v>
      </c>
      <c r="R131" s="69">
        <f>R95*R$107</f>
        <v>790.35232790654084</v>
      </c>
      <c r="S131" s="69">
        <f>S95*S$107</f>
        <v>817.05727566167593</v>
      </c>
    </row>
    <row r="132" spans="3:19" outlineLevel="1" x14ac:dyDescent="0.3">
      <c r="C132" s="16" t="s">
        <v>44</v>
      </c>
      <c r="E132" s="29">
        <v>506</v>
      </c>
      <c r="F132" s="29">
        <v>440</v>
      </c>
      <c r="G132" s="29">
        <v>1623</v>
      </c>
      <c r="H132" s="29">
        <v>591</v>
      </c>
      <c r="I132" s="29">
        <v>525</v>
      </c>
      <c r="J132" s="69">
        <f>J96*J$107</f>
        <v>691.64926386878801</v>
      </c>
      <c r="K132" s="69">
        <f>K96*K$107</f>
        <v>725.83544791621273</v>
      </c>
      <c r="L132" s="69">
        <f>L96*L$107</f>
        <v>727.16031085063833</v>
      </c>
      <c r="M132" s="69">
        <f>M96*M$107</f>
        <v>750.68514306972008</v>
      </c>
      <c r="N132" s="69">
        <f>N96*N$107</f>
        <v>767.31582059962341</v>
      </c>
      <c r="O132" s="69">
        <f>O96*O$107</f>
        <v>796.35287934517908</v>
      </c>
      <c r="P132" s="69">
        <f>P96*P$107</f>
        <v>845.53720451070512</v>
      </c>
      <c r="Q132" s="69">
        <f>Q96*Q$107</f>
        <v>908.54792784274639</v>
      </c>
      <c r="R132" s="69">
        <f>R96*R$107</f>
        <v>957.82344369927728</v>
      </c>
      <c r="S132" s="69">
        <f>S96*S$107</f>
        <v>990.1870163990435</v>
      </c>
    </row>
    <row r="133" spans="3:19" outlineLevel="1" x14ac:dyDescent="0.3">
      <c r="C133" s="17" t="s">
        <v>45</v>
      </c>
      <c r="D133" s="13"/>
      <c r="E133" s="30">
        <v>0</v>
      </c>
      <c r="F133" s="30">
        <v>-277</v>
      </c>
      <c r="G133" s="30">
        <v>-306</v>
      </c>
      <c r="H133" s="30">
        <v>-103</v>
      </c>
      <c r="I133" s="30">
        <v>-334</v>
      </c>
      <c r="J133" s="102">
        <f>J97*J$107</f>
        <v>-361.46991287254895</v>
      </c>
      <c r="K133" s="102">
        <f>K97*K$107</f>
        <v>-379.33630500885545</v>
      </c>
      <c r="L133" s="102">
        <f>L97*L$107</f>
        <v>-380.02870521007327</v>
      </c>
      <c r="M133" s="102">
        <f>M97*M$107</f>
        <v>-392.32325896266144</v>
      </c>
      <c r="N133" s="102">
        <f>N97*N$107</f>
        <v>-401.01478785133531</v>
      </c>
      <c r="O133" s="102">
        <f>O97*O$107</f>
        <v>-416.19014282261202</v>
      </c>
      <c r="P133" s="102">
        <f>P97*P$107</f>
        <v>-441.89486725596385</v>
      </c>
      <c r="Q133" s="102">
        <f>Q97*Q$107</f>
        <v>-474.8255473892259</v>
      </c>
      <c r="R133" s="102">
        <f>R97*R$107</f>
        <v>-500.57792992452943</v>
      </c>
      <c r="S133" s="102">
        <f>S97*S$107</f>
        <v>-517.49178845825031</v>
      </c>
    </row>
    <row r="134" spans="3:19" s="2" customFormat="1" outlineLevel="1" x14ac:dyDescent="0.3">
      <c r="C134" s="2" t="s">
        <v>47</v>
      </c>
      <c r="E134" s="25">
        <f>SUM(E129:E133)</f>
        <v>941</v>
      </c>
      <c r="F134" s="25">
        <f t="shared" ref="F134:I134" si="61">SUM(F129:F133)</f>
        <v>606</v>
      </c>
      <c r="G134" s="25">
        <f t="shared" si="61"/>
        <v>1669</v>
      </c>
      <c r="H134" s="25">
        <f t="shared" si="61"/>
        <v>-100</v>
      </c>
      <c r="I134" s="25">
        <f t="shared" si="61"/>
        <v>1483</v>
      </c>
      <c r="J134" s="70">
        <f>SUM(J129:J133)</f>
        <v>1086.7386383744581</v>
      </c>
      <c r="K134" s="70">
        <f t="shared" ref="K134:S134" si="62">SUM(K129:K133)</f>
        <v>1140.4529254324789</v>
      </c>
      <c r="L134" s="70">
        <f t="shared" si="62"/>
        <v>1142.5345870731451</v>
      </c>
      <c r="M134" s="70">
        <f t="shared" si="62"/>
        <v>1179.4974604097708</v>
      </c>
      <c r="N134" s="70">
        <f t="shared" si="62"/>
        <v>1205.6280453727304</v>
      </c>
      <c r="O134" s="70">
        <f t="shared" si="62"/>
        <v>1251.2518829620822</v>
      </c>
      <c r="P134" s="70">
        <f t="shared" si="62"/>
        <v>1328.5316681826596</v>
      </c>
      <c r="Q134" s="70">
        <f t="shared" si="62"/>
        <v>1427.5358763181905</v>
      </c>
      <c r="R134" s="70">
        <f t="shared" si="62"/>
        <v>1504.9589428990641</v>
      </c>
      <c r="S134" s="70">
        <f t="shared" si="62"/>
        <v>1555.809492109435</v>
      </c>
    </row>
    <row r="135" spans="3:19" outlineLevel="1" x14ac:dyDescent="0.3"/>
    <row r="136" spans="3:19" s="2" customFormat="1" outlineLevel="1" x14ac:dyDescent="0.3">
      <c r="C136" s="2" t="s">
        <v>46</v>
      </c>
      <c r="E136" s="31">
        <v>-1922</v>
      </c>
      <c r="F136" s="31">
        <v>-1027</v>
      </c>
      <c r="G136" s="31">
        <v>-515</v>
      </c>
      <c r="H136" s="31">
        <v>-505</v>
      </c>
      <c r="I136" s="31">
        <v>-3924</v>
      </c>
      <c r="J136" s="70">
        <f>-J99*J107</f>
        <v>-1805.4037443355589</v>
      </c>
      <c r="K136" s="70">
        <f>-K99*K107</f>
        <v>-1894.6395288696604</v>
      </c>
      <c r="L136" s="70">
        <f>-L99*L107</f>
        <v>-1898.097802632816</v>
      </c>
      <c r="M136" s="70">
        <f>-M99*M107</f>
        <v>-1959.5043888780281</v>
      </c>
      <c r="N136" s="70">
        <f>-N99*N107</f>
        <v>-2002.9152461604856</v>
      </c>
      <c r="O136" s="70">
        <f>-O99*O107</f>
        <v>-2078.7103309271238</v>
      </c>
      <c r="P136" s="70">
        <f>-P99*P107</f>
        <v>-2207.0955826076693</v>
      </c>
      <c r="Q136" s="70">
        <f>-Q99*Q107</f>
        <v>-2371.5717149187717</v>
      </c>
      <c r="R136" s="70">
        <f>-R99*R107</f>
        <v>-2500.1950005618892</v>
      </c>
      <c r="S136" s="70">
        <f>-S99*S107</f>
        <v>-2584.6732446438759</v>
      </c>
    </row>
    <row r="137" spans="3:19" outlineLevel="1" x14ac:dyDescent="0.3"/>
    <row r="138" spans="3:19" s="2" customFormat="1" outlineLevel="1" x14ac:dyDescent="0.3">
      <c r="C138" s="32" t="s">
        <v>106</v>
      </c>
      <c r="D138" s="32"/>
      <c r="E138" s="33">
        <f>E136+SUM(E124:E126)+E121</f>
        <v>2048.62</v>
      </c>
      <c r="F138" s="33">
        <f t="shared" ref="F138:S138" si="63">F136+SUM(F124:F126)+F121</f>
        <v>2413.89</v>
      </c>
      <c r="G138" s="33">
        <f t="shared" si="63"/>
        <v>-2882.3199999999997</v>
      </c>
      <c r="H138" s="33">
        <f t="shared" si="63"/>
        <v>2083.17</v>
      </c>
      <c r="I138" s="33">
        <f t="shared" si="63"/>
        <v>-1526.9099999999999</v>
      </c>
      <c r="J138" s="33">
        <f t="shared" si="63"/>
        <v>1432.1394242942633</v>
      </c>
      <c r="K138" s="33">
        <f t="shared" si="63"/>
        <v>2466.2956012989766</v>
      </c>
      <c r="L138" s="33">
        <f t="shared" si="63"/>
        <v>2462.3108626799421</v>
      </c>
      <c r="M138" s="33">
        <f t="shared" si="63"/>
        <v>2387.9237232618743</v>
      </c>
      <c r="N138" s="33">
        <f t="shared" si="63"/>
        <v>2281.8933767097769</v>
      </c>
      <c r="O138" s="33">
        <f t="shared" si="63"/>
        <v>2417.3039337456448</v>
      </c>
      <c r="P138" s="33">
        <f t="shared" si="63"/>
        <v>2618.2544077878383</v>
      </c>
      <c r="Q138" s="33">
        <f t="shared" si="63"/>
        <v>2868.2298036802172</v>
      </c>
      <c r="R138" s="33">
        <f t="shared" si="63"/>
        <v>3081.2204390471006</v>
      </c>
      <c r="S138" s="33">
        <f t="shared" si="63"/>
        <v>3244.1916109241292</v>
      </c>
    </row>
    <row r="139" spans="3:19" outlineLevel="1" x14ac:dyDescent="0.3"/>
    <row r="140" spans="3:19" s="2" customFormat="1" outlineLevel="1" x14ac:dyDescent="0.3">
      <c r="C140" s="34" t="s">
        <v>48</v>
      </c>
      <c r="D140" s="34"/>
      <c r="E140" s="35">
        <f>E117+E124+E125</f>
        <v>4407</v>
      </c>
      <c r="F140" s="35">
        <f>F117+F124+F125</f>
        <v>4176</v>
      </c>
      <c r="G140" s="35">
        <f>G117+G124+G125</f>
        <v>-2529</v>
      </c>
      <c r="H140" s="35">
        <f>H117+H124+H125</f>
        <v>3005</v>
      </c>
      <c r="I140" s="35">
        <f>I117+I124+I125</f>
        <v>2403</v>
      </c>
      <c r="J140" s="35">
        <f>J117+J124+J125</f>
        <v>3509.2690394525425</v>
      </c>
      <c r="K140" s="35">
        <f>K117+K124+K125</f>
        <v>4796.4687988186433</v>
      </c>
      <c r="L140" s="35">
        <f>L117+L124+L125</f>
        <v>4795.4126181369793</v>
      </c>
      <c r="M140" s="35">
        <f>M117+M124+M125</f>
        <v>4772.4592021870521</v>
      </c>
      <c r="N140" s="35">
        <f>N117+N124+N125</f>
        <v>4694.4472991833491</v>
      </c>
      <c r="O140" s="35">
        <f>O117+O124+O125</f>
        <v>4928.8123953122149</v>
      </c>
      <c r="P140" s="35">
        <f>P117+P124+P125</f>
        <v>5292.9413640628636</v>
      </c>
      <c r="Q140" s="35">
        <f>Q117+Q124+Q125</f>
        <v>5750.8017427545801</v>
      </c>
      <c r="R140" s="35">
        <f>R117+R124+R125</f>
        <v>6129.0946674188162</v>
      </c>
      <c r="S140" s="35">
        <f>S117+S124+S125</f>
        <v>6404.2373162929998</v>
      </c>
    </row>
    <row r="141" spans="3:19" outlineLevel="1" x14ac:dyDescent="0.3"/>
    <row r="142" spans="3:19" outlineLevel="1" x14ac:dyDescent="0.3">
      <c r="C142" s="1" t="s">
        <v>103</v>
      </c>
      <c r="J142" s="80">
        <f>_xlfn.DAYS(J103,$D$10)/2/365</f>
        <v>0.18082191780821918</v>
      </c>
      <c r="K142" s="80">
        <f>(_xlfn.DAYS(J103,D10))/365+0.5</f>
        <v>0.86164383561643842</v>
      </c>
      <c r="L142" s="80">
        <f>K142+1</f>
        <v>1.8616438356164384</v>
      </c>
      <c r="M142" s="80">
        <f t="shared" ref="M142:S142" si="64">L142+1</f>
        <v>2.8616438356164382</v>
      </c>
      <c r="N142" s="80">
        <f t="shared" si="64"/>
        <v>3.8616438356164382</v>
      </c>
      <c r="O142" s="80">
        <f t="shared" si="64"/>
        <v>4.8616438356164382</v>
      </c>
      <c r="P142" s="80">
        <f t="shared" si="64"/>
        <v>5.8616438356164382</v>
      </c>
      <c r="Q142" s="80">
        <f t="shared" si="64"/>
        <v>6.8616438356164382</v>
      </c>
      <c r="R142" s="80">
        <f t="shared" si="64"/>
        <v>7.8616438356164382</v>
      </c>
      <c r="S142" s="80">
        <f t="shared" si="64"/>
        <v>8.8616438356164373</v>
      </c>
    </row>
    <row r="143" spans="3:19" outlineLevel="1" x14ac:dyDescent="0.3">
      <c r="C143" s="1" t="s">
        <v>104</v>
      </c>
      <c r="J143" s="80">
        <f>1/(1+Southwest_WACC)^J142</f>
        <v>0.97960548835107075</v>
      </c>
      <c r="K143" s="80">
        <f>1/(1+Southwest_WACC)^K142</f>
        <v>0.90647881347514048</v>
      </c>
      <c r="L143" s="80">
        <f>1/(1+Southwest_WACC)^L142</f>
        <v>0.80885027158252332</v>
      </c>
      <c r="M143" s="80">
        <f>1/(1+Southwest_WACC)^M142</f>
        <v>0.72173640697788233</v>
      </c>
      <c r="N143" s="80">
        <f>1/(1+Southwest_WACC)^N142</f>
        <v>0.64400477994300565</v>
      </c>
      <c r="O143" s="80">
        <f>1/(1+Southwest_WACC)^O142</f>
        <v>0.57464491548387275</v>
      </c>
      <c r="P143" s="80">
        <f>1/(1+Southwest_WACC)^P142</f>
        <v>0.51275516762576112</v>
      </c>
      <c r="Q143" s="80">
        <f>1/(1+Southwest_WACC)^Q142</f>
        <v>0.45753099843498235</v>
      </c>
      <c r="R143" s="80">
        <f>1/(1+Southwest_WACC)^R142</f>
        <v>0.40825451939998114</v>
      </c>
      <c r="S143" s="80">
        <f>1/(1+Southwest_WACC)^S142</f>
        <v>0.36428515921461552</v>
      </c>
    </row>
    <row r="144" spans="3:19" outlineLevel="1" x14ac:dyDescent="0.3">
      <c r="C144" s="1" t="s">
        <v>105</v>
      </c>
      <c r="I144" s="49">
        <f>SUMPRODUCT(J138:S138,J143:S143)</f>
        <v>15306.870855845793</v>
      </c>
    </row>
    <row r="146" spans="2:19" x14ac:dyDescent="0.3">
      <c r="B146" s="4" t="s">
        <v>120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</row>
    <row r="147" spans="2:19" outlineLevel="1" x14ac:dyDescent="0.3">
      <c r="C147" s="2" t="s">
        <v>121</v>
      </c>
    </row>
    <row r="148" spans="2:19" outlineLevel="1" x14ac:dyDescent="0.3"/>
    <row r="149" spans="2:19" outlineLevel="1" x14ac:dyDescent="0.3">
      <c r="C149" s="82"/>
      <c r="D149" s="83" t="s">
        <v>122</v>
      </c>
      <c r="E149" s="83"/>
      <c r="F149" s="83"/>
      <c r="G149" s="83"/>
      <c r="H149" s="83"/>
      <c r="I149" s="83"/>
      <c r="J149" s="83"/>
      <c r="K149" s="83"/>
      <c r="L149" s="83"/>
      <c r="M149" s="83"/>
      <c r="N149" s="83"/>
    </row>
    <row r="150" spans="2:19" outlineLevel="1" x14ac:dyDescent="0.3">
      <c r="C150" s="86" t="s">
        <v>123</v>
      </c>
      <c r="D150" s="87">
        <f>I19</f>
        <v>55.036719381186295</v>
      </c>
      <c r="E150" s="84">
        <v>5</v>
      </c>
      <c r="F150" s="84">
        <f>E150+0.5</f>
        <v>5.5</v>
      </c>
      <c r="G150" s="84">
        <f t="shared" ref="G150:N150" si="65">F150+0.5</f>
        <v>6</v>
      </c>
      <c r="H150" s="84">
        <f t="shared" si="65"/>
        <v>6.5</v>
      </c>
      <c r="I150" s="84">
        <f t="shared" si="65"/>
        <v>7</v>
      </c>
      <c r="J150" s="84">
        <f t="shared" si="65"/>
        <v>7.5</v>
      </c>
      <c r="K150" s="84">
        <f t="shared" si="65"/>
        <v>8</v>
      </c>
      <c r="L150" s="84">
        <f t="shared" si="65"/>
        <v>8.5</v>
      </c>
      <c r="M150" s="84">
        <f t="shared" si="65"/>
        <v>9</v>
      </c>
      <c r="N150" s="84">
        <f t="shared" si="65"/>
        <v>9.5</v>
      </c>
    </row>
    <row r="151" spans="2:19" outlineLevel="1" x14ac:dyDescent="0.3">
      <c r="C151" s="86"/>
      <c r="D151" s="85">
        <v>0.09</v>
      </c>
      <c r="E151" s="27">
        <f t="dataTable" ref="E151:N156" dt2D="1" dtr="1" r1="I5" r2="D36"/>
        <v>57.148041155500628</v>
      </c>
      <c r="F151" s="27">
        <v>59.482984075300486</v>
      </c>
      <c r="G151" s="27">
        <v>61.817926995100322</v>
      </c>
      <c r="H151" s="27">
        <v>64.15286991490018</v>
      </c>
      <c r="I151" s="27">
        <v>66.487812834700037</v>
      </c>
      <c r="J151" s="27">
        <v>68.822755754499894</v>
      </c>
      <c r="K151" s="27">
        <v>71.157698674299738</v>
      </c>
      <c r="L151" s="27">
        <v>73.492641594099581</v>
      </c>
      <c r="M151" s="27">
        <v>75.827584513899438</v>
      </c>
      <c r="N151" s="27">
        <v>78.162527433699282</v>
      </c>
    </row>
    <row r="152" spans="2:19" outlineLevel="1" x14ac:dyDescent="0.3">
      <c r="C152" s="86"/>
      <c r="D152" s="85">
        <f>D151+1%</f>
        <v>9.9999999999999992E-2</v>
      </c>
      <c r="E152" s="27">
        <v>54.340306937071482</v>
      </c>
      <c r="F152" s="27">
        <v>56.493729849947314</v>
      </c>
      <c r="G152" s="27">
        <v>58.647152762823147</v>
      </c>
      <c r="H152" s="27">
        <v>60.800575675698965</v>
      </c>
      <c r="I152" s="27">
        <v>62.953998588574798</v>
      </c>
      <c r="J152" s="27">
        <v>65.107421501450631</v>
      </c>
      <c r="K152" s="27">
        <v>67.260844414326456</v>
      </c>
      <c r="L152" s="27">
        <v>69.414267327202296</v>
      </c>
      <c r="M152" s="27">
        <v>71.567690240078122</v>
      </c>
      <c r="N152" s="27">
        <v>73.721113152953961</v>
      </c>
    </row>
    <row r="153" spans="2:19" outlineLevel="1" x14ac:dyDescent="0.3">
      <c r="C153" s="86"/>
      <c r="D153" s="85">
        <f t="shared" ref="D153:D156" si="66">D152+1%</f>
        <v>0.10999999999999999</v>
      </c>
      <c r="E153" s="27">
        <v>51.749321005817421</v>
      </c>
      <c r="F153" s="27">
        <v>53.73679048197333</v>
      </c>
      <c r="G153" s="27">
        <v>55.724259958129231</v>
      </c>
      <c r="H153" s="27">
        <v>57.711729434285139</v>
      </c>
      <c r="I153" s="27">
        <v>59.699198910441055</v>
      </c>
      <c r="J153" s="27">
        <v>61.686668386596956</v>
      </c>
      <c r="K153" s="27">
        <v>63.674137862752865</v>
      </c>
      <c r="L153" s="27">
        <v>65.66160733890878</v>
      </c>
      <c r="M153" s="27">
        <v>67.649076815064689</v>
      </c>
      <c r="N153" s="27">
        <v>69.636546291220583</v>
      </c>
    </row>
    <row r="154" spans="2:19" outlineLevel="1" x14ac:dyDescent="0.3">
      <c r="C154" s="86"/>
      <c r="D154" s="85">
        <f t="shared" si="66"/>
        <v>0.11999999999999998</v>
      </c>
      <c r="E154" s="27">
        <v>49.355862515336227</v>
      </c>
      <c r="F154" s="27">
        <v>51.191487565783397</v>
      </c>
      <c r="G154" s="27">
        <v>53.027112616230553</v>
      </c>
      <c r="H154" s="27">
        <v>54.862737666677717</v>
      </c>
      <c r="I154" s="27">
        <v>56.698362717124901</v>
      </c>
      <c r="J154" s="27">
        <v>58.533987767572057</v>
      </c>
      <c r="K154" s="27">
        <v>60.369612818019235</v>
      </c>
      <c r="L154" s="27">
        <v>62.205237868466391</v>
      </c>
      <c r="M154" s="27">
        <v>64.040862918913575</v>
      </c>
      <c r="N154" s="27">
        <v>65.876487969360724</v>
      </c>
    </row>
    <row r="155" spans="2:19" outlineLevel="1" x14ac:dyDescent="0.3">
      <c r="C155" s="86"/>
      <c r="D155" s="85">
        <f t="shared" si="66"/>
        <v>0.12999999999999998</v>
      </c>
      <c r="E155" s="27">
        <v>47.142595066875366</v>
      </c>
      <c r="F155" s="27">
        <v>48.839174904560693</v>
      </c>
      <c r="G155" s="27">
        <v>50.535754742246013</v>
      </c>
      <c r="H155" s="27">
        <v>52.23233457993134</v>
      </c>
      <c r="I155" s="27">
        <v>53.928914417616674</v>
      </c>
      <c r="J155" s="27">
        <v>55.625494255301994</v>
      </c>
      <c r="K155" s="27">
        <v>57.322074092987322</v>
      </c>
      <c r="L155" s="27">
        <v>59.018653930672642</v>
      </c>
      <c r="M155" s="27">
        <v>60.715233768357976</v>
      </c>
      <c r="N155" s="27">
        <v>62.411813606043303</v>
      </c>
    </row>
    <row r="156" spans="2:19" outlineLevel="1" x14ac:dyDescent="0.3">
      <c r="C156" s="86"/>
      <c r="D156" s="85">
        <f t="shared" si="66"/>
        <v>0.13999999999999999</v>
      </c>
      <c r="E156" s="27">
        <v>45.093865942741786</v>
      </c>
      <c r="F156" s="27">
        <v>46.663021639835797</v>
      </c>
      <c r="G156" s="27">
        <v>48.232177336929801</v>
      </c>
      <c r="H156" s="27">
        <v>49.801333034023799</v>
      </c>
      <c r="I156" s="27">
        <v>51.370488731117803</v>
      </c>
      <c r="J156" s="27">
        <v>52.939644428211807</v>
      </c>
      <c r="K156" s="27">
        <v>54.508800125305818</v>
      </c>
      <c r="L156" s="27">
        <v>56.077955822399822</v>
      </c>
      <c r="M156" s="27">
        <v>57.647111519493826</v>
      </c>
      <c r="N156" s="27">
        <v>59.216267216587838</v>
      </c>
    </row>
    <row r="157" spans="2:19" outlineLevel="1" x14ac:dyDescent="0.3"/>
    <row r="158" spans="2:19" outlineLevel="1" x14ac:dyDescent="0.3">
      <c r="C158" s="2" t="s">
        <v>125</v>
      </c>
    </row>
    <row r="159" spans="2:19" outlineLevel="1" x14ac:dyDescent="0.3"/>
    <row r="160" spans="2:19" outlineLevel="1" x14ac:dyDescent="0.3">
      <c r="C160" s="82"/>
      <c r="D160" s="83" t="s">
        <v>124</v>
      </c>
      <c r="E160" s="83"/>
      <c r="F160" s="83"/>
      <c r="G160" s="83"/>
      <c r="H160" s="83"/>
      <c r="I160" s="83"/>
      <c r="J160" s="83"/>
      <c r="K160" s="83"/>
      <c r="L160" s="83"/>
      <c r="M160" s="83"/>
      <c r="N160" s="83"/>
    </row>
    <row r="161" spans="3:14" outlineLevel="1" x14ac:dyDescent="0.3">
      <c r="C161" s="86" t="s">
        <v>123</v>
      </c>
      <c r="D161" s="87">
        <f>N19</f>
        <v>49.673710025331552</v>
      </c>
      <c r="E161" s="85">
        <v>0</v>
      </c>
      <c r="F161" s="85">
        <f>E161+0.05%</f>
        <v>5.0000000000000001E-4</v>
      </c>
      <c r="G161" s="85">
        <f t="shared" ref="G161:N161" si="67">F161+0.05%</f>
        <v>1E-3</v>
      </c>
      <c r="H161" s="85">
        <f t="shared" si="67"/>
        <v>1.5E-3</v>
      </c>
      <c r="I161" s="85">
        <f t="shared" si="67"/>
        <v>2E-3</v>
      </c>
      <c r="J161" s="85">
        <f t="shared" si="67"/>
        <v>2.5000000000000001E-3</v>
      </c>
      <c r="K161" s="85">
        <f t="shared" si="67"/>
        <v>3.0000000000000001E-3</v>
      </c>
      <c r="L161" s="85">
        <f t="shared" si="67"/>
        <v>3.5000000000000001E-3</v>
      </c>
      <c r="M161" s="85">
        <f t="shared" si="67"/>
        <v>4.0000000000000001E-3</v>
      </c>
      <c r="N161" s="85">
        <f t="shared" si="67"/>
        <v>4.5000000000000005E-3</v>
      </c>
    </row>
    <row r="162" spans="3:14" outlineLevel="1" x14ac:dyDescent="0.3">
      <c r="C162" s="86"/>
      <c r="D162" s="85">
        <v>0.09</v>
      </c>
      <c r="E162" s="27">
        <f t="dataTable" ref="E162:N167" dt2D="1" dtr="1" r1="N5" r2="D36" ca="1"/>
        <v>60.083300458035389</v>
      </c>
      <c r="F162" s="27">
        <v>60.243358058401753</v>
      </c>
      <c r="G162" s="27">
        <v>60.405214058772252</v>
      </c>
      <c r="H162" s="27">
        <v>60.568898940502869</v>
      </c>
      <c r="I162" s="27">
        <v>60.73444387770769</v>
      </c>
      <c r="J162" s="27">
        <v>60.901880757051991</v>
      </c>
      <c r="K162" s="27">
        <v>61.07124219822785</v>
      </c>
      <c r="L162" s="27">
        <v>61.242561575139824</v>
      </c>
      <c r="M162" s="27">
        <v>61.415873037829854</v>
      </c>
      <c r="N162" s="27">
        <v>61.59121153517124</v>
      </c>
    </row>
    <row r="163" spans="3:14" outlineLevel="1" x14ac:dyDescent="0.3">
      <c r="C163" s="86"/>
      <c r="D163" s="85">
        <f>D162+1%</f>
        <v>9.9999999999999992E-2</v>
      </c>
      <c r="E163" s="27">
        <v>54.623247296864811</v>
      </c>
      <c r="F163" s="27">
        <v>54.74384471614826</v>
      </c>
      <c r="G163" s="27">
        <v>54.865660291182046</v>
      </c>
      <c r="H163" s="27">
        <v>54.988712572561369</v>
      </c>
      <c r="I163" s="27">
        <v>55.113020489464951</v>
      </c>
      <c r="J163" s="27">
        <v>55.238603359362422</v>
      </c>
      <c r="K163" s="27">
        <v>55.365480898021723</v>
      </c>
      <c r="L163" s="27">
        <v>55.493673229827749</v>
      </c>
      <c r="M163" s="27">
        <v>55.62320089842342</v>
      </c>
      <c r="N163" s="27">
        <v>55.754084877685024</v>
      </c>
    </row>
    <row r="164" spans="3:14" outlineLevel="1" x14ac:dyDescent="0.3">
      <c r="C164" s="86"/>
      <c r="D164" s="85">
        <f t="shared" ref="D164:D167" si="68">D163+1%</f>
        <v>0.10999999999999999</v>
      </c>
      <c r="E164" s="27">
        <v>50.179926549414738</v>
      </c>
      <c r="F164" s="27">
        <v>50.272706838632651</v>
      </c>
      <c r="G164" s="27">
        <v>50.366338323164491</v>
      </c>
      <c r="H164" s="27">
        <v>50.460832770687418</v>
      </c>
      <c r="I164" s="27">
        <v>50.556202166798514</v>
      </c>
      <c r="J164" s="27">
        <v>50.65245872008272</v>
      </c>
      <c r="K164" s="27">
        <v>50.749614867322869</v>
      </c>
      <c r="L164" s="27">
        <v>50.847683278856351</v>
      </c>
      <c r="M164" s="27">
        <v>50.94667686408355</v>
      </c>
      <c r="N164" s="27">
        <v>51.046608777132811</v>
      </c>
    </row>
    <row r="165" spans="3:14" outlineLevel="1" x14ac:dyDescent="0.3">
      <c r="C165" s="86"/>
      <c r="D165" s="85">
        <f t="shared" si="68"/>
        <v>0.11999999999999998</v>
      </c>
      <c r="E165" s="27">
        <v>46.497474585674937</v>
      </c>
      <c r="F165" s="27">
        <v>46.570100552552702</v>
      </c>
      <c r="G165" s="27">
        <v>46.643336821673152</v>
      </c>
      <c r="H165" s="27">
        <v>46.717191118381102</v>
      </c>
      <c r="I165" s="27">
        <v>46.791671298959464</v>
      </c>
      <c r="J165" s="27">
        <v>46.866785353415096</v>
      </c>
      <c r="K165" s="27">
        <v>46.942541408336155</v>
      </c>
      <c r="L165" s="27">
        <v>47.018947729823068</v>
      </c>
      <c r="M165" s="27">
        <v>47.096012726495196</v>
      </c>
      <c r="N165" s="27">
        <v>47.173744952575746</v>
      </c>
    </row>
    <row r="166" spans="3:14" outlineLevel="1" x14ac:dyDescent="0.3">
      <c r="C166" s="86"/>
      <c r="D166" s="85">
        <f t="shared" si="68"/>
        <v>0.12999999999999998</v>
      </c>
      <c r="E166" s="27">
        <v>43.398884131984396</v>
      </c>
      <c r="F166" s="27">
        <v>43.456571231634655</v>
      </c>
      <c r="G166" s="27">
        <v>43.514705518103909</v>
      </c>
      <c r="H166" s="27">
        <v>43.57329221147176</v>
      </c>
      <c r="I166" s="27">
        <v>43.63233661338154</v>
      </c>
      <c r="J166" s="27">
        <v>43.691844108639636</v>
      </c>
      <c r="K166" s="27">
        <v>43.751820166852525</v>
      </c>
      <c r="L166" s="27">
        <v>43.812270344102657</v>
      </c>
      <c r="M166" s="27">
        <v>43.873200284664307</v>
      </c>
      <c r="N166" s="27">
        <v>43.934615722760313</v>
      </c>
    </row>
    <row r="167" spans="3:14" outlineLevel="1" x14ac:dyDescent="0.3">
      <c r="C167" s="86"/>
      <c r="D167" s="85">
        <f t="shared" si="68"/>
        <v>0.13999999999999999</v>
      </c>
      <c r="E167" s="27">
        <v>40.757830318348546</v>
      </c>
      <c r="F167" s="27">
        <v>40.804229222775298</v>
      </c>
      <c r="G167" s="27">
        <v>40.850961932269861</v>
      </c>
      <c r="H167" s="27">
        <v>40.898032062049587</v>
      </c>
      <c r="I167" s="27">
        <v>40.94544327972627</v>
      </c>
      <c r="J167" s="27">
        <v>40.993199306258788</v>
      </c>
      <c r="K167" s="27">
        <v>41.041303916926573</v>
      </c>
      <c r="L167" s="27">
        <v>41.089760942324524</v>
      </c>
      <c r="M167" s="27">
        <v>41.138574269379816</v>
      </c>
      <c r="N167" s="27">
        <v>41.187747842391239</v>
      </c>
    </row>
    <row r="168" spans="3:14" outlineLevel="1" x14ac:dyDescent="0.3"/>
    <row r="169" spans="3:14" outlineLevel="1" x14ac:dyDescent="0.3">
      <c r="C169" s="2" t="s">
        <v>126</v>
      </c>
    </row>
    <row r="170" spans="3:14" outlineLevel="1" x14ac:dyDescent="0.3"/>
    <row r="171" spans="3:14" outlineLevel="1" x14ac:dyDescent="0.3">
      <c r="C171" s="82"/>
      <c r="D171" s="83" t="s">
        <v>127</v>
      </c>
      <c r="E171" s="83"/>
      <c r="F171" s="83"/>
      <c r="G171" s="83"/>
      <c r="H171" s="83"/>
      <c r="I171" s="83"/>
      <c r="J171" s="83"/>
      <c r="K171" s="83"/>
      <c r="L171" s="83"/>
      <c r="M171" s="83"/>
      <c r="N171" s="83"/>
    </row>
    <row r="172" spans="3:14" outlineLevel="1" x14ac:dyDescent="0.3">
      <c r="C172" s="86" t="s">
        <v>123</v>
      </c>
      <c r="D172" s="87">
        <f>I23</f>
        <v>52.355214703258923</v>
      </c>
      <c r="E172" s="88">
        <f>F172-0.001</f>
        <v>1.6444354199775777E-2</v>
      </c>
      <c r="F172" s="88">
        <f>G172-0.0025</f>
        <v>1.7444354199775778E-2</v>
      </c>
      <c r="G172" s="88">
        <f>H172-0.003</f>
        <v>1.9944354199775777E-2</v>
      </c>
      <c r="H172" s="88">
        <f>I172-0.005</f>
        <v>2.2944354199775776E-2</v>
      </c>
      <c r="I172" s="88">
        <v>2.7944354199775777E-2</v>
      </c>
      <c r="J172" s="88">
        <f>I172+0.005</f>
        <v>3.2944354199775774E-2</v>
      </c>
      <c r="K172" s="88">
        <f t="shared" ref="K172:N172" si="69">J172+0.005</f>
        <v>3.7944354199775772E-2</v>
      </c>
      <c r="L172" s="88">
        <f t="shared" si="69"/>
        <v>4.2944354199775769E-2</v>
      </c>
      <c r="M172" s="88">
        <f t="shared" si="69"/>
        <v>4.7944354199775767E-2</v>
      </c>
      <c r="N172" s="88">
        <f t="shared" si="69"/>
        <v>5.2944354199775764E-2</v>
      </c>
    </row>
    <row r="173" spans="3:14" outlineLevel="1" x14ac:dyDescent="0.3">
      <c r="C173" s="86"/>
      <c r="D173" s="85">
        <v>0.09</v>
      </c>
      <c r="E173" s="27">
        <f t="dataTable" ref="E173:N178" dt2D="1" dtr="1" r1="D24" r2="D36" ca="1"/>
        <v>98.445411038693123</v>
      </c>
      <c r="F173" s="27">
        <v>95.662721467809462</v>
      </c>
      <c r="G173" s="27">
        <v>88.705997540600265</v>
      </c>
      <c r="H173" s="27">
        <v>80.357928827949223</v>
      </c>
      <c r="I173" s="27">
        <v>66.444480973530801</v>
      </c>
      <c r="J173" s="27">
        <v>52.531033119112394</v>
      </c>
      <c r="K173" s="27">
        <v>38.617585264693972</v>
      </c>
      <c r="L173" s="27">
        <v>24.704137410275557</v>
      </c>
      <c r="M173" s="27">
        <v>10.790689555857117</v>
      </c>
      <c r="N173" s="27">
        <v>-3.1227582985612843</v>
      </c>
    </row>
    <row r="174" spans="3:14" outlineLevel="1" x14ac:dyDescent="0.3">
      <c r="C174" s="86"/>
      <c r="D174" s="85">
        <f>D173+1%</f>
        <v>9.9999999999999992E-2</v>
      </c>
      <c r="E174" s="27">
        <v>89.206089040750385</v>
      </c>
      <c r="F174" s="27">
        <v>86.74704778348908</v>
      </c>
      <c r="G174" s="27">
        <v>80.599444640335818</v>
      </c>
      <c r="H174" s="27">
        <v>73.22232086855189</v>
      </c>
      <c r="I174" s="27">
        <v>60.927114582245324</v>
      </c>
      <c r="J174" s="27">
        <v>48.631908295938764</v>
      </c>
      <c r="K174" s="27">
        <v>36.336702009632198</v>
      </c>
      <c r="L174" s="27">
        <v>24.041495723325646</v>
      </c>
      <c r="M174" s="27">
        <v>11.746289437019065</v>
      </c>
      <c r="N174" s="27">
        <v>-0.54891684928748408</v>
      </c>
    </row>
    <row r="175" spans="3:14" outlineLevel="1" x14ac:dyDescent="0.3">
      <c r="C175" s="86"/>
      <c r="D175" s="85">
        <f t="shared" ref="D175:D178" si="70">D174+1%</f>
        <v>0.10999999999999999</v>
      </c>
      <c r="E175" s="27">
        <v>81.677996429824844</v>
      </c>
      <c r="F175" s="27">
        <v>79.480103578863378</v>
      </c>
      <c r="G175" s="27">
        <v>73.985371451459756</v>
      </c>
      <c r="H175" s="27">
        <v>67.391692898575428</v>
      </c>
      <c r="I175" s="27">
        <v>56.402228643768154</v>
      </c>
      <c r="J175" s="27">
        <v>45.412764388960895</v>
      </c>
      <c r="K175" s="27">
        <v>34.423300134153621</v>
      </c>
      <c r="L175" s="27">
        <v>23.433835879346361</v>
      </c>
      <c r="M175" s="27">
        <v>12.444371624539077</v>
      </c>
      <c r="N175" s="27">
        <v>1.4549073697318278</v>
      </c>
    </row>
    <row r="176" spans="3:14" outlineLevel="1" x14ac:dyDescent="0.3">
      <c r="C176" s="86"/>
      <c r="D176" s="85">
        <f t="shared" si="70"/>
        <v>0.11999999999999998</v>
      </c>
      <c r="E176" s="27">
        <v>75.388810545413833</v>
      </c>
      <c r="F176" s="27">
        <v>73.407125214473467</v>
      </c>
      <c r="G176" s="27">
        <v>68.45291188712261</v>
      </c>
      <c r="H176" s="27">
        <v>62.507855894301571</v>
      </c>
      <c r="I176" s="27">
        <v>52.599429239599807</v>
      </c>
      <c r="J176" s="27">
        <v>42.691002584898058</v>
      </c>
      <c r="K176" s="27">
        <v>32.782575930196302</v>
      </c>
      <c r="L176" s="27">
        <v>22.874149275494553</v>
      </c>
      <c r="M176" s="27">
        <v>12.965722620792784</v>
      </c>
      <c r="N176" s="27">
        <v>3.0572959660910435</v>
      </c>
    </row>
    <row r="177" spans="3:14" outlineLevel="1" x14ac:dyDescent="0.3">
      <c r="C177" s="86"/>
      <c r="D177" s="85">
        <f t="shared" si="70"/>
        <v>0.12999999999999998</v>
      </c>
      <c r="E177" s="27">
        <v>70.033283828004144</v>
      </c>
      <c r="F177" s="27">
        <v>68.234175349256034</v>
      </c>
      <c r="G177" s="27">
        <v>63.736404152385717</v>
      </c>
      <c r="H177" s="27">
        <v>58.339078716141344</v>
      </c>
      <c r="I177" s="27">
        <v>49.343536322400709</v>
      </c>
      <c r="J177" s="27">
        <v>40.347993928660088</v>
      </c>
      <c r="K177" s="27">
        <v>31.352451534919439</v>
      </c>
      <c r="L177" s="27">
        <v>22.356909141178811</v>
      </c>
      <c r="M177" s="27">
        <v>13.36136674743817</v>
      </c>
      <c r="N177" s="27">
        <v>4.3658243536975503</v>
      </c>
    </row>
    <row r="178" spans="3:14" outlineLevel="1" x14ac:dyDescent="0.3">
      <c r="C178" s="86"/>
      <c r="D178" s="85">
        <f t="shared" si="70"/>
        <v>0.13999999999999999</v>
      </c>
      <c r="E178" s="27">
        <v>65.404170271380508</v>
      </c>
      <c r="F178" s="27">
        <v>63.761657358548945</v>
      </c>
      <c r="G178" s="27">
        <v>59.65537507647003</v>
      </c>
      <c r="H178" s="27">
        <v>54.727836337975354</v>
      </c>
      <c r="I178" s="27">
        <v>46.515271773817524</v>
      </c>
      <c r="J178" s="27">
        <v>38.302707209659694</v>
      </c>
      <c r="K178" s="27">
        <v>30.090142645501867</v>
      </c>
      <c r="L178" s="27">
        <v>21.877578081344041</v>
      </c>
      <c r="M178" s="27">
        <v>13.6650135171862</v>
      </c>
      <c r="N178" s="27">
        <v>5.452448953028382</v>
      </c>
    </row>
    <row r="179" spans="3:14" outlineLevel="1" x14ac:dyDescent="0.3"/>
    <row r="180" spans="3:14" outlineLevel="1" x14ac:dyDescent="0.3">
      <c r="C180" s="2" t="s">
        <v>128</v>
      </c>
    </row>
    <row r="181" spans="3:14" outlineLevel="1" x14ac:dyDescent="0.3"/>
    <row r="182" spans="3:14" outlineLevel="1" x14ac:dyDescent="0.3">
      <c r="C182" s="82"/>
      <c r="D182" s="83" t="s">
        <v>129</v>
      </c>
      <c r="E182" s="83"/>
      <c r="F182" s="83"/>
      <c r="G182" s="83"/>
      <c r="H182" s="83"/>
      <c r="I182" s="83"/>
      <c r="J182" s="83"/>
      <c r="K182" s="83"/>
      <c r="L182" s="83"/>
      <c r="M182" s="83"/>
      <c r="N182" s="83"/>
    </row>
    <row r="183" spans="3:14" outlineLevel="1" x14ac:dyDescent="0.3">
      <c r="C183" s="86" t="s">
        <v>123</v>
      </c>
      <c r="D183" s="87">
        <f>I23</f>
        <v>52.355214703258923</v>
      </c>
      <c r="E183" s="88">
        <f t="shared" ref="E183:G183" si="71">F183-0.005</f>
        <v>0.12</v>
      </c>
      <c r="F183" s="88">
        <f t="shared" si="71"/>
        <v>0.125</v>
      </c>
      <c r="G183" s="88">
        <f t="shared" si="71"/>
        <v>0.13</v>
      </c>
      <c r="H183" s="88">
        <f>I183-0.005</f>
        <v>0.13500000000000001</v>
      </c>
      <c r="I183" s="88">
        <v>0.14000000000000001</v>
      </c>
      <c r="J183" s="88">
        <f>I183+0.005</f>
        <v>0.14500000000000002</v>
      </c>
      <c r="K183" s="89">
        <f t="shared" ref="K183:N183" si="72">J183+0.005</f>
        <v>0.15000000000000002</v>
      </c>
      <c r="L183" s="88">
        <f t="shared" si="72"/>
        <v>0.15500000000000003</v>
      </c>
      <c r="M183" s="88">
        <f t="shared" si="72"/>
        <v>0.16000000000000003</v>
      </c>
      <c r="N183" s="88">
        <f t="shared" si="72"/>
        <v>0.16500000000000004</v>
      </c>
    </row>
    <row r="184" spans="3:14" outlineLevel="1" x14ac:dyDescent="0.3">
      <c r="C184" s="86"/>
      <c r="D184" s="85">
        <v>0.09</v>
      </c>
      <c r="E184" s="27">
        <f t="dataTable" ref="E184:N189" dt2D="1" dtr="1" r1="D25" r2="D36" ca="1"/>
        <v>105.38166945174522</v>
      </c>
      <c r="F184" s="27">
        <v>99.48209543989455</v>
      </c>
      <c r="G184" s="27">
        <v>93.582521428043862</v>
      </c>
      <c r="H184" s="27">
        <v>87.682947416193201</v>
      </c>
      <c r="I184" s="27">
        <v>81.783373404342512</v>
      </c>
      <c r="J184" s="27">
        <v>75.883799392491824</v>
      </c>
      <c r="K184" s="27">
        <v>69.984225380641135</v>
      </c>
      <c r="L184" s="27">
        <v>64.08465136879046</v>
      </c>
      <c r="M184" s="27">
        <v>58.185077356939772</v>
      </c>
      <c r="N184" s="27">
        <v>52.28550334508909</v>
      </c>
    </row>
    <row r="185" spans="3:14" outlineLevel="1" x14ac:dyDescent="0.3">
      <c r="C185" s="86"/>
      <c r="D185" s="85">
        <f>D184+1%</f>
        <v>9.9999999999999992E-2</v>
      </c>
      <c r="E185" s="27">
        <v>95.309208778176227</v>
      </c>
      <c r="F185" s="27">
        <v>90.099800566671533</v>
      </c>
      <c r="G185" s="27">
        <v>84.890392355166838</v>
      </c>
      <c r="H185" s="27">
        <v>79.680984143662158</v>
      </c>
      <c r="I185" s="27">
        <v>74.471575932157464</v>
      </c>
      <c r="J185" s="27">
        <v>69.262167720652769</v>
      </c>
      <c r="K185" s="27">
        <v>64.052759509148075</v>
      </c>
      <c r="L185" s="27">
        <v>58.843351297643395</v>
      </c>
      <c r="M185" s="27">
        <v>53.633943086138686</v>
      </c>
      <c r="N185" s="27">
        <v>48.424534874633991</v>
      </c>
    </row>
    <row r="186" spans="3:14" outlineLevel="1" x14ac:dyDescent="0.3">
      <c r="C186" s="86"/>
      <c r="D186" s="85">
        <f t="shared" ref="D186:D189" si="73">D185+1%</f>
        <v>0.10999999999999999</v>
      </c>
      <c r="E186" s="27">
        <v>87.111204539630705</v>
      </c>
      <c r="F186" s="27">
        <v>82.458329403893956</v>
      </c>
      <c r="G186" s="27">
        <v>77.805454268157192</v>
      </c>
      <c r="H186" s="27">
        <v>73.152579132420442</v>
      </c>
      <c r="I186" s="27">
        <v>68.499703996683678</v>
      </c>
      <c r="J186" s="27">
        <v>63.8468288609469</v>
      </c>
      <c r="K186" s="27">
        <v>59.19395372521015</v>
      </c>
      <c r="L186" s="27">
        <v>54.541078589473386</v>
      </c>
      <c r="M186" s="27">
        <v>49.888203453736615</v>
      </c>
      <c r="N186" s="27">
        <v>45.235328317999858</v>
      </c>
    </row>
    <row r="187" spans="3:14" outlineLevel="1" x14ac:dyDescent="0.3">
      <c r="C187" s="86"/>
      <c r="D187" s="85">
        <f t="shared" si="73"/>
        <v>0.11999999999999998</v>
      </c>
      <c r="E187" s="27">
        <v>80.269268281691424</v>
      </c>
      <c r="F187" s="27">
        <v>76.076868426829037</v>
      </c>
      <c r="G187" s="27">
        <v>71.884468571966664</v>
      </c>
      <c r="H187" s="27">
        <v>67.69206871710432</v>
      </c>
      <c r="I187" s="27">
        <v>63.499668862241933</v>
      </c>
      <c r="J187" s="27">
        <v>59.30726900737956</v>
      </c>
      <c r="K187" s="27">
        <v>55.114869152517187</v>
      </c>
      <c r="L187" s="27">
        <v>50.922469297654821</v>
      </c>
      <c r="M187" s="27">
        <v>46.730069442792434</v>
      </c>
      <c r="N187" s="27">
        <v>42.537669587930068</v>
      </c>
    </row>
    <row r="188" spans="3:14" outlineLevel="1" x14ac:dyDescent="0.3">
      <c r="C188" s="86"/>
      <c r="D188" s="85">
        <f t="shared" si="73"/>
        <v>0.12999999999999998</v>
      </c>
      <c r="E188" s="27">
        <v>74.448498481418113</v>
      </c>
      <c r="F188" s="27">
        <v>70.644716336112438</v>
      </c>
      <c r="G188" s="27">
        <v>66.840934190806763</v>
      </c>
      <c r="H188" s="27">
        <v>63.037152045501102</v>
      </c>
      <c r="I188" s="27">
        <v>59.233369900195427</v>
      </c>
      <c r="J188" s="27">
        <v>55.429587754889745</v>
      </c>
      <c r="K188" s="27">
        <v>51.625805609584063</v>
      </c>
      <c r="L188" s="27">
        <v>47.822023464278402</v>
      </c>
      <c r="M188" s="27">
        <v>44.018241318972713</v>
      </c>
      <c r="N188" s="27">
        <v>40.214459173667038</v>
      </c>
    </row>
    <row r="189" spans="3:14" outlineLevel="1" x14ac:dyDescent="0.3">
      <c r="C189" s="86"/>
      <c r="D189" s="85">
        <f t="shared" si="73"/>
        <v>0.13999999999999999</v>
      </c>
      <c r="E189" s="27">
        <v>69.421608330002996</v>
      </c>
      <c r="F189" s="27">
        <v>65.950951276035497</v>
      </c>
      <c r="G189" s="27">
        <v>62.48029422206799</v>
      </c>
      <c r="H189" s="27">
        <v>59.009637168100497</v>
      </c>
      <c r="I189" s="27">
        <v>55.538980114132997</v>
      </c>
      <c r="J189" s="27">
        <v>52.06832306016549</v>
      </c>
      <c r="K189" s="27">
        <v>48.597666006197983</v>
      </c>
      <c r="L189" s="27">
        <v>45.127008952230483</v>
      </c>
      <c r="M189" s="27">
        <v>41.656351898262969</v>
      </c>
      <c r="N189" s="27">
        <v>38.185694844295469</v>
      </c>
    </row>
    <row r="190" spans="3:14" outlineLevel="1" x14ac:dyDescent="0.3"/>
    <row r="191" spans="3:14" outlineLevel="1" x14ac:dyDescent="0.3">
      <c r="C191" s="2" t="s">
        <v>128</v>
      </c>
    </row>
    <row r="192" spans="3:14" outlineLevel="1" x14ac:dyDescent="0.3"/>
    <row r="193" spans="3:7" outlineLevel="1" x14ac:dyDescent="0.3">
      <c r="C193" s="82"/>
      <c r="D193" s="83" t="s">
        <v>130</v>
      </c>
      <c r="E193" s="83"/>
      <c r="F193" s="83"/>
      <c r="G193" s="83"/>
    </row>
    <row r="194" spans="3:7" outlineLevel="1" x14ac:dyDescent="0.3">
      <c r="C194" s="86" t="s">
        <v>123</v>
      </c>
      <c r="D194" s="87">
        <f>I23</f>
        <v>52.355214703258923</v>
      </c>
      <c r="E194" s="88" t="s">
        <v>64</v>
      </c>
      <c r="F194" s="88" t="s">
        <v>65</v>
      </c>
      <c r="G194" s="88" t="s">
        <v>66</v>
      </c>
    </row>
    <row r="195" spans="3:7" outlineLevel="1" x14ac:dyDescent="0.3">
      <c r="C195" s="86"/>
      <c r="D195" s="85">
        <v>0.09</v>
      </c>
      <c r="E195" s="27">
        <f t="dataTable" ref="E195:G200" dt2D="1" dtr="1" r1="D8" r2="D36" ca="1"/>
        <v>83.604380737433118</v>
      </c>
      <c r="F195" s="27">
        <v>66.444480973530801</v>
      </c>
      <c r="G195" s="27">
        <v>35.858483026211694</v>
      </c>
    </row>
    <row r="196" spans="3:7" outlineLevel="1" x14ac:dyDescent="0.3">
      <c r="C196" s="86"/>
      <c r="D196" s="85">
        <f>D195+1%</f>
        <v>9.9999999999999992E-2</v>
      </c>
      <c r="E196" s="27">
        <v>76.976505955196018</v>
      </c>
      <c r="F196" s="27">
        <v>60.927114582245324</v>
      </c>
      <c r="G196" s="27">
        <v>32.875277165249017</v>
      </c>
    </row>
    <row r="197" spans="3:7" outlineLevel="1" x14ac:dyDescent="0.3">
      <c r="C197" s="86"/>
      <c r="D197" s="85">
        <f t="shared" ref="D197:D200" si="74">D196+1%</f>
        <v>0.10999999999999999</v>
      </c>
      <c r="E197" s="27">
        <v>71.525633971170265</v>
      </c>
      <c r="F197" s="27">
        <v>56.402228643768154</v>
      </c>
      <c r="G197" s="27">
        <v>30.425347232367372</v>
      </c>
    </row>
    <row r="198" spans="3:7" outlineLevel="1" x14ac:dyDescent="0.3">
      <c r="C198" s="86"/>
      <c r="D198" s="85">
        <f t="shared" si="74"/>
        <v>0.11999999999999998</v>
      </c>
      <c r="E198" s="27">
        <v>66.931706324922757</v>
      </c>
      <c r="F198" s="27">
        <v>52.599429239599807</v>
      </c>
      <c r="G198" s="27">
        <v>28.365076275957975</v>
      </c>
    </row>
    <row r="199" spans="3:7" outlineLevel="1" x14ac:dyDescent="0.3">
      <c r="C199" s="86"/>
      <c r="D199" s="85">
        <f t="shared" si="74"/>
        <v>0.12999999999999998</v>
      </c>
      <c r="E199" s="27">
        <v>62.987355171634036</v>
      </c>
      <c r="F199" s="27">
        <v>49.343536322400709</v>
      </c>
      <c r="G199" s="27">
        <v>26.601173390521446</v>
      </c>
    </row>
    <row r="200" spans="3:7" outlineLevel="1" x14ac:dyDescent="0.3">
      <c r="C200" s="86"/>
      <c r="D200" s="85">
        <f t="shared" si="74"/>
        <v>0.13999999999999999</v>
      </c>
      <c r="E200" s="27">
        <v>59.551373471057836</v>
      </c>
      <c r="F200" s="27">
        <v>46.515271773817524</v>
      </c>
      <c r="G200" s="27">
        <v>25.069925948499225</v>
      </c>
    </row>
    <row r="201" spans="3:7" outlineLevel="1" x14ac:dyDescent="0.3"/>
  </sheetData>
  <mergeCells count="5">
    <mergeCell ref="C150:C156"/>
    <mergeCell ref="C161:C167"/>
    <mergeCell ref="C172:C178"/>
    <mergeCell ref="C183:C189"/>
    <mergeCell ref="C194:C200"/>
  </mergeCells>
  <conditionalFormatting sqref="E195:G200">
    <cfRule type="expression" dxfId="20" priority="23">
      <formula>"if+E195&lt;$D$6,"</formula>
    </cfRule>
    <cfRule type="expression" dxfId="21" priority="24">
      <formula>"if+E195&gt;$D$6"</formula>
    </cfRule>
    <cfRule type="cellIs" dxfId="22" priority="22" operator="greaterThan">
      <formula>$D$6</formula>
    </cfRule>
    <cfRule type="cellIs" dxfId="23" priority="21" operator="lessThan">
      <formula>$D$6</formula>
    </cfRule>
  </conditionalFormatting>
  <conditionalFormatting sqref="E184:N189">
    <cfRule type="cellIs" dxfId="12" priority="13" operator="lessThan">
      <formula>$D$6</formula>
    </cfRule>
    <cfRule type="cellIs" dxfId="13" priority="14" operator="greaterThan">
      <formula>$D$6</formula>
    </cfRule>
    <cfRule type="expression" dxfId="15" priority="15">
      <formula>"if+E195&lt;$D$6,"</formula>
    </cfRule>
    <cfRule type="expression" dxfId="14" priority="16">
      <formula>"if+E195&gt;$D$6"</formula>
    </cfRule>
  </conditionalFormatting>
  <conditionalFormatting sqref="E173:N178">
    <cfRule type="cellIs" dxfId="8" priority="9" operator="lessThan">
      <formula>$D$6</formula>
    </cfRule>
    <cfRule type="cellIs" dxfId="9" priority="10" operator="greaterThan">
      <formula>$D$6</formula>
    </cfRule>
    <cfRule type="expression" dxfId="11" priority="11">
      <formula>"if+E195&lt;$D$6,"</formula>
    </cfRule>
    <cfRule type="expression" dxfId="10" priority="12">
      <formula>"if+E195&gt;$D$6"</formula>
    </cfRule>
  </conditionalFormatting>
  <conditionalFormatting sqref="E162:N167">
    <cfRule type="cellIs" dxfId="4" priority="5" operator="lessThan">
      <formula>$D$6</formula>
    </cfRule>
    <cfRule type="cellIs" dxfId="5" priority="6" operator="greaterThan">
      <formula>$D$6</formula>
    </cfRule>
    <cfRule type="expression" dxfId="7" priority="7">
      <formula>"if+E195&lt;$D$6,"</formula>
    </cfRule>
    <cfRule type="expression" dxfId="6" priority="8">
      <formula>"if+E195&gt;$D$6"</formula>
    </cfRule>
  </conditionalFormatting>
  <conditionalFormatting sqref="E151:N156">
    <cfRule type="cellIs" dxfId="0" priority="1" operator="lessThan">
      <formula>$D$6</formula>
    </cfRule>
    <cfRule type="cellIs" dxfId="1" priority="2" operator="greaterThan">
      <formula>$D$6</formula>
    </cfRule>
    <cfRule type="expression" dxfId="3" priority="3">
      <formula>"if+E195&lt;$D$6,"</formula>
    </cfRule>
    <cfRule type="expression" dxfId="2" priority="4">
      <formula>"if+E195&gt;$D$6"</formula>
    </cfRule>
  </conditionalFormatting>
  <dataValidations count="1">
    <dataValidation type="list" allowBlank="1" showInputMessage="1" showErrorMessage="1" sqref="D8" xr:uid="{7C88F571-0045-4571-93DA-4275D1C79CA6}">
      <formula1>$C$58:$C$60</formula1>
    </dataValidation>
  </dataValidations>
  <pageMargins left="0.7" right="0.7" top="0.75" bottom="0.75" header="0.3" footer="0.3"/>
  <ignoredErrors>
    <ignoredError sqref="R48" formulaRange="1"/>
  </ignoredErrors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Southwest_DCF</vt:lpstr>
      <vt:lpstr>Current_Price</vt:lpstr>
      <vt:lpstr>LR_oilperASM</vt:lpstr>
      <vt:lpstr>Operating_Case</vt:lpstr>
      <vt:lpstr>Southwest_WACC</vt:lpstr>
      <vt:lpstr>Tax_Rate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</dc:creator>
  <cp:lastModifiedBy>111</cp:lastModifiedBy>
  <dcterms:created xsi:type="dcterms:W3CDTF">2015-06-05T18:17:20Z</dcterms:created>
  <dcterms:modified xsi:type="dcterms:W3CDTF">2023-08-23T21:56:18Z</dcterms:modified>
</cp:coreProperties>
</file>